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255" windowWidth="17235" windowHeight="11130" tabRatio="674" firstSheet="28" activeTab="29"/>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Settings'!$D$4</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'!#REF!</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'!#REF!</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R27" i="22"/>
  <c r="R39" i="22"/>
  <c r="AB2" i="18"/>
  <c r="R27" i="21"/>
  <c r="R6" i="19"/>
  <c r="X27" i="24"/>
  <c r="R9" i="21"/>
  <c r="R12" i="21"/>
  <c r="AE2" i="25"/>
  <c r="AB2" i="16"/>
  <c r="R15" i="19"/>
  <c r="R5" i="20"/>
  <c r="R19" i="20"/>
  <c r="R34" i="21"/>
  <c r="R19" i="21"/>
  <c r="X20" i="24"/>
  <c r="R41" i="22"/>
  <c r="G8" i="25"/>
  <c r="X32" i="24"/>
  <c r="R7" i="22"/>
  <c r="R9" i="22"/>
  <c r="R38" i="21"/>
  <c r="R31" i="20"/>
  <c r="N3" i="11"/>
  <c r="R22" i="20"/>
  <c r="R12" i="19"/>
  <c r="R11" i="21"/>
  <c r="R40" i="21"/>
  <c r="F6" i="13"/>
  <c r="R21" i="22"/>
  <c r="R28" i="20"/>
  <c r="R5" i="21"/>
  <c r="X28" i="24"/>
  <c r="R35" i="22"/>
  <c r="W2" i="29"/>
  <c r="X25" i="24"/>
  <c r="R14" i="22"/>
  <c r="R14" i="20"/>
  <c r="R5" i="19"/>
  <c r="R25" i="22"/>
  <c r="R12" i="22"/>
  <c r="R21" i="21"/>
  <c r="X13" i="24"/>
  <c r="AB2" i="13"/>
  <c r="X31" i="24"/>
  <c r="R29" i="21"/>
  <c r="R12" i="20"/>
  <c r="X26" i="24"/>
  <c r="R13" i="20"/>
  <c r="X41" i="24"/>
  <c r="R11" i="20"/>
  <c r="R13" i="22"/>
  <c r="R34" i="20"/>
  <c r="R17" i="19"/>
  <c r="X29" i="24"/>
  <c r="X44" i="24"/>
  <c r="R28" i="21"/>
  <c r="X39" i="24"/>
  <c r="W2" i="14"/>
  <c r="R29" i="19"/>
  <c r="U8" i="12"/>
  <c r="R39" i="19"/>
  <c r="R18" i="22"/>
  <c r="R23" i="22"/>
  <c r="R40" i="20"/>
  <c r="X8" i="24"/>
  <c r="X34" i="24"/>
  <c r="X7" i="24"/>
  <c r="R32" i="19"/>
  <c r="F11" i="13"/>
  <c r="R21" i="20"/>
  <c r="X24" i="24"/>
  <c r="X5" i="24"/>
  <c r="X19" i="24"/>
  <c r="X10" i="24"/>
  <c r="R33" i="20"/>
  <c r="R34" i="22"/>
  <c r="AB2" i="21"/>
  <c r="R25" i="21"/>
  <c r="Q4" i="31"/>
  <c r="G5" i="25"/>
  <c r="R33" i="21"/>
  <c r="X11" i="24"/>
  <c r="F9" i="13"/>
  <c r="R15" i="22"/>
  <c r="R37" i="21"/>
  <c r="B4" i="4"/>
  <c r="G7" i="25"/>
  <c r="X38" i="24"/>
  <c r="R17" i="22"/>
  <c r="R13" i="19"/>
  <c r="X17" i="24"/>
  <c r="R32" i="21"/>
  <c r="R16" i="19"/>
  <c r="R35" i="19"/>
  <c r="N3" i="9"/>
  <c r="X35" i="24"/>
  <c r="R20" i="20"/>
  <c r="AB2" i="22"/>
  <c r="R24" i="22"/>
  <c r="N3" i="7"/>
  <c r="R11" i="19"/>
  <c r="R31" i="21"/>
  <c r="R28" i="19"/>
  <c r="R17" i="21"/>
  <c r="R40" i="22"/>
  <c r="L3" i="30"/>
  <c r="R28" i="22"/>
  <c r="R22" i="19"/>
  <c r="N3" i="8"/>
  <c r="R27" i="20"/>
  <c r="R10" i="20"/>
  <c r="R36" i="20"/>
  <c r="R7" i="21"/>
  <c r="U6" i="12"/>
  <c r="AB2" i="15"/>
  <c r="R20" i="19"/>
  <c r="R24" i="21"/>
  <c r="Y2" i="23"/>
  <c r="R15" i="21"/>
  <c r="X37" i="24"/>
  <c r="R30" i="19"/>
  <c r="N2" i="12"/>
  <c r="R7" i="19"/>
  <c r="G6" i="25"/>
  <c r="R16" i="22"/>
  <c r="R7" i="20"/>
  <c r="R15" i="20"/>
  <c r="R10" i="19"/>
  <c r="X15" i="24"/>
  <c r="R26" i="22"/>
  <c r="R26" i="21"/>
  <c r="R40" i="19"/>
  <c r="G9" i="25"/>
  <c r="F10" i="13"/>
  <c r="R6" i="20"/>
  <c r="AB2" i="19"/>
  <c r="R9" i="19"/>
  <c r="D5" i="32"/>
  <c r="R41" i="20"/>
  <c r="R36" i="22"/>
  <c r="R35" i="21"/>
  <c r="R33" i="22"/>
  <c r="R29" i="20"/>
  <c r="R41" i="21"/>
  <c r="R37" i="19"/>
  <c r="R6" i="21"/>
  <c r="R38" i="22"/>
  <c r="X9" i="24"/>
  <c r="U5" i="12"/>
  <c r="R13" i="21"/>
  <c r="R36" i="21"/>
  <c r="X14" i="24"/>
  <c r="R24" i="19"/>
  <c r="R10" i="21"/>
  <c r="X40" i="24"/>
  <c r="R26" i="20"/>
  <c r="R21" i="19"/>
  <c r="AE2" i="12"/>
  <c r="R25" i="19"/>
  <c r="R23" i="19"/>
  <c r="R14" i="19"/>
  <c r="X45" i="24"/>
  <c r="R10" i="22"/>
  <c r="R8" i="19"/>
  <c r="R11" i="22"/>
  <c r="R32" i="20"/>
  <c r="R22" i="21"/>
  <c r="AH2" i="24"/>
  <c r="X22" i="24"/>
  <c r="R38" i="20"/>
  <c r="R30" i="20"/>
  <c r="R20" i="21"/>
  <c r="E2" i="26"/>
  <c r="R22" i="22"/>
  <c r="R35" i="20"/>
  <c r="X30" i="24"/>
  <c r="AD2" i="26"/>
  <c r="AB2" i="27"/>
  <c r="X36" i="24"/>
  <c r="N3" i="10"/>
  <c r="R8" i="21"/>
  <c r="AB2" i="17"/>
  <c r="X12" i="24"/>
  <c r="D5" i="25"/>
  <c r="R39" i="20"/>
  <c r="R27" i="19"/>
  <c r="R18" i="19"/>
  <c r="R31" i="19"/>
  <c r="X18" i="24"/>
  <c r="X33" i="24"/>
  <c r="R17" i="20"/>
  <c r="R18" i="20"/>
  <c r="R6" i="22"/>
  <c r="R16" i="21"/>
  <c r="R34" i="19"/>
  <c r="X43" i="24"/>
  <c r="R37" i="20"/>
  <c r="R39" i="21"/>
  <c r="R24" i="20"/>
  <c r="R29" i="22"/>
  <c r="R19" i="22"/>
  <c r="U7" i="12"/>
  <c r="X23" i="24"/>
  <c r="X46" i="24"/>
  <c r="R31" i="22"/>
  <c r="R16" i="20"/>
  <c r="R30" i="22"/>
  <c r="R32" i="22"/>
  <c r="R38" i="19"/>
  <c r="R25" i="20"/>
  <c r="R23" i="20"/>
  <c r="AB2" i="20"/>
  <c r="R36" i="19"/>
  <c r="R37" i="22"/>
  <c r="R23" i="21"/>
  <c r="X21" i="24"/>
  <c r="R20" i="22"/>
  <c r="R9" i="20"/>
  <c r="D2" i="12"/>
  <c r="R8" i="20"/>
  <c r="R41" i="19"/>
  <c r="R33" i="19"/>
  <c r="R30" i="21"/>
  <c r="R14" i="21"/>
  <c r="X16" i="24"/>
  <c r="X42" i="24"/>
  <c r="R26" i="19"/>
  <c r="R8" i="22"/>
  <c r="R18" i="21"/>
  <c r="X6" i="24"/>
  <c r="AB2" i="28"/>
  <c r="R5" i="22"/>
  <c r="R19" i="19"/>
  <c r="M4" i="32"/>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E6" i="31"/>
  <c r="F5" i="13"/>
  <c r="D10" i="31"/>
  <c r="D7" i="31"/>
  <c r="E5" i="31"/>
  <c r="E8" i="31"/>
  <c r="F7" i="13"/>
  <c r="D4" i="31"/>
  <c r="D6" i="25"/>
  <c r="D5" i="12" a="1"/>
  <c r="E11" i="31"/>
  <c r="D13" i="31"/>
  <c r="Q2" i="24"/>
  <c r="F8" i="13"/>
  <c r="N3" i="12"/>
  <c r="D12" i="31"/>
  <c r="E5" i="26"/>
  <c r="Q7" i="61"/>
  <c r="K2" i="35"/>
  <c r="P7" i="61"/>
  <c r="Q5" i="61"/>
  <c r="Q6" i="61"/>
  <c r="E24" i="59" l="1"/>
  <c r="D24" i="59" s="1"/>
  <c r="I24" i="59"/>
  <c r="H24" i="59" s="1"/>
  <c r="E21" i="59"/>
  <c r="D21" i="59" s="1"/>
  <c r="C21" i="59" s="1"/>
  <c r="G4" i="56"/>
  <c r="G4" i="58"/>
  <c r="H4" i="58"/>
  <c r="D20" i="54"/>
  <c r="D8" i="12"/>
  <c r="D7" i="12"/>
  <c r="D6" i="12"/>
  <c r="D5" i="12"/>
  <c r="N5" i="12" a="1"/>
  <c r="F6" i="31"/>
  <c r="F8" i="31"/>
  <c r="D7" i="25"/>
  <c r="E12" i="31"/>
  <c r="Q5" i="24" a="1"/>
  <c r="F11" i="31"/>
  <c r="B5" i="26"/>
  <c r="F5" i="31"/>
  <c r="D9" i="31"/>
  <c r="E4" i="31"/>
  <c r="E7" i="31"/>
  <c r="E10" i="31"/>
  <c r="V1" i="53" l="1"/>
  <c r="Q16" i="24"/>
  <c r="Q19" i="24"/>
  <c r="Q37" i="24"/>
  <c r="Q27" i="24"/>
  <c r="Q30" i="24"/>
  <c r="Q12" i="24"/>
  <c r="N7" i="12"/>
  <c r="Q21" i="24"/>
  <c r="Q23" i="24"/>
  <c r="Q40" i="24"/>
  <c r="Q28" i="24"/>
  <c r="Q15" i="24"/>
  <c r="Q24" i="24"/>
  <c r="Q5" i="24"/>
  <c r="Q22" i="24"/>
  <c r="Q18" i="24"/>
  <c r="Q38" i="24"/>
  <c r="Q14" i="24"/>
  <c r="Q42" i="24"/>
  <c r="Q33" i="24"/>
  <c r="Q6" i="24"/>
  <c r="N5" i="12"/>
  <c r="Q7" i="24"/>
  <c r="Q36" i="24"/>
  <c r="Q26" i="24"/>
  <c r="Q39" i="24"/>
  <c r="Q35" i="24"/>
  <c r="Q11" i="24"/>
  <c r="Q13" i="24"/>
  <c r="Q8" i="24"/>
  <c r="Q10" i="24"/>
  <c r="Q34" i="24"/>
  <c r="Q44" i="24"/>
  <c r="Q20" i="24"/>
  <c r="Q43" i="24"/>
  <c r="Q17" i="24"/>
  <c r="Q46" i="24"/>
  <c r="N6" i="12"/>
  <c r="Q41" i="24"/>
  <c r="N8" i="12"/>
  <c r="Q32" i="24"/>
  <c r="Q25" i="24"/>
  <c r="Q31" i="24"/>
  <c r="Q45" i="24"/>
  <c r="Q9" i="24"/>
  <c r="Q29" i="24"/>
  <c r="E7" i="26"/>
  <c r="D8" i="25"/>
  <c r="B7" i="26"/>
  <c r="F12" i="31"/>
  <c r="F4" i="31"/>
  <c r="E9" i="31"/>
  <c r="F7" i="31"/>
  <c r="F10" i="31"/>
  <c r="E6" i="26"/>
  <c r="H3" i="53" l="1"/>
  <c r="E8" i="26"/>
  <c r="F9" i="31"/>
  <c r="B6" i="26"/>
  <c r="D9" i="25"/>
  <c r="L3" i="53" l="1"/>
  <c r="Q5" i="31"/>
  <c r="B8" i="26"/>
  <c r="H4" i="53" l="1"/>
  <c r="E9" i="26"/>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B9" i="26"/>
  <c r="L19" i="53" l="1"/>
  <c r="C20" i="53"/>
  <c r="H20" i="53" s="1"/>
  <c r="G20" i="53"/>
  <c r="E10" i="26"/>
  <c r="L20" i="53" l="1"/>
  <c r="C21" i="53"/>
  <c r="H21" i="53" s="1"/>
  <c r="G21" i="53"/>
  <c r="B10" i="26"/>
  <c r="L21" i="53" l="1"/>
  <c r="C22" i="53"/>
  <c r="H22" i="53" s="1"/>
  <c r="G22" i="53"/>
  <c r="E13" i="26"/>
  <c r="E11" i="26"/>
  <c r="L22" i="53" l="1"/>
  <c r="C23" i="53"/>
  <c r="H23" i="53" s="1"/>
  <c r="G23" i="53"/>
  <c r="B11" i="26"/>
  <c r="B13" i="26"/>
  <c r="L23" i="53" l="1"/>
  <c r="C24" i="53"/>
  <c r="H24" i="53" s="1"/>
  <c r="G24" i="53"/>
  <c r="E12" i="26"/>
  <c r="E14" i="26"/>
  <c r="L24" i="53" l="1"/>
  <c r="M24" i="53"/>
  <c r="C25" i="53"/>
  <c r="H25" i="53" s="1"/>
  <c r="G25" i="53"/>
  <c r="B12" i="26"/>
  <c r="B14" i="26"/>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F115" i="6"/>
  <c r="F203" i="6"/>
  <c r="F96" i="6"/>
  <c r="F97" i="6"/>
  <c r="F148" i="6"/>
  <c r="F155" i="6"/>
  <c r="F253" i="6"/>
  <c r="F10" i="6"/>
  <c r="F8" i="6"/>
  <c r="F116" i="6"/>
  <c r="F15" i="6"/>
  <c r="F214" i="6"/>
  <c r="F157" i="6"/>
  <c r="F94" i="6"/>
  <c r="F183" i="6"/>
  <c r="F235" i="6"/>
  <c r="E15" i="26"/>
  <c r="F195" i="6"/>
  <c r="F29" i="6"/>
  <c r="F117" i="6"/>
  <c r="F243" i="6"/>
  <c r="F95" i="5"/>
  <c r="F37" i="5"/>
  <c r="F64" i="5"/>
  <c r="F141" i="5"/>
  <c r="F241" i="5"/>
  <c r="F216" i="6"/>
  <c r="F232" i="6"/>
  <c r="F130" i="5"/>
  <c r="F38" i="5"/>
  <c r="F27" i="6"/>
  <c r="F205" i="5"/>
  <c r="F178" i="5"/>
  <c r="B15" i="26"/>
  <c r="F14" i="6"/>
  <c r="F188" i="6"/>
  <c r="F6" i="6"/>
  <c r="F217" i="6"/>
  <c r="F135" i="6"/>
  <c r="F124" i="5"/>
  <c r="F81" i="5"/>
  <c r="F197" i="5"/>
  <c r="F94" i="5"/>
  <c r="F218" i="5"/>
  <c r="F159" i="5"/>
  <c r="F111" i="5"/>
  <c r="F161" i="5"/>
  <c r="F82" i="5"/>
  <c r="F128" i="5"/>
  <c r="F46" i="5"/>
  <c r="F121" i="5"/>
  <c r="F27" i="5"/>
  <c r="F71" i="5"/>
  <c r="F172" i="5"/>
  <c r="F183" i="5"/>
  <c r="F153" i="5"/>
  <c r="F216" i="5"/>
  <c r="F125" i="5"/>
  <c r="F13" i="5"/>
  <c r="F192" i="5"/>
  <c r="F88" i="5"/>
  <c r="F102" i="5"/>
  <c r="F26" i="5"/>
  <c r="F126" i="5"/>
  <c r="F257" i="5"/>
  <c r="F177" i="5"/>
  <c r="F25" i="6"/>
  <c r="F132" i="6"/>
  <c r="F112" i="6"/>
  <c r="F66" i="5"/>
  <c r="F218" i="6"/>
  <c r="F117" i="5"/>
  <c r="F113" i="5"/>
  <c r="F68" i="6"/>
  <c r="F101" i="5"/>
  <c r="F149" i="5"/>
  <c r="F249" i="5"/>
  <c r="F251" i="5"/>
  <c r="F74" i="5"/>
  <c r="F90" i="5"/>
  <c r="F135" i="5"/>
  <c r="F198" i="6"/>
  <c r="F231" i="6"/>
  <c r="F26" i="6"/>
  <c r="F24" i="6"/>
  <c r="F212" i="6"/>
  <c r="F73" i="6"/>
  <c r="F162" i="5"/>
  <c r="F36" i="6"/>
  <c r="F142" i="6"/>
  <c r="F126" i="6"/>
  <c r="F70" i="5"/>
  <c r="F190" i="5"/>
  <c r="F129" i="5"/>
  <c r="F132" i="5"/>
  <c r="F16" i="5"/>
  <c r="F44" i="5"/>
  <c r="B3" i="6"/>
  <c r="F84" i="6"/>
  <c r="F98" i="6"/>
  <c r="F32" i="6"/>
  <c r="F79" i="6"/>
  <c r="I2" i="5"/>
  <c r="F199" i="6"/>
  <c r="F223" i="6"/>
  <c r="F235" i="5"/>
  <c r="F52" i="5"/>
  <c r="F211" i="5"/>
  <c r="F252" i="5"/>
  <c r="F31" i="5"/>
  <c r="F92" i="6"/>
  <c r="F90" i="6"/>
  <c r="F5" i="6"/>
  <c r="F109" i="6"/>
  <c r="F185" i="6"/>
  <c r="F133" i="5"/>
  <c r="F200" i="6"/>
  <c r="F105" i="5"/>
  <c r="F65" i="6"/>
  <c r="F194" i="5"/>
  <c r="F9" i="6"/>
  <c r="F62" i="6"/>
  <c r="F60" i="6"/>
  <c r="F110" i="6"/>
  <c r="F248" i="6"/>
  <c r="F170" i="6"/>
  <c r="F43" i="6"/>
  <c r="F164" i="6"/>
  <c r="F204" i="6"/>
  <c r="F66" i="6"/>
  <c r="F20" i="6"/>
  <c r="F238" i="6"/>
  <c r="F40" i="6"/>
  <c r="F197" i="6"/>
  <c r="F225" i="6"/>
  <c r="F50" i="6"/>
  <c r="F237" i="6"/>
  <c r="F105" i="6"/>
  <c r="F190" i="6"/>
  <c r="F181" i="6"/>
  <c r="F199" i="5"/>
  <c r="F196" i="5"/>
  <c r="F59" i="5"/>
  <c r="F10" i="5"/>
  <c r="F23" i="5"/>
  <c r="F54" i="5"/>
  <c r="F234" i="5"/>
  <c r="F83" i="6"/>
  <c r="F24" i="5"/>
  <c r="F57" i="6"/>
  <c r="F249" i="6"/>
  <c r="F212" i="5"/>
  <c r="F28" i="6"/>
  <c r="F61" i="6"/>
  <c r="F139" i="6"/>
  <c r="F182" i="6"/>
  <c r="F205" i="6"/>
  <c r="F87" i="6"/>
  <c r="F189" i="5"/>
  <c r="F18" i="5"/>
  <c r="F80" i="5"/>
  <c r="F166" i="5"/>
  <c r="F223" i="5"/>
  <c r="F115" i="5"/>
  <c r="F92" i="5"/>
  <c r="F120" i="5"/>
  <c r="F109" i="5"/>
  <c r="F43" i="5"/>
  <c r="F96" i="5"/>
  <c r="F40" i="5"/>
  <c r="F187" i="5"/>
  <c r="F157" i="5"/>
  <c r="F198" i="5"/>
  <c r="F179" i="5"/>
  <c r="F230" i="5"/>
  <c r="F29" i="5"/>
  <c r="F154" i="5"/>
  <c r="F6" i="5"/>
  <c r="F169" i="5"/>
  <c r="F180" i="5"/>
  <c r="F21" i="5"/>
  <c r="F171" i="5"/>
  <c r="F30" i="6"/>
  <c r="F56" i="6"/>
  <c r="F187" i="6"/>
  <c r="F58" i="6"/>
  <c r="F128" i="6"/>
  <c r="F146" i="6"/>
  <c r="F16" i="6"/>
  <c r="F170" i="5"/>
  <c r="F250" i="5"/>
  <c r="F254" i="6"/>
  <c r="F30" i="5"/>
  <c r="F45" i="5"/>
  <c r="F150" i="5"/>
  <c r="F210" i="5"/>
  <c r="F240" i="5"/>
  <c r="F89" i="5"/>
  <c r="F104" i="6"/>
  <c r="F226" i="6"/>
  <c r="F52" i="6"/>
  <c r="F125" i="6"/>
  <c r="F41" i="6"/>
  <c r="F88" i="6"/>
  <c r="F171" i="6"/>
  <c r="F100" i="6"/>
  <c r="F72" i="6"/>
  <c r="F100" i="5"/>
  <c r="F83" i="5"/>
  <c r="F15" i="5"/>
  <c r="F84" i="5"/>
  <c r="F186" i="5"/>
  <c r="F213" i="5"/>
  <c r="F184" i="5"/>
  <c r="F141" i="6"/>
  <c r="F76" i="6"/>
  <c r="F207" i="6"/>
  <c r="F178" i="6"/>
  <c r="F114" i="6"/>
  <c r="F136" i="5"/>
  <c r="F121" i="6"/>
  <c r="F158" i="5"/>
  <c r="F122" i="6"/>
  <c r="F118" i="6"/>
  <c r="F131" i="6"/>
  <c r="F147" i="5"/>
  <c r="F14" i="5"/>
  <c r="F204" i="5"/>
  <c r="F7" i="5"/>
  <c r="F98" i="5"/>
  <c r="F108" i="5"/>
  <c r="F95" i="6"/>
  <c r="F85" i="6"/>
  <c r="F228" i="6"/>
  <c r="F89" i="6"/>
  <c r="F127" i="6"/>
  <c r="F195" i="5"/>
  <c r="F174" i="5"/>
  <c r="F45" i="6"/>
  <c r="F227" i="6"/>
  <c r="F236" i="6"/>
  <c r="F252" i="6"/>
  <c r="F242" i="6"/>
  <c r="F163" i="6"/>
  <c r="F174" i="6"/>
  <c r="F194" i="6"/>
  <c r="F91" i="6"/>
  <c r="F11" i="6"/>
  <c r="F167" i="6"/>
  <c r="F145" i="6"/>
  <c r="F133" i="6"/>
  <c r="F106" i="6"/>
  <c r="F46" i="6"/>
  <c r="F134" i="6"/>
  <c r="F77" i="6"/>
  <c r="F193" i="6"/>
  <c r="F257" i="6"/>
  <c r="F39" i="6"/>
  <c r="F162" i="6"/>
  <c r="F21" i="6"/>
  <c r="F86" i="6"/>
  <c r="F34" i="5"/>
  <c r="F18" i="6"/>
  <c r="F17" i="6"/>
  <c r="F22" i="6"/>
  <c r="F246" i="5"/>
  <c r="F217" i="5"/>
  <c r="F184" i="6"/>
  <c r="F151" i="6"/>
  <c r="F182" i="5"/>
  <c r="F33" i="6"/>
  <c r="F241" i="6"/>
  <c r="F188" i="5"/>
  <c r="F5" i="5"/>
  <c r="F31" i="6"/>
  <c r="F245" i="6"/>
  <c r="F251" i="6"/>
  <c r="F209" i="6"/>
  <c r="F154" i="6"/>
  <c r="F253" i="5"/>
  <c r="F254" i="5"/>
  <c r="F76" i="5"/>
  <c r="F41" i="5"/>
  <c r="F224" i="5"/>
  <c r="F33" i="5"/>
  <c r="F191" i="5"/>
  <c r="F239" i="5"/>
  <c r="F86" i="5"/>
  <c r="F139" i="5"/>
  <c r="F173" i="5"/>
  <c r="F63" i="5"/>
  <c r="F221" i="5"/>
  <c r="F91" i="5"/>
  <c r="F79" i="5"/>
  <c r="F167" i="5"/>
  <c r="F50" i="5"/>
  <c r="F231" i="5"/>
  <c r="F19" i="5"/>
  <c r="F247" i="5"/>
  <c r="F25" i="5"/>
  <c r="F144" i="5"/>
  <c r="F242" i="5"/>
  <c r="F107" i="5"/>
  <c r="F97" i="5"/>
  <c r="F225" i="5"/>
  <c r="F7" i="6"/>
  <c r="F224" i="6"/>
  <c r="F70" i="6"/>
  <c r="F206" i="6"/>
  <c r="F82" i="6"/>
  <c r="F211" i="6"/>
  <c r="F51" i="6"/>
  <c r="F238" i="5"/>
  <c r="F73" i="5"/>
  <c r="F169" i="6"/>
  <c r="F155" i="5"/>
  <c r="F220" i="5"/>
  <c r="F201" i="5"/>
  <c r="F87" i="5"/>
  <c r="F181" i="5"/>
  <c r="F114" i="5"/>
  <c r="F103" i="6"/>
  <c r="F244" i="6"/>
  <c r="F101" i="6"/>
  <c r="F220" i="6"/>
  <c r="F258" i="6"/>
  <c r="F53" i="6"/>
  <c r="F23" i="6"/>
  <c r="F259" i="5"/>
  <c r="F173" i="6"/>
  <c r="F129" i="6"/>
  <c r="F137" i="5"/>
  <c r="F163" i="5"/>
  <c r="F11" i="5"/>
  <c r="F118" i="5"/>
  <c r="F57" i="5"/>
  <c r="F9" i="5"/>
  <c r="F99" i="6"/>
  <c r="F247" i="6"/>
  <c r="F44" i="6"/>
  <c r="F120" i="6"/>
  <c r="F140" i="6"/>
  <c r="F213" i="6"/>
  <c r="F138" i="6"/>
  <c r="F177" i="6"/>
  <c r="F240" i="6"/>
  <c r="F78" i="6"/>
  <c r="F160" i="5"/>
  <c r="F226" i="5"/>
  <c r="F214" i="5"/>
  <c r="F39" i="5"/>
  <c r="F206" i="5"/>
  <c r="F140" i="5"/>
  <c r="F222" i="5"/>
  <c r="F165" i="6"/>
  <c r="F35" i="6"/>
  <c r="F136" i="6"/>
  <c r="F259" i="6"/>
  <c r="F192" i="6"/>
  <c r="F237" i="5"/>
  <c r="F137" i="6"/>
  <c r="F69" i="5"/>
  <c r="F191" i="6"/>
  <c r="F160" i="6"/>
  <c r="F227" i="5"/>
  <c r="I2" i="6"/>
  <c r="F81" i="6"/>
  <c r="F158" i="6"/>
  <c r="F222" i="6"/>
  <c r="F189" i="6"/>
  <c r="F159" i="6"/>
  <c r="F156" i="6"/>
  <c r="F256" i="6"/>
  <c r="F59" i="6"/>
  <c r="F37" i="6"/>
  <c r="F13" i="6"/>
  <c r="F180" i="6"/>
  <c r="F201" i="6"/>
  <c r="F175" i="6"/>
  <c r="F161" i="6"/>
  <c r="F42" i="6"/>
  <c r="F229" i="6"/>
  <c r="F108" i="6"/>
  <c r="F124" i="6"/>
  <c r="F210" i="6"/>
  <c r="F250" i="6"/>
  <c r="F71" i="6"/>
  <c r="F12" i="6"/>
  <c r="F202" i="6"/>
  <c r="F172" i="6"/>
  <c r="F64" i="6"/>
  <c r="F202" i="5"/>
  <c r="F229" i="5"/>
  <c r="F110" i="5"/>
  <c r="F74" i="6"/>
  <c r="F123" i="6"/>
  <c r="F215" i="6"/>
  <c r="F175" i="5"/>
  <c r="F47" i="6"/>
  <c r="F234" i="6"/>
  <c r="F239" i="6"/>
  <c r="F179" i="6"/>
  <c r="F153" i="6"/>
  <c r="F230" i="6"/>
  <c r="F219" i="5"/>
  <c r="F20" i="5"/>
  <c r="F42" i="5"/>
  <c r="F49" i="5"/>
  <c r="F215" i="5"/>
  <c r="F22" i="5"/>
  <c r="F112" i="5"/>
  <c r="F138" i="5"/>
  <c r="F8" i="5"/>
  <c r="F208" i="5"/>
  <c r="F236" i="5"/>
  <c r="F12" i="5"/>
  <c r="F244" i="5"/>
  <c r="F61" i="5"/>
  <c r="F203" i="5"/>
  <c r="F75" i="5"/>
  <c r="F122" i="5"/>
  <c r="F67" i="5"/>
  <c r="F164" i="5"/>
  <c r="F51" i="5"/>
  <c r="F131" i="5"/>
  <c r="F143" i="5"/>
  <c r="F93" i="5"/>
  <c r="F243" i="5"/>
  <c r="F116" i="5"/>
  <c r="F207" i="5"/>
  <c r="F221" i="6"/>
  <c r="F176" i="6"/>
  <c r="F48" i="6"/>
  <c r="F246" i="6"/>
  <c r="F102" i="6"/>
  <c r="F107" i="6"/>
  <c r="F75" i="6"/>
  <c r="F38" i="6"/>
  <c r="F80" i="6"/>
  <c r="F149" i="6"/>
  <c r="F186" i="6"/>
  <c r="F17" i="5"/>
  <c r="F258" i="5"/>
  <c r="F55" i="5"/>
  <c r="F145" i="5"/>
  <c r="F104" i="5"/>
  <c r="F256" i="5"/>
  <c r="F142" i="5"/>
  <c r="F67" i="6"/>
  <c r="F111" i="6"/>
  <c r="F255" i="6"/>
  <c r="F219" i="6"/>
  <c r="F93" i="6"/>
  <c r="F233" i="6"/>
  <c r="F168" i="6"/>
  <c r="F150" i="6"/>
  <c r="F196" i="6"/>
  <c r="F144" i="6"/>
  <c r="F200" i="5"/>
  <c r="F123" i="5"/>
  <c r="F72" i="5"/>
  <c r="F228" i="5"/>
  <c r="F119" i="5"/>
  <c r="F48" i="5"/>
  <c r="F148" i="5"/>
  <c r="F119" i="6"/>
  <c r="F147" i="6"/>
  <c r="F49" i="6"/>
  <c r="F208" i="6"/>
  <c r="F113" i="6"/>
  <c r="F103" i="5"/>
  <c r="F152" i="6"/>
  <c r="F166" i="6"/>
  <c r="F36" i="5"/>
  <c r="F63" i="6"/>
  <c r="F77" i="5"/>
  <c r="F165" i="5"/>
  <c r="F32" i="5"/>
  <c r="F127" i="5"/>
  <c r="F168" i="5"/>
  <c r="F28" i="5"/>
  <c r="F53" i="5"/>
  <c r="F69" i="6"/>
  <c r="F143" i="6"/>
  <c r="F55" i="6"/>
  <c r="F130" i="6"/>
  <c r="F54" i="6"/>
  <c r="F151" i="5"/>
  <c r="F176" i="5"/>
  <c r="F248" i="5"/>
  <c r="F19" i="6"/>
  <c r="F34" i="6"/>
  <c r="F193" i="5"/>
  <c r="F134" i="5"/>
  <c r="F232" i="5"/>
  <c r="F35" i="5"/>
  <c r="F60" i="5"/>
  <c r="F185" i="5"/>
  <c r="F65" i="5"/>
  <c r="F255" i="5"/>
  <c r="F99" i="5"/>
  <c r="F78" i="5"/>
  <c r="F58" i="5"/>
  <c r="F245" i="5"/>
  <c r="F209" i="5"/>
  <c r="F47" i="5"/>
  <c r="F156" i="5"/>
  <c r="F85" i="5"/>
  <c r="F146" i="5"/>
  <c r="F106" i="5"/>
  <c r="F233" i="5"/>
  <c r="F68" i="5"/>
  <c r="F62" i="5"/>
  <c r="F56" i="5"/>
  <c r="F152" i="5"/>
  <c r="E16" i="26"/>
  <c r="L64" i="53" l="1"/>
  <c r="G65" i="53"/>
  <c r="H65" i="53"/>
  <c r="B16" i="26"/>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8"/>
  <c r="H3" i="39"/>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K3" i="35"/>
  <c r="H3" i="37"/>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29" i="35"/>
  <c r="K19" i="35"/>
  <c r="K35" i="35"/>
  <c r="K14" i="35"/>
  <c r="K27" i="35"/>
  <c r="K18" i="35"/>
  <c r="K31" i="35"/>
  <c r="K28" i="35"/>
  <c r="K22" i="35"/>
  <c r="K33" i="35"/>
  <c r="K12" i="35"/>
  <c r="K16" i="35"/>
  <c r="K23" i="35"/>
  <c r="K26" i="35"/>
  <c r="K15" i="35"/>
  <c r="K13" i="35"/>
  <c r="K30" i="35"/>
  <c r="K17" i="35"/>
  <c r="K24" i="35"/>
  <c r="K25" i="35"/>
  <c r="K32" i="35"/>
  <c r="K34" i="35"/>
  <c r="K20" i="35"/>
  <c r="K36" i="35"/>
  <c r="K21"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5" i="31"/>
  <c r="K6" i="31"/>
  <c r="H38" i="52" l="1"/>
  <c r="H7" i="31"/>
  <c r="H8" i="31"/>
  <c r="M5" i="31"/>
  <c r="M6" i="31"/>
  <c r="K8" i="31"/>
  <c r="K7" i="31"/>
  <c r="H23" i="52" l="1"/>
  <c r="H9" i="31"/>
  <c r="L6" i="31"/>
  <c r="L5" i="31"/>
  <c r="K9" i="31"/>
  <c r="M7" i="31"/>
  <c r="M8" i="31"/>
  <c r="C38" i="52" l="1"/>
  <c r="H10" i="31"/>
  <c r="H11" i="31"/>
  <c r="L8" i="31"/>
  <c r="L7" i="31"/>
  <c r="M9" i="31"/>
  <c r="K11" i="31"/>
  <c r="K10" i="31"/>
  <c r="C53" i="52" l="1"/>
  <c r="H12" i="31"/>
  <c r="L9" i="31"/>
  <c r="L10" i="31"/>
  <c r="M11" i="31"/>
  <c r="F16" i="31"/>
  <c r="H16" i="31"/>
  <c r="K12" i="31"/>
  <c r="M10"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F15" i="29"/>
  <c r="F10" i="29"/>
  <c r="G5" i="30"/>
  <c r="G10" i="30"/>
  <c r="G4" i="30"/>
  <c r="F7" i="29"/>
  <c r="G14" i="30"/>
  <c r="G3" i="30"/>
  <c r="F6" i="29"/>
  <c r="F12" i="29"/>
  <c r="G13" i="30"/>
  <c r="G15" i="30"/>
  <c r="F13" i="29"/>
  <c r="F5" i="29"/>
  <c r="G11" i="30"/>
  <c r="F9" i="29"/>
  <c r="F14" i="29"/>
  <c r="G6" i="30"/>
  <c r="G12" i="30"/>
  <c r="G7" i="30"/>
  <c r="F11" i="29"/>
  <c r="S5" i="29"/>
  <c r="G9" i="30"/>
  <c r="G16" i="30"/>
  <c r="G8" i="30"/>
  <c r="F8" i="29"/>
  <c r="M4" i="29"/>
  <c r="L17" i="31"/>
  <c r="M12" i="31"/>
  <c r="G4" i="29"/>
  <c r="L20" i="31"/>
  <c r="G4" i="28"/>
  <c r="H19" i="31"/>
  <c r="O4" i="28"/>
  <c r="R12" i="29" l="1"/>
  <c r="R13" i="29"/>
  <c r="R14" i="29"/>
  <c r="R11" i="29"/>
  <c r="M7" i="29"/>
  <c r="E5" i="28"/>
  <c r="R10" i="29"/>
  <c r="M5" i="29"/>
  <c r="W6" i="28"/>
  <c r="R9" i="29"/>
  <c r="R6" i="29"/>
  <c r="R8" i="29"/>
  <c r="M6" i="29"/>
  <c r="E6" i="28"/>
  <c r="N5" i="28"/>
  <c r="R15" i="29"/>
  <c r="R7" i="29"/>
  <c r="N6" i="28"/>
  <c r="B7" i="28"/>
  <c r="C7" i="28"/>
  <c r="L12" i="31"/>
  <c r="X6" i="28"/>
  <c r="S7" i="29"/>
  <c r="F6" i="28"/>
  <c r="S11" i="29"/>
  <c r="S14" i="29"/>
  <c r="S9" i="29"/>
  <c r="S12" i="29"/>
  <c r="S8" i="29"/>
  <c r="B3" i="5"/>
  <c r="F5" i="28"/>
  <c r="S13" i="29"/>
  <c r="S6" i="29"/>
  <c r="S15" i="29"/>
  <c r="S10" i="29"/>
  <c r="M7" i="28" l="1"/>
  <c r="D7" i="28" s="1"/>
  <c r="E7" i="28" s="1"/>
  <c r="R7" i="28"/>
  <c r="S7" i="28" s="1"/>
  <c r="W7" i="28"/>
  <c r="X5" i="28"/>
  <c r="X7" i="28"/>
  <c r="F7" i="28"/>
  <c r="N7" i="28" l="1"/>
  <c r="B8" i="28"/>
  <c r="C8" i="28"/>
  <c r="M8" i="28" l="1"/>
  <c r="D8" i="28" s="1"/>
  <c r="E8" i="28" s="1"/>
  <c r="R8" i="28"/>
  <c r="S8" i="28" s="1"/>
  <c r="W8" i="28"/>
  <c r="X8" i="28"/>
  <c r="F8" i="28"/>
  <c r="N8" i="28" l="1"/>
  <c r="B9" i="28"/>
  <c r="C9" i="28"/>
  <c r="M9" i="28" l="1"/>
  <c r="D9" i="28" s="1"/>
  <c r="E9" i="28" s="1"/>
  <c r="R9" i="28"/>
  <c r="S9" i="28" s="1"/>
  <c r="W9" i="28"/>
  <c r="X9" i="28"/>
  <c r="F9" i="28"/>
  <c r="N9" i="28" l="1"/>
  <c r="B10" i="28"/>
  <c r="C10" i="28"/>
  <c r="M10" i="28" l="1"/>
  <c r="D10" i="28" s="1"/>
  <c r="E10" i="28" s="1"/>
  <c r="R10" i="28"/>
  <c r="S10" i="28" s="1"/>
  <c r="W10" i="28"/>
  <c r="F10" i="28"/>
  <c r="X10" i="28"/>
  <c r="N10" i="28" l="1"/>
  <c r="B11" i="28"/>
  <c r="C11" i="28"/>
  <c r="M11" i="28" l="1"/>
  <c r="D11" i="28" s="1"/>
  <c r="E11" i="28" s="1"/>
  <c r="R11" i="28"/>
  <c r="S11" i="28" s="1"/>
  <c r="W11" i="28"/>
  <c r="X11" i="28"/>
  <c r="F11" i="28"/>
  <c r="N11" i="28" l="1"/>
  <c r="B12" i="28"/>
  <c r="C12" i="28"/>
  <c r="M12" i="28" l="1"/>
  <c r="D12" i="28" s="1"/>
  <c r="E12" i="28" s="1"/>
  <c r="R12" i="28"/>
  <c r="S12" i="28" s="1"/>
  <c r="W12" i="28"/>
  <c r="X12" i="28"/>
  <c r="F12" i="28"/>
  <c r="G10" i="28"/>
  <c r="G11" i="29"/>
  <c r="H3" i="30"/>
  <c r="G15" i="29"/>
  <c r="G11" i="28"/>
  <c r="G7" i="29"/>
  <c r="H16" i="30"/>
  <c r="H6" i="30"/>
  <c r="H12" i="30"/>
  <c r="H11" i="30"/>
  <c r="H5" i="30"/>
  <c r="G5" i="28"/>
  <c r="G9" i="29"/>
  <c r="G12" i="29"/>
  <c r="G6" i="29"/>
  <c r="G8" i="29"/>
  <c r="H4" i="30"/>
  <c r="G9" i="28"/>
  <c r="G6" i="28"/>
  <c r="H8" i="30"/>
  <c r="G14" i="29"/>
  <c r="H7" i="30"/>
  <c r="H13" i="30"/>
  <c r="H15" i="30"/>
  <c r="H14" i="30"/>
  <c r="G10" i="29"/>
  <c r="G13" i="29"/>
  <c r="H9" i="30"/>
  <c r="G5" i="29"/>
  <c r="H10" i="30"/>
  <c r="G7" i="28"/>
  <c r="G8" i="28"/>
  <c r="N12" i="28" l="1"/>
  <c r="B13" i="28"/>
  <c r="C13" i="28"/>
  <c r="G12" i="28"/>
  <c r="M13" i="28" l="1"/>
  <c r="D13" i="28" s="1"/>
  <c r="E13" i="28" s="1"/>
  <c r="R13" i="28"/>
  <c r="S13" i="28" s="1"/>
  <c r="W13" i="28"/>
  <c r="X13" i="28"/>
  <c r="F13" i="28"/>
  <c r="N13" i="28" l="1"/>
  <c r="B14" i="28"/>
  <c r="C14" i="28"/>
  <c r="G13" i="28"/>
  <c r="M14" i="28" l="1"/>
  <c r="D14" i="28" s="1"/>
  <c r="E14" i="28" s="1"/>
  <c r="R14" i="28"/>
  <c r="S14" i="28" s="1"/>
  <c r="W14" i="28"/>
  <c r="F14" i="28"/>
  <c r="X14" i="28"/>
  <c r="N14" i="28" l="1"/>
  <c r="B15" i="28"/>
  <c r="C15" i="28"/>
  <c r="G14" i="28"/>
  <c r="M15" i="28" l="1"/>
  <c r="D15" i="28" s="1"/>
  <c r="E15" i="28" s="1"/>
  <c r="R15" i="28"/>
  <c r="S15" i="28" s="1"/>
  <c r="W15" i="28"/>
  <c r="F15" i="28"/>
  <c r="X15" i="28"/>
  <c r="N15" i="28" l="1"/>
  <c r="B16" i="28"/>
  <c r="C16" i="28"/>
  <c r="G15" i="28"/>
  <c r="M16" i="28" l="1"/>
  <c r="D16" i="28" s="1"/>
  <c r="E16" i="28" s="1"/>
  <c r="R16" i="28"/>
  <c r="S16" i="28" s="1"/>
  <c r="W16" i="28"/>
  <c r="X16" i="28"/>
  <c r="F16" i="28"/>
  <c r="N16" i="28" l="1"/>
  <c r="B17" i="28"/>
  <c r="C17" i="28"/>
  <c r="G16" i="28"/>
  <c r="M17" i="28" l="1"/>
  <c r="D17" i="28" s="1"/>
  <c r="E17" i="28" s="1"/>
  <c r="R17" i="28"/>
  <c r="S17" i="28" s="1"/>
  <c r="W17" i="28"/>
  <c r="F17" i="28"/>
  <c r="X17" i="28"/>
  <c r="N17" i="28" l="1"/>
  <c r="B18" i="28"/>
  <c r="C18" i="28"/>
  <c r="G17" i="28"/>
  <c r="M18" i="28" l="1"/>
  <c r="D18" i="28" s="1"/>
  <c r="E18" i="28" s="1"/>
  <c r="R18" i="28"/>
  <c r="S18" i="28" s="1"/>
  <c r="W18" i="28"/>
  <c r="X18" i="28"/>
  <c r="F18" i="28"/>
  <c r="N18" i="28" l="1"/>
  <c r="B19" i="28"/>
  <c r="C19" i="28"/>
  <c r="G18" i="28"/>
  <c r="M19" i="28" l="1"/>
  <c r="D19" i="28" s="1"/>
  <c r="E19" i="28" s="1"/>
  <c r="R19" i="28"/>
  <c r="S19" i="28" s="1"/>
  <c r="W19" i="28"/>
  <c r="F19" i="28"/>
  <c r="X19" i="28"/>
  <c r="N19" i="28" l="1"/>
  <c r="B20" i="28"/>
  <c r="C20" i="28"/>
  <c r="G19" i="28"/>
  <c r="M20" i="28" l="1"/>
  <c r="D20" i="28" s="1"/>
  <c r="E20" i="28" s="1"/>
  <c r="R20" i="28"/>
  <c r="S20" i="28" s="1"/>
  <c r="W20" i="28"/>
  <c r="X20" i="28"/>
  <c r="F20" i="28"/>
  <c r="N20" i="28" l="1"/>
  <c r="B21" i="28"/>
  <c r="C21" i="28"/>
  <c r="G20" i="28"/>
  <c r="M21" i="28" l="1"/>
  <c r="D21" i="28" s="1"/>
  <c r="E21" i="28" s="1"/>
  <c r="R21" i="28"/>
  <c r="S21" i="28" s="1"/>
  <c r="W21" i="28"/>
  <c r="F21" i="28"/>
  <c r="X21" i="28"/>
  <c r="N21" i="28" l="1"/>
  <c r="B22" i="28"/>
  <c r="C22" i="28"/>
  <c r="G21" i="28"/>
  <c r="M22" i="28" l="1"/>
  <c r="D22" i="28" s="1"/>
  <c r="E22" i="28" s="1"/>
  <c r="R22" i="28"/>
  <c r="S22" i="28" s="1"/>
  <c r="W22" i="28"/>
  <c r="F22" i="28"/>
  <c r="X22" i="28"/>
  <c r="N22" i="28" l="1"/>
  <c r="B23" i="28"/>
  <c r="C23" i="28"/>
  <c r="G22" i="28"/>
  <c r="M23" i="28" l="1"/>
  <c r="D23" i="28" s="1"/>
  <c r="E23" i="28" s="1"/>
  <c r="R23" i="28"/>
  <c r="S23" i="28" s="1"/>
  <c r="W23" i="28"/>
  <c r="X23" i="28"/>
  <c r="F23" i="28"/>
  <c r="N23" i="28" l="1"/>
  <c r="B24" i="28"/>
  <c r="C24" i="28"/>
  <c r="G23" i="28"/>
  <c r="M24" i="28" l="1"/>
  <c r="D24" i="28" s="1"/>
  <c r="E24" i="28" s="1"/>
  <c r="R24" i="28"/>
  <c r="S24" i="28" s="1"/>
  <c r="W24" i="28"/>
  <c r="F24" i="28"/>
  <c r="X24" i="28"/>
  <c r="N24" i="28" l="1"/>
  <c r="B25" i="28"/>
  <c r="C25" i="28"/>
  <c r="G24" i="28"/>
  <c r="M25" i="28" l="1"/>
  <c r="D25" i="28" s="1"/>
  <c r="E25" i="28" s="1"/>
  <c r="R25" i="28"/>
  <c r="S25" i="28" s="1"/>
  <c r="W25" i="28"/>
  <c r="F25" i="28"/>
  <c r="X25" i="28"/>
  <c r="N25" i="28" l="1"/>
  <c r="B26" i="28"/>
  <c r="C26" i="28"/>
  <c r="G25" i="28"/>
  <c r="M26" i="28" l="1"/>
  <c r="D26" i="28" s="1"/>
  <c r="E26" i="28" s="1"/>
  <c r="R26" i="28"/>
  <c r="S26" i="28" s="1"/>
  <c r="W26" i="28"/>
  <c r="X26" i="28"/>
  <c r="F26" i="28"/>
  <c r="N26" i="28" l="1"/>
  <c r="B27" i="28"/>
  <c r="C27" i="28"/>
  <c r="G26" i="28"/>
  <c r="M27" i="28" l="1"/>
  <c r="D27" i="28" s="1"/>
  <c r="E27" i="28" s="1"/>
  <c r="R27" i="28"/>
  <c r="S27" i="28" s="1"/>
  <c r="W27" i="28"/>
  <c r="F27" i="28"/>
  <c r="X27" i="28"/>
  <c r="N27" i="28" l="1"/>
  <c r="B28" i="28"/>
  <c r="C28" i="28"/>
  <c r="G27" i="28"/>
  <c r="M28" i="28" l="1"/>
  <c r="D28" i="28" s="1"/>
  <c r="E28" i="28" s="1"/>
  <c r="R28" i="28"/>
  <c r="S28" i="28" s="1"/>
  <c r="W28" i="28"/>
  <c r="X28" i="28"/>
  <c r="F28" i="28"/>
  <c r="N28" i="28" l="1"/>
  <c r="B29" i="28"/>
  <c r="C29" i="28"/>
  <c r="G28" i="28"/>
  <c r="M29" i="28" l="1"/>
  <c r="D29" i="28" s="1"/>
  <c r="E29" i="28" s="1"/>
  <c r="R29" i="28"/>
  <c r="S29" i="28" s="1"/>
  <c r="W29" i="28"/>
  <c r="X29" i="28"/>
  <c r="F29" i="28"/>
  <c r="N29" i="28" l="1"/>
  <c r="B30" i="28"/>
  <c r="C30" i="28"/>
  <c r="G29" i="28"/>
  <c r="M30" i="28" l="1"/>
  <c r="D30" i="28" s="1"/>
  <c r="E30" i="28" s="1"/>
  <c r="R30" i="28"/>
  <c r="S30" i="28" s="1"/>
  <c r="W30" i="28"/>
  <c r="F30" i="28"/>
  <c r="X30" i="28"/>
  <c r="N30" i="28" l="1"/>
  <c r="B31" i="28"/>
  <c r="C31" i="28"/>
  <c r="G30" i="28"/>
  <c r="M31" i="28" l="1"/>
  <c r="D31" i="28" s="1"/>
  <c r="E31" i="28" s="1"/>
  <c r="R31" i="28"/>
  <c r="S31" i="28" s="1"/>
  <c r="W31" i="28"/>
  <c r="F31" i="28"/>
  <c r="X31" i="28"/>
  <c r="N31" i="28" l="1"/>
  <c r="B32" i="28"/>
  <c r="C32" i="28"/>
  <c r="G31" i="28"/>
  <c r="M32" i="28" l="1"/>
  <c r="D32" i="28" s="1"/>
  <c r="E32" i="28" s="1"/>
  <c r="R32" i="28"/>
  <c r="S32" i="28" s="1"/>
  <c r="W32" i="28"/>
  <c r="X32" i="28"/>
  <c r="F32" i="28"/>
  <c r="N32" i="28" l="1"/>
  <c r="B33" i="28"/>
  <c r="C33" i="28"/>
  <c r="G32" i="28"/>
  <c r="M33" i="28" l="1"/>
  <c r="D33" i="28" s="1"/>
  <c r="E33" i="28" s="1"/>
  <c r="R33" i="28"/>
  <c r="S33" i="28" s="1"/>
  <c r="W33" i="28"/>
  <c r="F33" i="28"/>
  <c r="X33" i="28"/>
  <c r="N33" i="28" l="1"/>
  <c r="B34" i="28"/>
  <c r="C34" i="28"/>
  <c r="G33" i="28"/>
  <c r="M34" i="28" l="1"/>
  <c r="D34" i="28" s="1"/>
  <c r="E34" i="28" s="1"/>
  <c r="R34" i="28"/>
  <c r="S34" i="28" s="1"/>
  <c r="W34" i="28"/>
  <c r="X34" i="28"/>
  <c r="F34" i="28"/>
  <c r="N34" i="28" l="1"/>
  <c r="B35" i="28"/>
  <c r="C35" i="28"/>
  <c r="G34" i="28"/>
  <c r="M35" i="28" l="1"/>
  <c r="D35" i="28" s="1"/>
  <c r="E35" i="28" s="1"/>
  <c r="R35" i="28"/>
  <c r="S35" i="28" s="1"/>
  <c r="W35" i="28"/>
  <c r="X35" i="28"/>
  <c r="F35" i="28"/>
  <c r="N35" i="28" l="1"/>
  <c r="B36" i="28"/>
  <c r="C36" i="28"/>
  <c r="G35" i="28"/>
  <c r="M36" i="28" l="1"/>
  <c r="D36" i="28" s="1"/>
  <c r="E36" i="28" s="1"/>
  <c r="R36" i="28"/>
  <c r="S36" i="28" s="1"/>
  <c r="W36" i="28"/>
  <c r="F36" i="28"/>
  <c r="X36" i="28"/>
  <c r="N36" i="28" l="1"/>
  <c r="B37" i="28"/>
  <c r="C37" i="28"/>
  <c r="G36" i="28"/>
  <c r="M37" i="28" l="1"/>
  <c r="D37" i="28" s="1"/>
  <c r="E37" i="28" s="1"/>
  <c r="R37" i="28"/>
  <c r="S37" i="28" s="1"/>
  <c r="W37" i="28"/>
  <c r="F37" i="28"/>
  <c r="X37" i="28"/>
  <c r="N37" i="28" l="1"/>
  <c r="B38" i="28"/>
  <c r="C38" i="28"/>
  <c r="G37" i="28"/>
  <c r="M38" i="28" l="1"/>
  <c r="D38" i="28" s="1"/>
  <c r="E38" i="28" s="1"/>
  <c r="R38" i="28"/>
  <c r="S38" i="28" s="1"/>
  <c r="W38" i="28"/>
  <c r="X38" i="28"/>
  <c r="F38" i="28"/>
  <c r="N38" i="28" l="1"/>
  <c r="B39" i="28"/>
  <c r="C39" i="28"/>
  <c r="G38" i="28"/>
  <c r="M39" i="28" l="1"/>
  <c r="D39" i="28" s="1"/>
  <c r="E39" i="28" s="1"/>
  <c r="R39" i="28"/>
  <c r="S39" i="28" s="1"/>
  <c r="W39" i="28"/>
  <c r="X39" i="28"/>
  <c r="F39" i="28"/>
  <c r="N39" i="28" l="1"/>
  <c r="B40" i="28"/>
  <c r="C40" i="28"/>
  <c r="G39" i="28"/>
  <c r="M40" i="28" l="1"/>
  <c r="D40" i="28" s="1"/>
  <c r="E40" i="28" s="1"/>
  <c r="R40" i="28"/>
  <c r="S40" i="28" s="1"/>
  <c r="W40" i="28"/>
  <c r="F40" i="28"/>
  <c r="X40" i="28"/>
  <c r="N40" i="28" l="1"/>
  <c r="B41" i="28"/>
  <c r="C41" i="28"/>
  <c r="G40" i="28"/>
  <c r="M41" i="28" l="1"/>
  <c r="D41" i="28" s="1"/>
  <c r="E41" i="28" s="1"/>
  <c r="R41" i="28"/>
  <c r="S41" i="28" s="1"/>
  <c r="W41" i="28"/>
  <c r="X41" i="28"/>
  <c r="F41" i="28"/>
  <c r="N41" i="28" l="1"/>
  <c r="B42" i="28"/>
  <c r="C42" i="28"/>
  <c r="G41" i="28"/>
  <c r="M42" i="28" l="1"/>
  <c r="D42" i="28" s="1"/>
  <c r="E42" i="28" s="1"/>
  <c r="R42" i="28"/>
  <c r="S42" i="28" s="1"/>
  <c r="W42" i="28"/>
  <c r="F42" i="28"/>
  <c r="X42" i="28"/>
  <c r="N42" i="28" l="1"/>
  <c r="B43" i="28"/>
  <c r="C43" i="28"/>
  <c r="G42" i="28"/>
  <c r="M43" i="28" l="1"/>
  <c r="D43" i="28" s="1"/>
  <c r="E43" i="28" s="1"/>
  <c r="R43" i="28"/>
  <c r="S43" i="28" s="1"/>
  <c r="W43" i="28"/>
  <c r="X43" i="28"/>
  <c r="F43" i="28"/>
  <c r="N43" i="28" l="1"/>
  <c r="B44" i="28"/>
  <c r="C44" i="28"/>
  <c r="G43" i="28"/>
  <c r="M44" i="28" l="1"/>
  <c r="D44" i="28" s="1"/>
  <c r="E44" i="28" s="1"/>
  <c r="R44" i="28"/>
  <c r="S44" i="28" s="1"/>
  <c r="W44" i="28"/>
  <c r="X44" i="28"/>
  <c r="F44" i="28"/>
  <c r="N44" i="28" l="1"/>
  <c r="B45" i="28"/>
  <c r="C45" i="28"/>
  <c r="G44" i="28"/>
  <c r="M45" i="28" l="1"/>
  <c r="D45" i="28" s="1"/>
  <c r="E45" i="28" s="1"/>
  <c r="R45" i="28"/>
  <c r="S45" i="28" s="1"/>
  <c r="W45" i="28"/>
  <c r="F45" i="28"/>
  <c r="X45" i="28"/>
  <c r="N45" i="28" l="1"/>
  <c r="B46" i="28"/>
  <c r="C46" i="28"/>
  <c r="G45" i="28"/>
  <c r="M46" i="28" l="1"/>
  <c r="D46" i="28" s="1"/>
  <c r="E46" i="28" s="1"/>
  <c r="R46" i="28"/>
  <c r="S46" i="28" s="1"/>
  <c r="W46" i="28"/>
  <c r="X46" i="28"/>
  <c r="F46" i="28"/>
  <c r="N46" i="28" l="1"/>
  <c r="B47" i="28"/>
  <c r="C47" i="28"/>
  <c r="G46" i="28"/>
  <c r="M47" i="28" l="1"/>
  <c r="D47" i="28" s="1"/>
  <c r="E47" i="28" s="1"/>
  <c r="R47" i="28"/>
  <c r="S47" i="28" s="1"/>
  <c r="W47" i="28"/>
  <c r="X47" i="28"/>
  <c r="F47" i="28"/>
  <c r="N47" i="28" l="1"/>
  <c r="B48" i="28"/>
  <c r="C48" i="28"/>
  <c r="G47" i="28"/>
  <c r="M48" i="28" l="1"/>
  <c r="D48" i="28" s="1"/>
  <c r="E48" i="28" s="1"/>
  <c r="R48" i="28"/>
  <c r="S48" i="28" s="1"/>
  <c r="W48" i="28"/>
  <c r="X48" i="28"/>
  <c r="F48" i="28"/>
  <c r="N48" i="28" l="1"/>
  <c r="B49" i="28"/>
  <c r="C49" i="28"/>
  <c r="G48" i="28"/>
  <c r="M49" i="28" l="1"/>
  <c r="D49" i="28" s="1"/>
  <c r="E49" i="28" s="1"/>
  <c r="R49" i="28"/>
  <c r="S49" i="28" s="1"/>
  <c r="W49" i="28"/>
  <c r="X49" i="28"/>
  <c r="F49" i="28"/>
  <c r="N49" i="28" l="1"/>
  <c r="B50" i="28"/>
  <c r="C50" i="28"/>
  <c r="M50" i="28"/>
  <c r="D50" i="28" s="1"/>
  <c r="R50" i="28"/>
  <c r="S50" i="28" s="1"/>
  <c r="W50" i="28"/>
  <c r="G49" i="28"/>
  <c r="N50" i="28" l="1"/>
  <c r="E50" i="28"/>
  <c r="B51" i="28"/>
  <c r="C51" i="28"/>
  <c r="M51" i="28"/>
  <c r="D51" i="28" s="1"/>
  <c r="R51" i="28"/>
  <c r="S51" i="28" s="1"/>
  <c r="W51" i="28"/>
  <c r="F50" i="28"/>
  <c r="G50" i="28"/>
  <c r="E51" i="28" l="1"/>
  <c r="N51" i="28"/>
  <c r="B52" i="28"/>
  <c r="C52" i="28"/>
  <c r="X50" i="28"/>
  <c r="F51" i="28"/>
  <c r="M52" i="28" l="1"/>
  <c r="D52" i="28" s="1"/>
  <c r="E52" i="28" s="1"/>
  <c r="R52" i="28"/>
  <c r="S52" i="28" s="1"/>
  <c r="W52" i="28"/>
  <c r="X51" i="28"/>
  <c r="X52" i="28"/>
  <c r="F52" i="28"/>
  <c r="G51" i="28"/>
  <c r="N52" i="28" l="1"/>
  <c r="B53" i="28"/>
  <c r="C53" i="28"/>
  <c r="G52" i="28"/>
  <c r="M53" i="28" l="1"/>
  <c r="D53" i="28" s="1"/>
  <c r="E53" i="28" s="1"/>
  <c r="R53" i="28"/>
  <c r="S53" i="28" s="1"/>
  <c r="W53" i="28"/>
  <c r="F53" i="28"/>
  <c r="X53" i="28"/>
  <c r="N53" i="28" l="1"/>
  <c r="B54" i="28"/>
  <c r="C54" i="28"/>
  <c r="G53" i="28"/>
  <c r="M54" i="28" l="1"/>
  <c r="D54" i="28" s="1"/>
  <c r="E54" i="28" s="1"/>
  <c r="R54" i="28"/>
  <c r="S54" i="28" s="1"/>
  <c r="W54" i="28"/>
  <c r="X54" i="28"/>
  <c r="F54" i="28"/>
  <c r="N54" i="28" l="1"/>
  <c r="B55" i="28"/>
  <c r="C55" i="28"/>
  <c r="G54" i="28"/>
  <c r="M55" i="28" l="1"/>
  <c r="D55" i="28" s="1"/>
  <c r="E55" i="28" s="1"/>
  <c r="R55" i="28"/>
  <c r="S55" i="28" s="1"/>
  <c r="W55" i="28"/>
  <c r="F55" i="28"/>
  <c r="X55" i="28"/>
  <c r="N55" i="28" l="1"/>
  <c r="B56" i="28"/>
  <c r="C56" i="28"/>
  <c r="G55" i="28"/>
  <c r="M56" i="28" l="1"/>
  <c r="D56" i="28" s="1"/>
  <c r="E56" i="28" s="1"/>
  <c r="R56" i="28"/>
  <c r="S56" i="28" s="1"/>
  <c r="W56" i="28"/>
  <c r="X56" i="28"/>
  <c r="F56" i="28"/>
  <c r="N56" i="28" l="1"/>
  <c r="B57" i="28"/>
  <c r="C57" i="28"/>
  <c r="G56" i="28"/>
  <c r="M57" i="28" l="1"/>
  <c r="D57" i="28" s="1"/>
  <c r="E57" i="28" s="1"/>
  <c r="R57" i="28"/>
  <c r="S57" i="28" s="1"/>
  <c r="W57" i="28"/>
  <c r="X57" i="28"/>
  <c r="F57" i="28"/>
  <c r="N57" i="28" l="1"/>
  <c r="B58" i="28"/>
  <c r="C58" i="28"/>
  <c r="G57" i="28"/>
  <c r="M58" i="28" l="1"/>
  <c r="D58" i="28" s="1"/>
  <c r="E58" i="28" s="1"/>
  <c r="R58" i="28"/>
  <c r="S58" i="28" s="1"/>
  <c r="W58" i="28"/>
  <c r="X58" i="28"/>
  <c r="F58" i="28"/>
  <c r="N58" i="28" l="1"/>
  <c r="O5" i="28" s="1" a="1"/>
  <c r="O2" i="27"/>
  <c r="G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N5" i="27"/>
  <c r="O5" i="27" s="1"/>
  <c r="R5" i="27"/>
  <c r="S5" i="27" s="1"/>
  <c r="W5" i="27" a="1"/>
  <c r="W5" i="27" s="1"/>
  <c r="B6" i="27"/>
  <c r="N6" i="27"/>
  <c r="O6" i="27" s="1"/>
  <c r="R6" i="27"/>
  <c r="S6" i="27" s="1"/>
  <c r="B7" i="27"/>
  <c r="N7" i="27"/>
  <c r="O7" i="27" s="1"/>
  <c r="R7" i="27"/>
  <c r="S7" i="27" s="1"/>
  <c r="B8" i="27"/>
  <c r="N8" i="27"/>
  <c r="O8" i="27" s="1"/>
  <c r="R8" i="27"/>
  <c r="S8" i="27" s="1"/>
  <c r="B9" i="27"/>
  <c r="N9" i="27"/>
  <c r="O9" i="27" s="1"/>
  <c r="R9" i="27"/>
  <c r="S9" i="27" s="1"/>
  <c r="B10" i="27"/>
  <c r="N10" i="27"/>
  <c r="O10" i="27" s="1"/>
  <c r="R10" i="27"/>
  <c r="S10" i="27" s="1"/>
  <c r="B11" i="27"/>
  <c r="N11" i="27"/>
  <c r="O11" i="27" s="1"/>
  <c r="R11" i="27"/>
  <c r="S11" i="27" s="1"/>
  <c r="B12" i="27"/>
  <c r="N12" i="27"/>
  <c r="O12" i="27" s="1"/>
  <c r="R12" i="27"/>
  <c r="S12" i="27" s="1"/>
  <c r="B13" i="27"/>
  <c r="N13" i="27"/>
  <c r="O13" i="27" s="1"/>
  <c r="R13" i="27"/>
  <c r="S13" i="27" s="1"/>
  <c r="B14" i="27"/>
  <c r="N14" i="27"/>
  <c r="O14" i="27" s="1"/>
  <c r="R14" i="27"/>
  <c r="S14" i="27" s="1"/>
  <c r="B15" i="27"/>
  <c r="N15" i="27"/>
  <c r="O15" i="27" s="1"/>
  <c r="R15" i="27"/>
  <c r="S15" i="27" s="1"/>
  <c r="B16" i="27"/>
  <c r="N16" i="27"/>
  <c r="O16" i="27" s="1"/>
  <c r="R16" i="27"/>
  <c r="S16" i="27" s="1"/>
  <c r="B17" i="27"/>
  <c r="N17" i="27"/>
  <c r="O17" i="27" s="1"/>
  <c r="R17" i="27"/>
  <c r="S17" i="27" s="1"/>
  <c r="B18" i="27"/>
  <c r="N18" i="27"/>
  <c r="O18" i="27" s="1"/>
  <c r="R18" i="27"/>
  <c r="S18" i="27" s="1"/>
  <c r="B19" i="27"/>
  <c r="N19" i="27"/>
  <c r="O19" i="27" s="1"/>
  <c r="R19" i="27"/>
  <c r="S19" i="27" s="1"/>
  <c r="B20" i="27"/>
  <c r="N20" i="27"/>
  <c r="O20" i="27" s="1"/>
  <c r="R20" i="27"/>
  <c r="S20" i="27" s="1"/>
  <c r="B21" i="27"/>
  <c r="N21" i="27"/>
  <c r="O21" i="27" s="1"/>
  <c r="R21" i="27"/>
  <c r="S21" i="27" s="1"/>
  <c r="B22" i="27"/>
  <c r="N22" i="27"/>
  <c r="O22" i="27" s="1"/>
  <c r="R22" i="27"/>
  <c r="S22" i="27" s="1"/>
  <c r="B23" i="27"/>
  <c r="N23" i="27"/>
  <c r="O23" i="27" s="1"/>
  <c r="R23" i="27"/>
  <c r="S23" i="27" s="1"/>
  <c r="B24" i="27"/>
  <c r="N24" i="27"/>
  <c r="O24" i="27" s="1"/>
  <c r="R24" i="27"/>
  <c r="S24" i="27" s="1"/>
  <c r="B25" i="27"/>
  <c r="N25" i="27"/>
  <c r="O25" i="27" s="1"/>
  <c r="R25" i="27"/>
  <c r="S25" i="27" s="1"/>
  <c r="B26" i="27"/>
  <c r="N26" i="27"/>
  <c r="O26" i="27" s="1"/>
  <c r="R26" i="27"/>
  <c r="S26" i="27" s="1"/>
  <c r="B27" i="27"/>
  <c r="N27" i="27"/>
  <c r="O27" i="27" s="1"/>
  <c r="R27" i="27"/>
  <c r="S27" i="27" s="1"/>
  <c r="B28" i="27"/>
  <c r="N28" i="27"/>
  <c r="O28" i="27" s="1"/>
  <c r="R28" i="27"/>
  <c r="S28" i="27" s="1"/>
  <c r="B29" i="27"/>
  <c r="N29" i="27"/>
  <c r="O29" i="27" s="1"/>
  <c r="R29" i="27"/>
  <c r="S29" i="27" s="1"/>
  <c r="B30" i="27"/>
  <c r="N30" i="27"/>
  <c r="O30" i="27" s="1"/>
  <c r="R30" i="27"/>
  <c r="S30" i="27" s="1"/>
  <c r="B31" i="27"/>
  <c r="N31" i="27"/>
  <c r="O31" i="27" s="1"/>
  <c r="R31" i="27"/>
  <c r="S31" i="27" s="1"/>
  <c r="B32" i="27"/>
  <c r="N32" i="27"/>
  <c r="O32" i="27" s="1"/>
  <c r="R32" i="27"/>
  <c r="S32" i="27" s="1"/>
  <c r="B33" i="27"/>
  <c r="N33" i="27"/>
  <c r="O33" i="27" s="1"/>
  <c r="R33" i="27"/>
  <c r="S33" i="27" s="1"/>
  <c r="B34" i="27"/>
  <c r="N34" i="27"/>
  <c r="O34" i="27" s="1"/>
  <c r="R34" i="27"/>
  <c r="S34" i="27" s="1"/>
  <c r="B35" i="27"/>
  <c r="N35" i="27"/>
  <c r="O35" i="27" s="1"/>
  <c r="R35" i="27"/>
  <c r="S35" i="27" s="1"/>
  <c r="B36" i="27"/>
  <c r="N36" i="27"/>
  <c r="O36" i="27" s="1"/>
  <c r="R36" i="27"/>
  <c r="S36" i="27" s="1"/>
  <c r="B37" i="27"/>
  <c r="N37" i="27"/>
  <c r="O37" i="27" s="1"/>
  <c r="R37" i="27"/>
  <c r="S37" i="27" s="1"/>
  <c r="B38" i="27"/>
  <c r="N38" i="27"/>
  <c r="O38" i="27" s="1"/>
  <c r="R38" i="27"/>
  <c r="S38" i="27" s="1"/>
  <c r="B39" i="27"/>
  <c r="E39" i="27"/>
  <c r="N39" i="27"/>
  <c r="O39" i="27" s="1"/>
  <c r="R39" i="27"/>
  <c r="S39" i="27" s="1"/>
  <c r="B40" i="27"/>
  <c r="N40" i="27"/>
  <c r="O40" i="27" s="1"/>
  <c r="R40" i="27"/>
  <c r="S40" i="27" s="1"/>
  <c r="P2" i="26"/>
  <c r="C5" i="26"/>
  <c r="D5" i="26"/>
  <c r="O5" i="26"/>
  <c r="T5" i="26"/>
  <c r="U5" i="26" s="1"/>
  <c r="Y5" i="26" a="1"/>
  <c r="Y5" i="26" s="1"/>
  <c r="C6" i="26"/>
  <c r="D6" i="26"/>
  <c r="O6" i="26"/>
  <c r="T6" i="26"/>
  <c r="U6" i="26" s="1"/>
  <c r="F39" i="27"/>
  <c r="P4" i="26"/>
  <c r="E29" i="27" l="1"/>
  <c r="E15" i="27"/>
  <c r="E7" i="27"/>
  <c r="E28" i="27"/>
  <c r="E33" i="27"/>
  <c r="E25" i="27"/>
  <c r="E17" i="27"/>
  <c r="E9" i="27"/>
  <c r="E37" i="27"/>
  <c r="E13" i="27"/>
  <c r="F5" i="26"/>
  <c r="E36" i="27"/>
  <c r="E20" i="27"/>
  <c r="E12" i="27"/>
  <c r="E30" i="27"/>
  <c r="E22" i="27"/>
  <c r="E14" i="27"/>
  <c r="E6" i="27"/>
  <c r="E26" i="27"/>
  <c r="E18" i="27"/>
  <c r="E10" i="27"/>
  <c r="E5" i="27"/>
  <c r="E23" i="27"/>
  <c r="E35" i="27"/>
  <c r="E27" i="27"/>
  <c r="E19" i="27"/>
  <c r="E11" i="27"/>
  <c r="E21" i="27"/>
  <c r="E34" i="27"/>
  <c r="E31" i="27"/>
  <c r="E38" i="27"/>
  <c r="E40" i="27"/>
  <c r="E32" i="27"/>
  <c r="E24" i="27"/>
  <c r="E16" i="27"/>
  <c r="E8" i="27"/>
  <c r="W8" i="27"/>
  <c r="Y6"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F28" i="27"/>
  <c r="F19" i="27"/>
  <c r="F14" i="27"/>
  <c r="F13" i="27"/>
  <c r="F33" i="27"/>
  <c r="F9" i="27"/>
  <c r="F18" i="27"/>
  <c r="F32" i="27"/>
  <c r="F10" i="27"/>
  <c r="F21" i="27"/>
  <c r="F30" i="27"/>
  <c r="F11" i="27"/>
  <c r="F6" i="27"/>
  <c r="F31" i="27"/>
  <c r="F38" i="27"/>
  <c r="F23" i="27"/>
  <c r="F37" i="27"/>
  <c r="F12" i="27"/>
  <c r="F24" i="27"/>
  <c r="X39" i="27"/>
  <c r="F29" i="27"/>
  <c r="F35" i="27"/>
  <c r="F8" i="27"/>
  <c r="F17" i="27"/>
  <c r="F7" i="27"/>
  <c r="F36" i="27"/>
  <c r="F5" i="27"/>
  <c r="F20" i="27"/>
  <c r="F25" i="27"/>
  <c r="F27" i="27"/>
  <c r="F16" i="27"/>
  <c r="G6" i="26"/>
  <c r="F22" i="27"/>
  <c r="F26" i="27"/>
  <c r="F15" i="27"/>
  <c r="F34" i="27"/>
  <c r="F40" i="27"/>
  <c r="X34" i="27"/>
  <c r="G26" i="27"/>
  <c r="G25" i="27"/>
  <c r="G34" i="27"/>
  <c r="G27" i="27"/>
  <c r="G40" i="27"/>
  <c r="G39" i="27"/>
  <c r="G29" i="27"/>
  <c r="G23" i="27"/>
  <c r="G20" i="27"/>
  <c r="G28" i="27"/>
  <c r="G18" i="27"/>
  <c r="G38" i="27"/>
  <c r="G5" i="26"/>
  <c r="G33" i="27"/>
  <c r="G35" i="27"/>
  <c r="C8" i="26" l="1"/>
  <c r="D8" i="26"/>
  <c r="O8" i="26"/>
  <c r="T8" i="26"/>
  <c r="U8" i="26" s="1"/>
  <c r="Y8" i="26"/>
  <c r="Z6" i="26"/>
  <c r="X20" i="27"/>
  <c r="X38" i="27"/>
  <c r="X12" i="27"/>
  <c r="X17" i="27"/>
  <c r="X37" i="27"/>
  <c r="X31" i="27"/>
  <c r="X21" i="27"/>
  <c r="X16" i="27"/>
  <c r="X32" i="27"/>
  <c r="X18" i="27"/>
  <c r="X25" i="27"/>
  <c r="X27" i="27"/>
  <c r="X26" i="27"/>
  <c r="X9" i="27"/>
  <c r="X30" i="27"/>
  <c r="X13" i="27"/>
  <c r="X24" i="27"/>
  <c r="X11" i="27"/>
  <c r="X19" i="27"/>
  <c r="X28" i="27"/>
  <c r="X6" i="27"/>
  <c r="X36" i="27"/>
  <c r="X5" i="27"/>
  <c r="X23" i="27"/>
  <c r="X40" i="27"/>
  <c r="X35" i="27"/>
  <c r="X8" i="27"/>
  <c r="X7" i="27"/>
  <c r="X29" i="27"/>
  <c r="X22" i="27"/>
  <c r="X15" i="27"/>
  <c r="X33" i="27"/>
  <c r="X14" i="27"/>
  <c r="X10" i="27"/>
  <c r="G7" i="26"/>
  <c r="G36" i="27"/>
  <c r="G15" i="27"/>
  <c r="G5" i="27"/>
  <c r="G37" i="27"/>
  <c r="G11" i="27"/>
  <c r="G22" i="27"/>
  <c r="G13" i="27"/>
  <c r="G10" i="27"/>
  <c r="H5" i="26"/>
  <c r="G32" i="27"/>
  <c r="G8" i="27"/>
  <c r="G24" i="27"/>
  <c r="G21" i="27"/>
  <c r="G12" i="27"/>
  <c r="Z5" i="26"/>
  <c r="G14" i="27"/>
  <c r="G16" i="27"/>
  <c r="G9" i="27"/>
  <c r="G6" i="27"/>
  <c r="G19" i="27"/>
  <c r="G31" i="27"/>
  <c r="G30" i="27"/>
  <c r="G17" i="27"/>
  <c r="G7" i="27"/>
  <c r="F6" i="26" l="1"/>
  <c r="C9" i="26"/>
  <c r="D9" i="26"/>
  <c r="O9" i="26"/>
  <c r="T9" i="26"/>
  <c r="U9" i="26" s="1"/>
  <c r="Y9" i="26"/>
  <c r="G9" i="26"/>
  <c r="G8" i="26"/>
  <c r="Z7" i="26"/>
  <c r="C10" i="26" l="1"/>
  <c r="D10" i="26"/>
  <c r="O10" i="26"/>
  <c r="T10" i="26"/>
  <c r="U10" i="26" s="1"/>
  <c r="Y10" i="26"/>
  <c r="Z9" i="26"/>
  <c r="Z8" i="26"/>
  <c r="H6" i="26"/>
  <c r="F7" i="26" l="1"/>
  <c r="C11" i="26"/>
  <c r="D11" i="26"/>
  <c r="O11" i="26"/>
  <c r="T11" i="26"/>
  <c r="U11" i="26" s="1"/>
  <c r="Y11" i="26"/>
  <c r="G10" i="26"/>
  <c r="H7" i="26"/>
  <c r="C12" i="26" l="1"/>
  <c r="D12" i="26"/>
  <c r="O12" i="26"/>
  <c r="T12" i="26"/>
  <c r="U12" i="26" s="1"/>
  <c r="Y12" i="26"/>
  <c r="Z10" i="26"/>
  <c r="G11" i="26"/>
  <c r="F8" i="26" l="1"/>
  <c r="C13" i="26"/>
  <c r="D13" i="26"/>
  <c r="O13" i="26"/>
  <c r="T13" i="26"/>
  <c r="U13" i="26" s="1"/>
  <c r="Y13" i="26"/>
  <c r="Z11" i="26"/>
  <c r="G12" i="26"/>
  <c r="C14" i="26" l="1"/>
  <c r="D14" i="26"/>
  <c r="O14" i="26"/>
  <c r="T14" i="26"/>
  <c r="U14" i="26" s="1"/>
  <c r="Y14" i="26"/>
  <c r="Z12" i="26"/>
  <c r="G13" i="26"/>
  <c r="H8" i="26"/>
  <c r="F9" i="26" l="1"/>
  <c r="C15" i="26"/>
  <c r="D15" i="26"/>
  <c r="O15" i="26"/>
  <c r="T15" i="26"/>
  <c r="U15" i="26" s="1"/>
  <c r="Y15" i="26"/>
  <c r="G14" i="26"/>
  <c r="Z13" i="26"/>
  <c r="F10" i="26" l="1"/>
  <c r="C16" i="26"/>
  <c r="D16" i="26"/>
  <c r="O16" i="26"/>
  <c r="P5" i="26" s="1" a="1"/>
  <c r="P16" i="26" s="1"/>
  <c r="T16" i="26"/>
  <c r="U16" i="26" s="1"/>
  <c r="Y16" i="26"/>
  <c r="Z14" i="26"/>
  <c r="G15" i="26"/>
  <c r="H9" i="26"/>
  <c r="H10" i="26"/>
  <c r="F11" i="26" l="1"/>
  <c r="P5" i="26"/>
  <c r="P6" i="26"/>
  <c r="P7" i="26"/>
  <c r="P8" i="26"/>
  <c r="P9" i="26"/>
  <c r="P10" i="26"/>
  <c r="P11" i="26"/>
  <c r="P12" i="26"/>
  <c r="P13" i="26"/>
  <c r="P14" i="26"/>
  <c r="P15" i="26"/>
  <c r="Q2" i="25"/>
  <c r="P5" i="25"/>
  <c r="U5" i="25"/>
  <c r="V5" i="25" s="1"/>
  <c r="Z5" i="25" a="1"/>
  <c r="Z5" i="25" s="1"/>
  <c r="Z15" i="26"/>
  <c r="G16" i="26"/>
  <c r="H11" i="26"/>
  <c r="Q4" i="25"/>
  <c r="F5" i="25" l="1"/>
  <c r="E5" i="25"/>
  <c r="P6" i="25"/>
  <c r="U6" i="25"/>
  <c r="V6" i="25" s="1"/>
  <c r="Z6" i="25"/>
  <c r="Z16" i="26"/>
  <c r="AA5" i="25"/>
  <c r="F12" i="26" l="1"/>
  <c r="F6" i="25"/>
  <c r="E6" i="25"/>
  <c r="P7" i="25"/>
  <c r="U7" i="25"/>
  <c r="V7" i="25" s="1"/>
  <c r="Z7" i="25"/>
  <c r="AA6" i="25"/>
  <c r="H13" i="26"/>
  <c r="H12" i="26"/>
  <c r="E7" i="25" l="1"/>
  <c r="F7" i="25"/>
  <c r="P8" i="25"/>
  <c r="U8" i="25"/>
  <c r="V8" i="25" s="1"/>
  <c r="Z8" i="25"/>
  <c r="AA7" i="25"/>
  <c r="F13" i="26" l="1"/>
  <c r="E8" i="25"/>
  <c r="F8" i="25"/>
  <c r="E9" i="25"/>
  <c r="F9" i="25"/>
  <c r="P9" i="25"/>
  <c r="Q5" i="25" s="1" a="1"/>
  <c r="Q9" i="25" s="1"/>
  <c r="U9" i="25"/>
  <c r="V9" i="25" s="1"/>
  <c r="Z9" i="25"/>
  <c r="AA8" i="25"/>
  <c r="H15" i="26"/>
  <c r="H14" i="26"/>
  <c r="H16" i="26"/>
  <c r="F14" i="26" l="1"/>
  <c r="Q5" i="25"/>
  <c r="Q6" i="25"/>
  <c r="Q7" i="25"/>
  <c r="Q8" i="25"/>
  <c r="I1" i="24"/>
  <c r="I2" i="24"/>
  <c r="I3" i="24"/>
  <c r="AC5" i="24" a="1"/>
  <c r="AC5" i="24" s="1"/>
  <c r="AA9" i="25"/>
  <c r="R4" i="24"/>
  <c r="F16" i="26" l="1"/>
  <c r="F15" i="26"/>
  <c r="Y5" i="24"/>
  <c r="AC6" i="24"/>
  <c r="Y6" i="24" l="1"/>
  <c r="AC7" i="24"/>
  <c r="Y7" i="24" l="1"/>
  <c r="AC8" i="24"/>
  <c r="Y8" i="24" l="1"/>
  <c r="AC9" i="24"/>
  <c r="Y9" i="24" l="1"/>
  <c r="AC10" i="24"/>
  <c r="Y10" i="24" l="1"/>
  <c r="AC11" i="24"/>
  <c r="Y11" i="24" l="1"/>
  <c r="AC12" i="24"/>
  <c r="Y12" i="24" l="1"/>
  <c r="AC13" i="24"/>
  <c r="Y13" i="24" l="1"/>
  <c r="AC14" i="24"/>
  <c r="Y14" i="24" l="1"/>
  <c r="AC15" i="24"/>
  <c r="Y15" i="24" l="1"/>
  <c r="AC16" i="24"/>
  <c r="Y16" i="24" l="1"/>
  <c r="AC17" i="24"/>
  <c r="Y17" i="24" l="1"/>
  <c r="AC18" i="24"/>
  <c r="Y18" i="24" l="1"/>
  <c r="AC19" i="24"/>
  <c r="Y19" i="24" l="1"/>
  <c r="AC20" i="24"/>
  <c r="Y20" i="24" l="1"/>
  <c r="AC21" i="24"/>
  <c r="Y21" i="24" l="1"/>
  <c r="AC22" i="24"/>
  <c r="Y22" i="24" l="1"/>
  <c r="AC23" i="24"/>
  <c r="Y23" i="24" l="1"/>
  <c r="AC24" i="24"/>
  <c r="Y24" i="24" l="1"/>
  <c r="AC25" i="24"/>
  <c r="Y25" i="24" l="1"/>
  <c r="AC26" i="24"/>
  <c r="Y26" i="24" l="1"/>
  <c r="AC27" i="24"/>
  <c r="Y27" i="24" l="1"/>
  <c r="AC28" i="24"/>
  <c r="Y28" i="24" l="1"/>
  <c r="AC29" i="24"/>
  <c r="Y29" i="24" l="1"/>
  <c r="AC30" i="24"/>
  <c r="Y30" i="24" l="1"/>
  <c r="AC31" i="24"/>
  <c r="Y31" i="24" l="1"/>
  <c r="AC32" i="24"/>
  <c r="Y32" i="24" l="1"/>
  <c r="AC33" i="24"/>
  <c r="Y33" i="24" l="1"/>
  <c r="AC34" i="24"/>
  <c r="Y34" i="24" l="1"/>
  <c r="AC35" i="24"/>
  <c r="Y35" i="24" l="1"/>
  <c r="AC36" i="24"/>
  <c r="Y36" i="24" l="1"/>
  <c r="AC37" i="24"/>
  <c r="Y37" i="24" l="1"/>
  <c r="AC38" i="24"/>
  <c r="Y38" i="24" l="1"/>
  <c r="AC39" i="24"/>
  <c r="Y39" i="24" l="1"/>
  <c r="AC40" i="24"/>
  <c r="Y40" i="24" l="1"/>
  <c r="AC41" i="24"/>
  <c r="Y41" i="24" l="1"/>
  <c r="AC42" i="24"/>
  <c r="Y42" i="24" l="1"/>
  <c r="AC43" i="24"/>
  <c r="Y43" i="24" l="1"/>
  <c r="AC44" i="24"/>
  <c r="Y44" i="24" l="1"/>
  <c r="AC45" i="24"/>
  <c r="Y45" i="24" l="1"/>
  <c r="AC46" i="24"/>
  <c r="L4" i="23"/>
  <c r="Y46" i="24" l="1"/>
  <c r="B5" i="23"/>
  <c r="K5" i="23"/>
  <c r="L5" i="23" s="1"/>
  <c r="T5" i="23" a="1"/>
  <c r="T5" i="23" s="1"/>
  <c r="B6" i="23"/>
  <c r="O2" i="22"/>
  <c r="B5" i="22"/>
  <c r="C5" i="22"/>
  <c r="D5" i="22"/>
  <c r="N5" i="22"/>
  <c r="W5" i="22" a="1"/>
  <c r="W5" i="22" s="1"/>
  <c r="C6" i="23"/>
  <c r="C5" i="23"/>
  <c r="U5" i="23"/>
  <c r="O4" i="22"/>
  <c r="T6" i="23" l="1"/>
  <c r="E5" i="22"/>
  <c r="S5" i="22"/>
  <c r="B6" i="22"/>
  <c r="C6" i="22"/>
  <c r="D6" i="22"/>
  <c r="N6" i="22"/>
  <c r="W6" i="22"/>
  <c r="F5" i="22"/>
  <c r="U6" i="23"/>
  <c r="D6" i="23"/>
  <c r="D5" i="23"/>
  <c r="E6" i="22" l="1"/>
  <c r="S6" i="22"/>
  <c r="B7" i="22"/>
  <c r="C7" i="22"/>
  <c r="D7" i="22"/>
  <c r="N7" i="22"/>
  <c r="W7" i="22"/>
  <c r="X5" i="22"/>
  <c r="F6" i="22"/>
  <c r="U2" i="23"/>
  <c r="G5" i="22"/>
  <c r="E7" i="22" l="1"/>
  <c r="S7" i="22"/>
  <c r="B8" i="22"/>
  <c r="C8" i="22"/>
  <c r="D8" i="22"/>
  <c r="N8" i="22"/>
  <c r="W8" i="22"/>
  <c r="X6" i="22"/>
  <c r="F7" i="22"/>
  <c r="G7" i="22"/>
  <c r="G6" i="22"/>
  <c r="E8" i="22" l="1"/>
  <c r="S8" i="22"/>
  <c r="B9" i="22"/>
  <c r="C9" i="22"/>
  <c r="D9" i="22"/>
  <c r="N9" i="22"/>
  <c r="W9" i="22"/>
  <c r="X7" i="22"/>
  <c r="F8" i="22"/>
  <c r="G8" i="22"/>
  <c r="E9" i="22" l="1"/>
  <c r="S9" i="22"/>
  <c r="B10" i="22"/>
  <c r="C10" i="22"/>
  <c r="D10" i="22"/>
  <c r="N10" i="22"/>
  <c r="W10" i="22"/>
  <c r="X8" i="22"/>
  <c r="F9" i="22"/>
  <c r="E10" i="22" l="1"/>
  <c r="S10" i="22"/>
  <c r="B11" i="22"/>
  <c r="C11" i="22"/>
  <c r="D11" i="22"/>
  <c r="N11" i="22"/>
  <c r="W11" i="22"/>
  <c r="X9" i="22"/>
  <c r="F10" i="22"/>
  <c r="G9" i="22"/>
  <c r="E11" i="22" l="1"/>
  <c r="S11" i="22"/>
  <c r="B12" i="22"/>
  <c r="C12" i="22"/>
  <c r="D12" i="22"/>
  <c r="N12" i="22"/>
  <c r="W12" i="22"/>
  <c r="X10" i="22"/>
  <c r="F11" i="22"/>
  <c r="G10" i="22"/>
  <c r="E12" i="22" l="1"/>
  <c r="S12" i="22"/>
  <c r="B13" i="22"/>
  <c r="C13" i="22"/>
  <c r="D13" i="22"/>
  <c r="N13" i="22"/>
  <c r="W13" i="22"/>
  <c r="X11" i="22"/>
  <c r="F12" i="22"/>
  <c r="G11" i="22"/>
  <c r="E13" i="22" l="1"/>
  <c r="S13" i="22"/>
  <c r="B14" i="22"/>
  <c r="C14" i="22"/>
  <c r="D14" i="22"/>
  <c r="N14" i="22"/>
  <c r="W14" i="22"/>
  <c r="X12" i="22"/>
  <c r="F13" i="22"/>
  <c r="G13" i="22"/>
  <c r="G12" i="22"/>
  <c r="E14" i="22" l="1"/>
  <c r="S14" i="22"/>
  <c r="B15" i="22"/>
  <c r="C15" i="22"/>
  <c r="D15" i="22"/>
  <c r="N15" i="22"/>
  <c r="W15" i="22"/>
  <c r="X13" i="22"/>
  <c r="F14" i="22"/>
  <c r="E15" i="22" l="1"/>
  <c r="S15" i="22"/>
  <c r="B16" i="22"/>
  <c r="C16" i="22"/>
  <c r="D16" i="22"/>
  <c r="N16" i="22"/>
  <c r="W16" i="22"/>
  <c r="X14" i="22"/>
  <c r="F15" i="22"/>
  <c r="G14" i="22"/>
  <c r="E16" i="22" l="1"/>
  <c r="S16" i="22"/>
  <c r="B17" i="22"/>
  <c r="C17" i="22"/>
  <c r="D17" i="22"/>
  <c r="N17" i="22"/>
  <c r="W17" i="22"/>
  <c r="X15" i="22"/>
  <c r="F16" i="22"/>
  <c r="G15" i="22"/>
  <c r="E17" i="22" l="1"/>
  <c r="S17" i="22"/>
  <c r="B18" i="22"/>
  <c r="C18" i="22"/>
  <c r="D18" i="22"/>
  <c r="N18" i="22"/>
  <c r="W18" i="22"/>
  <c r="X16" i="22"/>
  <c r="F17" i="22"/>
  <c r="G16" i="22"/>
  <c r="E18" i="22" l="1"/>
  <c r="S18" i="22"/>
  <c r="B19" i="22"/>
  <c r="C19" i="22"/>
  <c r="D19" i="22"/>
  <c r="N19" i="22"/>
  <c r="W19" i="22"/>
  <c r="X17" i="22"/>
  <c r="F18" i="22"/>
  <c r="G17" i="22"/>
  <c r="E19" i="22" l="1"/>
  <c r="S19" i="22"/>
  <c r="B20" i="22"/>
  <c r="C20" i="22"/>
  <c r="D20" i="22"/>
  <c r="N20" i="22"/>
  <c r="W20" i="22"/>
  <c r="X18" i="22"/>
  <c r="F19" i="22"/>
  <c r="G19" i="22"/>
  <c r="G18" i="22"/>
  <c r="E20" i="22" l="1"/>
  <c r="S20" i="22"/>
  <c r="B21" i="22"/>
  <c r="C21" i="22"/>
  <c r="D21" i="22"/>
  <c r="N21" i="22"/>
  <c r="W21" i="22"/>
  <c r="X19" i="22"/>
  <c r="F20" i="22"/>
  <c r="G20" i="22"/>
  <c r="E21" i="22" l="1"/>
  <c r="S21" i="22"/>
  <c r="B22" i="22"/>
  <c r="C22" i="22"/>
  <c r="D22" i="22"/>
  <c r="N22" i="22"/>
  <c r="W22" i="22"/>
  <c r="X20" i="22"/>
  <c r="F21" i="22"/>
  <c r="E22" i="22" l="1"/>
  <c r="S22" i="22"/>
  <c r="B23" i="22"/>
  <c r="C23" i="22"/>
  <c r="D23" i="22"/>
  <c r="N23" i="22"/>
  <c r="W23" i="22"/>
  <c r="X21" i="22"/>
  <c r="F22" i="22"/>
  <c r="G21" i="22"/>
  <c r="E23" i="22" l="1"/>
  <c r="S23" i="22"/>
  <c r="B24" i="22"/>
  <c r="C24" i="22"/>
  <c r="D24" i="22"/>
  <c r="N24" i="22"/>
  <c r="W24" i="22"/>
  <c r="X22" i="22"/>
  <c r="F23" i="22"/>
  <c r="G23" i="22"/>
  <c r="G22" i="22"/>
  <c r="E24" i="22" l="1"/>
  <c r="S24" i="22"/>
  <c r="B25" i="22"/>
  <c r="C25" i="22"/>
  <c r="D25" i="22"/>
  <c r="N25" i="22"/>
  <c r="W25" i="22"/>
  <c r="X23" i="22"/>
  <c r="F24" i="22"/>
  <c r="G24" i="22"/>
  <c r="E25" i="22" l="1"/>
  <c r="S25" i="22"/>
  <c r="B26" i="22"/>
  <c r="C26" i="22"/>
  <c r="D26" i="22"/>
  <c r="N26" i="22"/>
  <c r="W26" i="22"/>
  <c r="X24" i="22"/>
  <c r="F25" i="22"/>
  <c r="E26" i="22" l="1"/>
  <c r="S26" i="22"/>
  <c r="B27" i="22"/>
  <c r="C27" i="22"/>
  <c r="D27" i="22"/>
  <c r="N27" i="22"/>
  <c r="W27" i="22"/>
  <c r="X25" i="22"/>
  <c r="F26" i="22"/>
  <c r="G25" i="22"/>
  <c r="G26" i="22"/>
  <c r="E27" i="22" l="1"/>
  <c r="S27" i="22"/>
  <c r="B28" i="22"/>
  <c r="C28" i="22"/>
  <c r="D28" i="22"/>
  <c r="N28" i="22"/>
  <c r="W28" i="22"/>
  <c r="X26" i="22"/>
  <c r="F27" i="22"/>
  <c r="G27" i="22"/>
  <c r="E28" i="22" l="1"/>
  <c r="S28" i="22"/>
  <c r="B29" i="22"/>
  <c r="C29" i="22"/>
  <c r="D29" i="22"/>
  <c r="N29" i="22"/>
  <c r="W29" i="22"/>
  <c r="X27" i="22"/>
  <c r="F28" i="22"/>
  <c r="G28" i="22"/>
  <c r="E29" i="22" l="1"/>
  <c r="S29" i="22"/>
  <c r="B30" i="22"/>
  <c r="C30" i="22"/>
  <c r="D30" i="22"/>
  <c r="N30" i="22"/>
  <c r="W30" i="22"/>
  <c r="X28" i="22"/>
  <c r="F29" i="22"/>
  <c r="G29" i="22"/>
  <c r="E30" i="22" l="1"/>
  <c r="S30" i="22"/>
  <c r="B31" i="22"/>
  <c r="C31" i="22"/>
  <c r="D31" i="22"/>
  <c r="N31" i="22"/>
  <c r="W31" i="22"/>
  <c r="X29" i="22"/>
  <c r="F30" i="22"/>
  <c r="G30" i="22"/>
  <c r="E31" i="22" l="1"/>
  <c r="S31" i="22"/>
  <c r="B32" i="22"/>
  <c r="C32" i="22"/>
  <c r="D32" i="22"/>
  <c r="N32" i="22"/>
  <c r="W32" i="22"/>
  <c r="X30" i="22"/>
  <c r="F31" i="22"/>
  <c r="E32" i="22" l="1"/>
  <c r="S32" i="22"/>
  <c r="B33" i="22"/>
  <c r="C33" i="22"/>
  <c r="D33" i="22"/>
  <c r="N33" i="22"/>
  <c r="W33" i="22"/>
  <c r="X31" i="22"/>
  <c r="F32" i="22"/>
  <c r="G31" i="22"/>
  <c r="E33" i="22" l="1"/>
  <c r="S33" i="22"/>
  <c r="B34" i="22"/>
  <c r="C34" i="22"/>
  <c r="D34" i="22"/>
  <c r="N34" i="22"/>
  <c r="W34" i="22"/>
  <c r="X32" i="22"/>
  <c r="F33" i="22"/>
  <c r="G32" i="22"/>
  <c r="E34" i="22" l="1"/>
  <c r="S34" i="22"/>
  <c r="B35" i="22"/>
  <c r="C35" i="22"/>
  <c r="D35" i="22"/>
  <c r="N35" i="22"/>
  <c r="W35" i="22"/>
  <c r="X33" i="22"/>
  <c r="F34" i="22"/>
  <c r="G33" i="22"/>
  <c r="E35" i="22" l="1"/>
  <c r="S35" i="22"/>
  <c r="B36" i="22"/>
  <c r="C36" i="22"/>
  <c r="D36" i="22"/>
  <c r="N36" i="22"/>
  <c r="W36" i="22"/>
  <c r="X34" i="22"/>
  <c r="F35" i="22"/>
  <c r="G34" i="22"/>
  <c r="E36" i="22" l="1"/>
  <c r="S36" i="22"/>
  <c r="B37" i="22"/>
  <c r="C37" i="22"/>
  <c r="D37" i="22"/>
  <c r="N37" i="22"/>
  <c r="W37" i="22"/>
  <c r="X35" i="22"/>
  <c r="F36" i="22"/>
  <c r="G35" i="22"/>
  <c r="E37" i="22" l="1"/>
  <c r="S37" i="22"/>
  <c r="B38" i="22"/>
  <c r="C38" i="22"/>
  <c r="D38" i="22"/>
  <c r="N38" i="22"/>
  <c r="W38" i="22"/>
  <c r="X36" i="22"/>
  <c r="F37" i="22"/>
  <c r="G36" i="22"/>
  <c r="E38" i="22" l="1"/>
  <c r="S38" i="22"/>
  <c r="B39" i="22"/>
  <c r="C39" i="22"/>
  <c r="D39" i="22"/>
  <c r="N39" i="22"/>
  <c r="W39" i="22"/>
  <c r="X37" i="22"/>
  <c r="F38" i="22"/>
  <c r="G37" i="22"/>
  <c r="E39" i="22" l="1"/>
  <c r="S39" i="22"/>
  <c r="B40" i="22"/>
  <c r="C40" i="22"/>
  <c r="D40" i="22"/>
  <c r="N40" i="22"/>
  <c r="W40" i="22"/>
  <c r="X38" i="22"/>
  <c r="F39" i="22"/>
  <c r="G38" i="22"/>
  <c r="E40" i="22" l="1"/>
  <c r="S40" i="22"/>
  <c r="B41" i="22"/>
  <c r="C41" i="22"/>
  <c r="D41" i="22"/>
  <c r="N41" i="22"/>
  <c r="O5" i="22" s="1" a="1"/>
  <c r="O41" i="22" s="1"/>
  <c r="W41" i="22"/>
  <c r="X39" i="22"/>
  <c r="F40"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X40" i="22"/>
  <c r="F41" i="22"/>
  <c r="O4" i="21"/>
  <c r="G40" i="22"/>
  <c r="E5" i="21" l="1"/>
  <c r="S5" i="21"/>
  <c r="B6" i="21"/>
  <c r="C6" i="21"/>
  <c r="D6" i="21"/>
  <c r="N6" i="21"/>
  <c r="W6" i="21"/>
  <c r="X41" i="22"/>
  <c r="F5" i="21"/>
  <c r="G41" i="22"/>
  <c r="E6" i="21" l="1"/>
  <c r="S6" i="21"/>
  <c r="B7" i="21"/>
  <c r="C7" i="21"/>
  <c r="D7" i="21"/>
  <c r="N7" i="21"/>
  <c r="W7" i="21"/>
  <c r="X5" i="21"/>
  <c r="F6" i="21"/>
  <c r="G5" i="21"/>
  <c r="E7" i="21" l="1"/>
  <c r="S7" i="21"/>
  <c r="B8" i="21"/>
  <c r="C8" i="21"/>
  <c r="D8" i="21"/>
  <c r="N8" i="21"/>
  <c r="W8" i="21"/>
  <c r="X6" i="21"/>
  <c r="F7" i="21"/>
  <c r="G6" i="21"/>
  <c r="E8" i="21" l="1"/>
  <c r="S8" i="21"/>
  <c r="B9" i="21"/>
  <c r="C9" i="21"/>
  <c r="D9" i="21"/>
  <c r="N9" i="21"/>
  <c r="W9" i="21"/>
  <c r="X7" i="21"/>
  <c r="F8" i="21"/>
  <c r="G7" i="21"/>
  <c r="E9" i="21" l="1"/>
  <c r="S9" i="21"/>
  <c r="B10" i="21"/>
  <c r="C10" i="21"/>
  <c r="D10" i="21"/>
  <c r="N10" i="21"/>
  <c r="W10" i="21"/>
  <c r="X8" i="21"/>
  <c r="F9" i="21"/>
  <c r="G8" i="21"/>
  <c r="E10" i="21" l="1"/>
  <c r="S10" i="21"/>
  <c r="B11" i="21"/>
  <c r="C11" i="21"/>
  <c r="D11" i="21"/>
  <c r="N11" i="21"/>
  <c r="W11" i="21"/>
  <c r="X9" i="21"/>
  <c r="F10" i="21"/>
  <c r="G9" i="21"/>
  <c r="E11" i="21" l="1"/>
  <c r="S11" i="21"/>
  <c r="B12" i="21"/>
  <c r="C12" i="21"/>
  <c r="D12" i="21"/>
  <c r="N12" i="21"/>
  <c r="W12" i="21"/>
  <c r="X10" i="21"/>
  <c r="F11" i="21"/>
  <c r="G10" i="21"/>
  <c r="E12" i="21" l="1"/>
  <c r="S12" i="21"/>
  <c r="B13" i="21"/>
  <c r="C13" i="21"/>
  <c r="D13" i="21"/>
  <c r="N13" i="21"/>
  <c r="W13" i="21"/>
  <c r="X11" i="21"/>
  <c r="F12" i="21"/>
  <c r="G11" i="21"/>
  <c r="E13" i="21" l="1"/>
  <c r="S13" i="21"/>
  <c r="B14" i="21"/>
  <c r="C14" i="21"/>
  <c r="D14" i="21"/>
  <c r="N14" i="21"/>
  <c r="W14" i="21"/>
  <c r="X12" i="21"/>
  <c r="F13" i="21"/>
  <c r="G12" i="21"/>
  <c r="E14" i="21" l="1"/>
  <c r="S14" i="21"/>
  <c r="B15" i="21"/>
  <c r="C15" i="21"/>
  <c r="D15" i="21"/>
  <c r="N15" i="21"/>
  <c r="W15" i="21"/>
  <c r="X13" i="21"/>
  <c r="F14" i="21"/>
  <c r="G13" i="21"/>
  <c r="E15" i="21" l="1"/>
  <c r="S15" i="21"/>
  <c r="B16" i="21"/>
  <c r="C16" i="21"/>
  <c r="D16" i="21"/>
  <c r="N16" i="21"/>
  <c r="W16" i="21"/>
  <c r="X14" i="21"/>
  <c r="F15" i="21"/>
  <c r="G14" i="21"/>
  <c r="E16" i="21" l="1"/>
  <c r="S16" i="21"/>
  <c r="B17" i="21"/>
  <c r="C17" i="21"/>
  <c r="D17" i="21"/>
  <c r="N17" i="21"/>
  <c r="W17" i="21"/>
  <c r="X15" i="21"/>
  <c r="F16" i="21"/>
  <c r="G15" i="21"/>
  <c r="E17" i="21" l="1"/>
  <c r="S17" i="21"/>
  <c r="B18" i="21"/>
  <c r="C18" i="21"/>
  <c r="D18" i="21"/>
  <c r="N18" i="21"/>
  <c r="W18" i="21"/>
  <c r="X16" i="21"/>
  <c r="F17" i="21"/>
  <c r="G16" i="21"/>
  <c r="E18" i="21" l="1"/>
  <c r="S18" i="21"/>
  <c r="B19" i="21"/>
  <c r="C19" i="21"/>
  <c r="D19" i="21"/>
  <c r="N19" i="21"/>
  <c r="W19" i="21"/>
  <c r="X17" i="21"/>
  <c r="F18" i="21"/>
  <c r="G17" i="21"/>
  <c r="E19" i="21" l="1"/>
  <c r="S19" i="21"/>
  <c r="B20" i="21"/>
  <c r="C20" i="21"/>
  <c r="D20" i="21"/>
  <c r="N20" i="21"/>
  <c r="W20" i="21"/>
  <c r="X18" i="21"/>
  <c r="F19" i="21"/>
  <c r="G18" i="21"/>
  <c r="E20" i="21" l="1"/>
  <c r="S20" i="21"/>
  <c r="B21" i="21"/>
  <c r="C21" i="21"/>
  <c r="D21" i="21"/>
  <c r="N21" i="21"/>
  <c r="W21" i="21"/>
  <c r="X19" i="21"/>
  <c r="F20" i="21"/>
  <c r="G19" i="21"/>
  <c r="E21" i="21" l="1"/>
  <c r="S21" i="21"/>
  <c r="B22" i="21"/>
  <c r="C22" i="21"/>
  <c r="D22" i="21"/>
  <c r="N22" i="21"/>
  <c r="W22" i="21"/>
  <c r="X20" i="21"/>
  <c r="F21" i="21"/>
  <c r="G21" i="21"/>
  <c r="G20" i="21"/>
  <c r="E22" i="21" l="1"/>
  <c r="S22" i="21"/>
  <c r="B23" i="21"/>
  <c r="C23" i="21"/>
  <c r="D23" i="21"/>
  <c r="N23" i="21"/>
  <c r="W23" i="21"/>
  <c r="X21" i="21"/>
  <c r="F22" i="21"/>
  <c r="G22" i="21"/>
  <c r="E23" i="21" l="1"/>
  <c r="S23" i="21"/>
  <c r="B24" i="21"/>
  <c r="C24" i="21"/>
  <c r="D24" i="21"/>
  <c r="N24" i="21"/>
  <c r="W24" i="21"/>
  <c r="X22" i="21"/>
  <c r="F23" i="21"/>
  <c r="E24" i="21" l="1"/>
  <c r="S24" i="21"/>
  <c r="B25" i="21"/>
  <c r="C25" i="21"/>
  <c r="D25" i="21"/>
  <c r="N25" i="21"/>
  <c r="W25" i="21"/>
  <c r="X23" i="21"/>
  <c r="F24" i="21"/>
  <c r="G23" i="21"/>
  <c r="E25" i="21" l="1"/>
  <c r="S25" i="21"/>
  <c r="B26" i="21"/>
  <c r="C26" i="21"/>
  <c r="D26" i="21"/>
  <c r="N26" i="21"/>
  <c r="W26" i="21"/>
  <c r="X24" i="21"/>
  <c r="F25" i="21"/>
  <c r="G24" i="21"/>
  <c r="E26" i="21" l="1"/>
  <c r="S26" i="21"/>
  <c r="B27" i="21"/>
  <c r="C27" i="21"/>
  <c r="D27" i="21"/>
  <c r="N27" i="21"/>
  <c r="W27" i="21"/>
  <c r="X25" i="21"/>
  <c r="F26" i="21"/>
  <c r="G25" i="21"/>
  <c r="G27" i="21"/>
  <c r="G26" i="21"/>
  <c r="E27" i="21" l="1"/>
  <c r="S27" i="21"/>
  <c r="B28" i="21"/>
  <c r="C28" i="21"/>
  <c r="D28" i="21"/>
  <c r="N28" i="21"/>
  <c r="W28" i="21"/>
  <c r="X26" i="21"/>
  <c r="F27" i="21"/>
  <c r="E28" i="21" l="1"/>
  <c r="S28" i="21"/>
  <c r="B29" i="21"/>
  <c r="C29" i="21"/>
  <c r="D29" i="21"/>
  <c r="N29" i="21"/>
  <c r="W29" i="21"/>
  <c r="X27" i="21"/>
  <c r="F28" i="21"/>
  <c r="E29" i="21" l="1"/>
  <c r="S29" i="21"/>
  <c r="B30" i="21"/>
  <c r="C30" i="21"/>
  <c r="D30" i="21"/>
  <c r="N30" i="21"/>
  <c r="W30" i="21"/>
  <c r="X28" i="21"/>
  <c r="F29" i="21"/>
  <c r="G29" i="21"/>
  <c r="G28" i="21"/>
  <c r="E30" i="21" l="1"/>
  <c r="S30" i="21"/>
  <c r="B31" i="21"/>
  <c r="C31" i="21"/>
  <c r="D31" i="21"/>
  <c r="N31" i="21"/>
  <c r="W31" i="21"/>
  <c r="X29" i="21"/>
  <c r="F30" i="21"/>
  <c r="E31" i="21" l="1"/>
  <c r="S31" i="21"/>
  <c r="B32" i="21"/>
  <c r="C32" i="21"/>
  <c r="D32" i="21"/>
  <c r="N32" i="21"/>
  <c r="W32" i="21"/>
  <c r="X30" i="21"/>
  <c r="F31" i="21"/>
  <c r="G31" i="21"/>
  <c r="G30" i="21"/>
  <c r="E32" i="21" l="1"/>
  <c r="S32" i="21"/>
  <c r="B33" i="21"/>
  <c r="C33" i="21"/>
  <c r="D33" i="21"/>
  <c r="N33" i="21"/>
  <c r="W33" i="21"/>
  <c r="X31" i="21"/>
  <c r="F32" i="21"/>
  <c r="G32" i="21"/>
  <c r="E33" i="21" l="1"/>
  <c r="S33" i="21"/>
  <c r="B34" i="21"/>
  <c r="C34" i="21"/>
  <c r="D34" i="21"/>
  <c r="N34" i="21"/>
  <c r="W34" i="21"/>
  <c r="X32" i="21"/>
  <c r="F33" i="21"/>
  <c r="E34" i="21" l="1"/>
  <c r="S34" i="21"/>
  <c r="B35" i="21"/>
  <c r="C35" i="21"/>
  <c r="D35" i="21"/>
  <c r="N35" i="21"/>
  <c r="W35" i="21"/>
  <c r="X33" i="21"/>
  <c r="F34" i="21"/>
  <c r="G33" i="21"/>
  <c r="E35" i="21" l="1"/>
  <c r="S35" i="21"/>
  <c r="B36" i="21"/>
  <c r="C36" i="21"/>
  <c r="D36" i="21"/>
  <c r="N36" i="21"/>
  <c r="W36" i="21"/>
  <c r="X34" i="21"/>
  <c r="F35" i="21"/>
  <c r="G34" i="21"/>
  <c r="E36" i="21" l="1"/>
  <c r="S36" i="21"/>
  <c r="B37" i="21"/>
  <c r="C37" i="21"/>
  <c r="D37" i="21"/>
  <c r="N37" i="21"/>
  <c r="W37" i="21"/>
  <c r="X35" i="21"/>
  <c r="F36" i="21"/>
  <c r="G35" i="21"/>
  <c r="E37" i="21" l="1"/>
  <c r="S37" i="21"/>
  <c r="B38" i="21"/>
  <c r="C38" i="21"/>
  <c r="D38" i="21"/>
  <c r="N38" i="21"/>
  <c r="W38" i="21"/>
  <c r="X36" i="21"/>
  <c r="F37" i="21"/>
  <c r="G36" i="21"/>
  <c r="E38" i="21" l="1"/>
  <c r="S38" i="21"/>
  <c r="B39" i="21"/>
  <c r="C39" i="21"/>
  <c r="D39" i="21"/>
  <c r="N39" i="21"/>
  <c r="W39" i="21"/>
  <c r="X37" i="21"/>
  <c r="F38" i="21"/>
  <c r="G37" i="21"/>
  <c r="E39" i="21" l="1"/>
  <c r="S39" i="21"/>
  <c r="B40" i="21"/>
  <c r="C40" i="21"/>
  <c r="D40" i="21"/>
  <c r="N40" i="21"/>
  <c r="W40" i="21"/>
  <c r="X38" i="21"/>
  <c r="F39" i="21"/>
  <c r="G38" i="21"/>
  <c r="E40" i="21" l="1"/>
  <c r="S40" i="21"/>
  <c r="B41" i="21"/>
  <c r="C41" i="21"/>
  <c r="D41" i="21"/>
  <c r="N41" i="21"/>
  <c r="O5" i="21" s="1" a="1"/>
  <c r="O41" i="21" s="1"/>
  <c r="W41" i="21"/>
  <c r="X39" i="21"/>
  <c r="F40" i="21"/>
  <c r="G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X40" i="21"/>
  <c r="F41" i="21"/>
  <c r="O4" i="20"/>
  <c r="G40" i="21"/>
  <c r="E5" i="20" l="1"/>
  <c r="S5" i="20"/>
  <c r="B6" i="20"/>
  <c r="C6" i="20"/>
  <c r="D6" i="20"/>
  <c r="N6" i="20"/>
  <c r="W6" i="20"/>
  <c r="X41" i="21"/>
  <c r="F5" i="20"/>
  <c r="X5" i="20"/>
  <c r="G41" i="21"/>
  <c r="E6" i="20" l="1"/>
  <c r="S6" i="20"/>
  <c r="B7" i="20"/>
  <c r="C7" i="20"/>
  <c r="D7" i="20"/>
  <c r="N7" i="20"/>
  <c r="W7" i="20"/>
  <c r="X6" i="20"/>
  <c r="F6" i="20"/>
  <c r="G5" i="20"/>
  <c r="E7" i="20" l="1"/>
  <c r="S7" i="20"/>
  <c r="B8" i="20"/>
  <c r="C8" i="20"/>
  <c r="D8" i="20"/>
  <c r="N8" i="20"/>
  <c r="W8" i="20"/>
  <c r="X7" i="20"/>
  <c r="F7" i="20"/>
  <c r="G6" i="20"/>
  <c r="E8" i="20" l="1"/>
  <c r="S8" i="20"/>
  <c r="B9" i="20"/>
  <c r="C9" i="20"/>
  <c r="D9" i="20"/>
  <c r="N9" i="20"/>
  <c r="W9" i="20"/>
  <c r="X8" i="20"/>
  <c r="F8" i="20"/>
  <c r="G7" i="20"/>
  <c r="E9" i="20" l="1"/>
  <c r="S9" i="20"/>
  <c r="B10" i="20"/>
  <c r="C10" i="20"/>
  <c r="D10" i="20"/>
  <c r="N10" i="20"/>
  <c r="W10" i="20"/>
  <c r="X9" i="20"/>
  <c r="F9" i="20"/>
  <c r="G8" i="20"/>
  <c r="E10" i="20" l="1"/>
  <c r="S10" i="20"/>
  <c r="B11" i="20"/>
  <c r="C11" i="20"/>
  <c r="D11" i="20"/>
  <c r="N11" i="20"/>
  <c r="W11" i="20"/>
  <c r="X10" i="20"/>
  <c r="F10" i="20"/>
  <c r="G9" i="20"/>
  <c r="E11" i="20" l="1"/>
  <c r="S11" i="20"/>
  <c r="B12" i="20"/>
  <c r="C12" i="20"/>
  <c r="D12" i="20"/>
  <c r="N12" i="20"/>
  <c r="W12" i="20"/>
  <c r="X11" i="20"/>
  <c r="F11" i="20"/>
  <c r="G10" i="20"/>
  <c r="E12" i="20" l="1"/>
  <c r="S12" i="20"/>
  <c r="B13" i="20"/>
  <c r="C13" i="20"/>
  <c r="D13" i="20"/>
  <c r="N13" i="20"/>
  <c r="W13" i="20"/>
  <c r="X12" i="20"/>
  <c r="F12" i="20"/>
  <c r="G12" i="20"/>
  <c r="G11" i="20"/>
  <c r="E13" i="20" l="1"/>
  <c r="S13" i="20"/>
  <c r="B14" i="20"/>
  <c r="C14" i="20"/>
  <c r="D14" i="20"/>
  <c r="N14" i="20"/>
  <c r="W14" i="20"/>
  <c r="X13" i="20"/>
  <c r="F13" i="20"/>
  <c r="E14" i="20" l="1"/>
  <c r="S14" i="20"/>
  <c r="B15" i="20"/>
  <c r="C15" i="20"/>
  <c r="D15" i="20"/>
  <c r="N15" i="20"/>
  <c r="W15" i="20"/>
  <c r="X14" i="20"/>
  <c r="F14" i="20"/>
  <c r="G13" i="20"/>
  <c r="E15" i="20" l="1"/>
  <c r="S15" i="20"/>
  <c r="B16" i="20"/>
  <c r="C16" i="20"/>
  <c r="D16" i="20"/>
  <c r="N16" i="20"/>
  <c r="W16" i="20"/>
  <c r="X15" i="20"/>
  <c r="F15" i="20"/>
  <c r="G14" i="20"/>
  <c r="E16" i="20" l="1"/>
  <c r="S16" i="20"/>
  <c r="B17" i="20"/>
  <c r="C17" i="20"/>
  <c r="D17" i="20"/>
  <c r="N17" i="20"/>
  <c r="W17" i="20"/>
  <c r="X16" i="20"/>
  <c r="F16" i="20"/>
  <c r="G15" i="20"/>
  <c r="E17" i="20" l="1"/>
  <c r="S17" i="20"/>
  <c r="B18" i="20"/>
  <c r="C18" i="20"/>
  <c r="D18" i="20"/>
  <c r="N18" i="20"/>
  <c r="W18" i="20"/>
  <c r="X17" i="20"/>
  <c r="F17" i="20"/>
  <c r="G16" i="20"/>
  <c r="E18" i="20" l="1"/>
  <c r="S18" i="20"/>
  <c r="B19" i="20"/>
  <c r="C19" i="20"/>
  <c r="D19" i="20"/>
  <c r="N19" i="20"/>
  <c r="W19" i="20"/>
  <c r="X18" i="20"/>
  <c r="F18" i="20"/>
  <c r="G17" i="20"/>
  <c r="E19" i="20" l="1"/>
  <c r="S19" i="20"/>
  <c r="B20" i="20"/>
  <c r="C20" i="20"/>
  <c r="D20" i="20"/>
  <c r="N20" i="20"/>
  <c r="W20" i="20"/>
  <c r="X19" i="20"/>
  <c r="F19" i="20"/>
  <c r="G18" i="20"/>
  <c r="E20" i="20" l="1"/>
  <c r="S20" i="20"/>
  <c r="B21" i="20"/>
  <c r="C21" i="20"/>
  <c r="D21" i="20"/>
  <c r="N21" i="20"/>
  <c r="W21" i="20"/>
  <c r="X20" i="20"/>
  <c r="F20" i="20"/>
  <c r="G20" i="20"/>
  <c r="G19" i="20"/>
  <c r="E21" i="20" l="1"/>
  <c r="S21" i="20"/>
  <c r="B22" i="20"/>
  <c r="C22" i="20"/>
  <c r="D22" i="20"/>
  <c r="N22" i="20"/>
  <c r="W22" i="20"/>
  <c r="X21" i="20"/>
  <c r="F21" i="20"/>
  <c r="E22" i="20" l="1"/>
  <c r="S22" i="20"/>
  <c r="B23" i="20"/>
  <c r="C23" i="20"/>
  <c r="D23" i="20"/>
  <c r="N23" i="20"/>
  <c r="W23" i="20"/>
  <c r="X22" i="20"/>
  <c r="F22" i="20"/>
  <c r="G21" i="20"/>
  <c r="E23" i="20" l="1"/>
  <c r="S23" i="20"/>
  <c r="B24" i="20"/>
  <c r="C24" i="20"/>
  <c r="D24" i="20"/>
  <c r="N24" i="20"/>
  <c r="W24" i="20"/>
  <c r="X23" i="20"/>
  <c r="F23" i="20"/>
  <c r="G22" i="20"/>
  <c r="E24" i="20" l="1"/>
  <c r="S24" i="20"/>
  <c r="B25" i="20"/>
  <c r="C25" i="20"/>
  <c r="D25" i="20"/>
  <c r="N25" i="20"/>
  <c r="W25" i="20"/>
  <c r="X24" i="20"/>
  <c r="F24" i="20"/>
  <c r="G23" i="20"/>
  <c r="E25" i="20" l="1"/>
  <c r="S25" i="20"/>
  <c r="B26" i="20"/>
  <c r="C26" i="20"/>
  <c r="D26" i="20"/>
  <c r="N26" i="20"/>
  <c r="W26" i="20"/>
  <c r="X25" i="20"/>
  <c r="F25" i="20"/>
  <c r="G24" i="20"/>
  <c r="E26" i="20" l="1"/>
  <c r="S26" i="20"/>
  <c r="B27" i="20"/>
  <c r="C27" i="20"/>
  <c r="D27" i="20"/>
  <c r="N27" i="20"/>
  <c r="W27" i="20"/>
  <c r="X26" i="20"/>
  <c r="F26" i="20"/>
  <c r="G25" i="20"/>
  <c r="E27" i="20" l="1"/>
  <c r="S27" i="20"/>
  <c r="B28" i="20"/>
  <c r="C28" i="20"/>
  <c r="D28" i="20"/>
  <c r="N28" i="20"/>
  <c r="W28" i="20"/>
  <c r="X27" i="20"/>
  <c r="F27" i="20"/>
  <c r="G26" i="20"/>
  <c r="E28" i="20" l="1"/>
  <c r="S28" i="20"/>
  <c r="B29" i="20"/>
  <c r="C29" i="20"/>
  <c r="D29" i="20"/>
  <c r="N29" i="20"/>
  <c r="W29" i="20"/>
  <c r="X28" i="20"/>
  <c r="F28" i="20"/>
  <c r="G27" i="20"/>
  <c r="E29" i="20" l="1"/>
  <c r="S29" i="20"/>
  <c r="B30" i="20"/>
  <c r="C30" i="20"/>
  <c r="D30" i="20"/>
  <c r="N30" i="20"/>
  <c r="W30" i="20"/>
  <c r="X29" i="20"/>
  <c r="F29" i="20"/>
  <c r="G28" i="20"/>
  <c r="G29" i="20"/>
  <c r="E30" i="20" l="1"/>
  <c r="S30" i="20"/>
  <c r="B31" i="20"/>
  <c r="C31" i="20"/>
  <c r="D31" i="20"/>
  <c r="N31" i="20"/>
  <c r="W31" i="20"/>
  <c r="X30" i="20"/>
  <c r="F30" i="20"/>
  <c r="G30" i="20"/>
  <c r="E31" i="20" l="1"/>
  <c r="S31" i="20"/>
  <c r="B32" i="20"/>
  <c r="C32" i="20"/>
  <c r="D32" i="20"/>
  <c r="N32" i="20"/>
  <c r="W32" i="20"/>
  <c r="X31" i="20"/>
  <c r="F31" i="20"/>
  <c r="E32" i="20" l="1"/>
  <c r="S32" i="20"/>
  <c r="B33" i="20"/>
  <c r="C33" i="20"/>
  <c r="D33" i="20"/>
  <c r="N33" i="20"/>
  <c r="W33" i="20"/>
  <c r="X32" i="20"/>
  <c r="F32" i="20"/>
  <c r="G31" i="20"/>
  <c r="E33" i="20" l="1"/>
  <c r="S33" i="20"/>
  <c r="B34" i="20"/>
  <c r="C34" i="20"/>
  <c r="D34" i="20"/>
  <c r="N34" i="20"/>
  <c r="W34" i="20"/>
  <c r="X33" i="20"/>
  <c r="F33" i="20"/>
  <c r="G32" i="20"/>
  <c r="E34" i="20" l="1"/>
  <c r="S34" i="20"/>
  <c r="B35" i="20"/>
  <c r="C35" i="20"/>
  <c r="D35" i="20"/>
  <c r="N35" i="20"/>
  <c r="W35" i="20"/>
  <c r="X34" i="20"/>
  <c r="F34" i="20"/>
  <c r="G33" i="20"/>
  <c r="E35" i="20" l="1"/>
  <c r="S35" i="20"/>
  <c r="B36" i="20"/>
  <c r="C36" i="20"/>
  <c r="D36" i="20"/>
  <c r="N36" i="20"/>
  <c r="W36" i="20"/>
  <c r="X35" i="20"/>
  <c r="F35" i="20"/>
  <c r="G34" i="20"/>
  <c r="E36" i="20" l="1"/>
  <c r="S36" i="20"/>
  <c r="B37" i="20"/>
  <c r="C37" i="20"/>
  <c r="D37" i="20"/>
  <c r="N37" i="20"/>
  <c r="W37" i="20"/>
  <c r="X36" i="20"/>
  <c r="F36" i="20"/>
  <c r="G35" i="20"/>
  <c r="E37" i="20" l="1"/>
  <c r="S37" i="20"/>
  <c r="B38" i="20"/>
  <c r="C38" i="20"/>
  <c r="D38" i="20"/>
  <c r="N38" i="20"/>
  <c r="W38" i="20"/>
  <c r="X37" i="20"/>
  <c r="F37" i="20"/>
  <c r="G36" i="20"/>
  <c r="E38" i="20" l="1"/>
  <c r="S38" i="20"/>
  <c r="B39" i="20"/>
  <c r="C39" i="20"/>
  <c r="D39" i="20"/>
  <c r="N39" i="20"/>
  <c r="W39" i="20"/>
  <c r="X38" i="20"/>
  <c r="F38" i="20"/>
  <c r="G37" i="20"/>
  <c r="E39" i="20" l="1"/>
  <c r="S39" i="20"/>
  <c r="B40" i="20"/>
  <c r="C40" i="20"/>
  <c r="D40" i="20"/>
  <c r="N40" i="20"/>
  <c r="W40" i="20"/>
  <c r="X39" i="20"/>
  <c r="F39" i="20"/>
  <c r="G38" i="20"/>
  <c r="E40" i="20" l="1"/>
  <c r="S40" i="20"/>
  <c r="B41" i="20"/>
  <c r="C41" i="20"/>
  <c r="D41" i="20"/>
  <c r="N41" i="20"/>
  <c r="O5" i="20" s="1" a="1"/>
  <c r="O41" i="20" s="1"/>
  <c r="W41" i="20"/>
  <c r="X40" i="20"/>
  <c r="F40" i="20"/>
  <c r="G39"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F41" i="20"/>
  <c r="X41" i="20"/>
  <c r="G40" i="20"/>
  <c r="O4" i="19"/>
  <c r="E5" i="19" l="1"/>
  <c r="S5" i="19"/>
  <c r="B6" i="19"/>
  <c r="C6" i="19"/>
  <c r="D6" i="19"/>
  <c r="N6" i="19"/>
  <c r="W6" i="19"/>
  <c r="F5" i="19"/>
  <c r="G41" i="20"/>
  <c r="E6" i="19" l="1"/>
  <c r="S6" i="19"/>
  <c r="B7" i="19"/>
  <c r="C7" i="19"/>
  <c r="D7" i="19"/>
  <c r="N7" i="19"/>
  <c r="W7" i="19"/>
  <c r="X5" i="19"/>
  <c r="F6" i="19"/>
  <c r="G5" i="19"/>
  <c r="G6" i="19"/>
  <c r="E7" i="19" l="1"/>
  <c r="S7" i="19"/>
  <c r="B8" i="19"/>
  <c r="C8" i="19"/>
  <c r="D8" i="19"/>
  <c r="N8" i="19"/>
  <c r="W8" i="19"/>
  <c r="X6" i="19"/>
  <c r="F7" i="19"/>
  <c r="E8" i="19" l="1"/>
  <c r="S8" i="19"/>
  <c r="B9" i="19"/>
  <c r="C9" i="19"/>
  <c r="D9" i="19"/>
  <c r="N9" i="19"/>
  <c r="W9" i="19"/>
  <c r="X7" i="19"/>
  <c r="F8" i="19"/>
  <c r="G7" i="19"/>
  <c r="E9" i="19" l="1"/>
  <c r="S9" i="19"/>
  <c r="B10" i="19"/>
  <c r="C10" i="19"/>
  <c r="D10" i="19"/>
  <c r="N10" i="19"/>
  <c r="W10" i="19"/>
  <c r="X8" i="19"/>
  <c r="F9" i="19"/>
  <c r="G8" i="19"/>
  <c r="E10" i="19" l="1"/>
  <c r="S10" i="19"/>
  <c r="B11" i="19"/>
  <c r="C11" i="19"/>
  <c r="D11" i="19"/>
  <c r="N11" i="19"/>
  <c r="W11" i="19"/>
  <c r="X9" i="19"/>
  <c r="F10" i="19"/>
  <c r="G10" i="19"/>
  <c r="G9" i="19"/>
  <c r="E11" i="19" l="1"/>
  <c r="S11" i="19"/>
  <c r="B12" i="19"/>
  <c r="C12" i="19"/>
  <c r="D12" i="19"/>
  <c r="N12" i="19"/>
  <c r="W12" i="19"/>
  <c r="X10" i="19"/>
  <c r="F11" i="19"/>
  <c r="E12" i="19" l="1"/>
  <c r="S12" i="19"/>
  <c r="B13" i="19"/>
  <c r="C13" i="19"/>
  <c r="D13" i="19"/>
  <c r="N13" i="19"/>
  <c r="W13" i="19"/>
  <c r="X11" i="19"/>
  <c r="F12" i="19"/>
  <c r="G11" i="19"/>
  <c r="G12" i="19"/>
  <c r="E13" i="19" l="1"/>
  <c r="S13" i="19"/>
  <c r="B14" i="19"/>
  <c r="C14" i="19"/>
  <c r="D14" i="19"/>
  <c r="N14" i="19"/>
  <c r="W14" i="19"/>
  <c r="X12" i="19"/>
  <c r="F13" i="19"/>
  <c r="E14" i="19" l="1"/>
  <c r="S14" i="19"/>
  <c r="B15" i="19"/>
  <c r="C15" i="19"/>
  <c r="D15" i="19"/>
  <c r="N15" i="19"/>
  <c r="W15" i="19"/>
  <c r="X13" i="19"/>
  <c r="F14" i="19"/>
  <c r="G13" i="19"/>
  <c r="G14" i="19"/>
  <c r="E15" i="19" l="1"/>
  <c r="S15" i="19"/>
  <c r="B16" i="19"/>
  <c r="C16" i="19"/>
  <c r="D16" i="19"/>
  <c r="N16" i="19"/>
  <c r="W16" i="19"/>
  <c r="X14" i="19"/>
  <c r="F15" i="19"/>
  <c r="G15" i="19"/>
  <c r="E16" i="19" l="1"/>
  <c r="S16" i="19"/>
  <c r="B17" i="19"/>
  <c r="C17" i="19"/>
  <c r="D17" i="19"/>
  <c r="N17" i="19"/>
  <c r="W17" i="19"/>
  <c r="X15" i="19"/>
  <c r="F16" i="19"/>
  <c r="E17" i="19" l="1"/>
  <c r="S17" i="19"/>
  <c r="B18" i="19"/>
  <c r="C18" i="19"/>
  <c r="D18" i="19"/>
  <c r="N18" i="19"/>
  <c r="W18" i="19"/>
  <c r="X16" i="19"/>
  <c r="F17" i="19"/>
  <c r="G16" i="19"/>
  <c r="E18" i="19" l="1"/>
  <c r="S18" i="19"/>
  <c r="B19" i="19"/>
  <c r="C19" i="19"/>
  <c r="D19" i="19"/>
  <c r="N19" i="19"/>
  <c r="W19" i="19"/>
  <c r="X17" i="19"/>
  <c r="F18" i="19"/>
  <c r="G17" i="19"/>
  <c r="E19" i="19" l="1"/>
  <c r="S19" i="19"/>
  <c r="B20" i="19"/>
  <c r="C20" i="19"/>
  <c r="D20" i="19"/>
  <c r="N20" i="19"/>
  <c r="W20" i="19"/>
  <c r="X18" i="19"/>
  <c r="F19" i="19"/>
  <c r="G18" i="19"/>
  <c r="E20" i="19" l="1"/>
  <c r="S20" i="19"/>
  <c r="B21" i="19"/>
  <c r="C21" i="19"/>
  <c r="D21" i="19"/>
  <c r="N21" i="19"/>
  <c r="W21" i="19"/>
  <c r="X19" i="19"/>
  <c r="F20" i="19"/>
  <c r="G19" i="19"/>
  <c r="E21" i="19" l="1"/>
  <c r="S21" i="19"/>
  <c r="B22" i="19"/>
  <c r="C22" i="19"/>
  <c r="D22" i="19"/>
  <c r="N22" i="19"/>
  <c r="W22" i="19"/>
  <c r="X20" i="19"/>
  <c r="F21" i="19"/>
  <c r="G20" i="19"/>
  <c r="E22" i="19" l="1"/>
  <c r="S22" i="19"/>
  <c r="B23" i="19"/>
  <c r="C23" i="19"/>
  <c r="D23" i="19"/>
  <c r="N23" i="19"/>
  <c r="W23" i="19"/>
  <c r="X21" i="19"/>
  <c r="F22" i="19"/>
  <c r="G21" i="19"/>
  <c r="E23" i="19" l="1"/>
  <c r="S23" i="19"/>
  <c r="B24" i="19"/>
  <c r="C24" i="19"/>
  <c r="D24" i="19"/>
  <c r="N24" i="19"/>
  <c r="W24" i="19"/>
  <c r="X22" i="19"/>
  <c r="F23" i="19"/>
  <c r="G22" i="19"/>
  <c r="E24" i="19" l="1"/>
  <c r="S24" i="19"/>
  <c r="B25" i="19"/>
  <c r="C25" i="19"/>
  <c r="D25" i="19"/>
  <c r="N25" i="19"/>
  <c r="W25" i="19"/>
  <c r="X23" i="19"/>
  <c r="F24" i="19"/>
  <c r="G23" i="19"/>
  <c r="E25" i="19" l="1"/>
  <c r="S25" i="19"/>
  <c r="B26" i="19"/>
  <c r="C26" i="19"/>
  <c r="D26" i="19"/>
  <c r="N26" i="19"/>
  <c r="W26" i="19"/>
  <c r="X24" i="19"/>
  <c r="F25" i="19"/>
  <c r="G25" i="19"/>
  <c r="G24" i="19"/>
  <c r="E26" i="19" l="1"/>
  <c r="S26" i="19"/>
  <c r="B27" i="19"/>
  <c r="C27" i="19"/>
  <c r="D27" i="19"/>
  <c r="N27" i="19"/>
  <c r="W27" i="19"/>
  <c r="X25" i="19"/>
  <c r="F26" i="19"/>
  <c r="E27" i="19" l="1"/>
  <c r="S27" i="19"/>
  <c r="B28" i="19"/>
  <c r="C28" i="19"/>
  <c r="D28" i="19"/>
  <c r="N28" i="19"/>
  <c r="W28" i="19"/>
  <c r="X26" i="19"/>
  <c r="F27" i="19"/>
  <c r="G26" i="19"/>
  <c r="G27" i="19"/>
  <c r="E28" i="19" l="1"/>
  <c r="S28" i="19"/>
  <c r="B29" i="19"/>
  <c r="C29" i="19"/>
  <c r="D29" i="19"/>
  <c r="N29" i="19"/>
  <c r="W29" i="19"/>
  <c r="X27" i="19"/>
  <c r="F28" i="19"/>
  <c r="E29" i="19" l="1"/>
  <c r="S29" i="19"/>
  <c r="B30" i="19"/>
  <c r="C30" i="19"/>
  <c r="D30" i="19"/>
  <c r="N30" i="19"/>
  <c r="W30" i="19"/>
  <c r="X28" i="19"/>
  <c r="F29" i="19"/>
  <c r="G28" i="19"/>
  <c r="E30" i="19" l="1"/>
  <c r="S30" i="19"/>
  <c r="B31" i="19"/>
  <c r="C31" i="19"/>
  <c r="D31" i="19"/>
  <c r="N31" i="19"/>
  <c r="W31" i="19"/>
  <c r="X29" i="19"/>
  <c r="F30" i="19"/>
  <c r="G29" i="19"/>
  <c r="E31" i="19" l="1"/>
  <c r="S31" i="19"/>
  <c r="B32" i="19"/>
  <c r="C32" i="19"/>
  <c r="D32" i="19"/>
  <c r="N32" i="19"/>
  <c r="W32" i="19"/>
  <c r="X30" i="19"/>
  <c r="F31" i="19"/>
  <c r="G30" i="19"/>
  <c r="G31" i="19"/>
  <c r="E32" i="19" l="1"/>
  <c r="S32" i="19"/>
  <c r="B33" i="19"/>
  <c r="C33" i="19"/>
  <c r="D33" i="19"/>
  <c r="N33" i="19"/>
  <c r="W33" i="19"/>
  <c r="X31" i="19"/>
  <c r="F32" i="19"/>
  <c r="E33" i="19" l="1"/>
  <c r="S33" i="19"/>
  <c r="B34" i="19"/>
  <c r="C34" i="19"/>
  <c r="D34" i="19"/>
  <c r="N34" i="19"/>
  <c r="W34" i="19"/>
  <c r="X32" i="19"/>
  <c r="F33" i="19"/>
  <c r="G32" i="19"/>
  <c r="E34" i="19" l="1"/>
  <c r="S34" i="19"/>
  <c r="B35" i="19"/>
  <c r="C35" i="19"/>
  <c r="D35" i="19"/>
  <c r="N35" i="19"/>
  <c r="W35" i="19"/>
  <c r="X33" i="19"/>
  <c r="F34" i="19"/>
  <c r="G33" i="19"/>
  <c r="E35" i="19" l="1"/>
  <c r="S35" i="19"/>
  <c r="B36" i="19"/>
  <c r="C36" i="19"/>
  <c r="D36" i="19"/>
  <c r="N36" i="19"/>
  <c r="W36" i="19"/>
  <c r="X34" i="19"/>
  <c r="F35" i="19"/>
  <c r="G34" i="19"/>
  <c r="E36" i="19" l="1"/>
  <c r="S36" i="19"/>
  <c r="B37" i="19"/>
  <c r="C37" i="19"/>
  <c r="D37" i="19"/>
  <c r="N37" i="19"/>
  <c r="W37" i="19"/>
  <c r="X35" i="19"/>
  <c r="F36" i="19"/>
  <c r="G35" i="19"/>
  <c r="E37" i="19" l="1"/>
  <c r="S37" i="19"/>
  <c r="B38" i="19"/>
  <c r="C38" i="19"/>
  <c r="D38" i="19"/>
  <c r="N38" i="19"/>
  <c r="W38" i="19"/>
  <c r="X36" i="19"/>
  <c r="F37" i="19"/>
  <c r="G36" i="19"/>
  <c r="E38" i="19" l="1"/>
  <c r="S38" i="19"/>
  <c r="B39" i="19"/>
  <c r="C39" i="19"/>
  <c r="D39" i="19"/>
  <c r="N39" i="19"/>
  <c r="W39" i="19"/>
  <c r="X37" i="19"/>
  <c r="F38" i="19"/>
  <c r="G37" i="19"/>
  <c r="E39" i="19" l="1"/>
  <c r="S39" i="19"/>
  <c r="B40" i="19"/>
  <c r="C40" i="19"/>
  <c r="D40" i="19"/>
  <c r="N40" i="19"/>
  <c r="W40" i="19"/>
  <c r="X38" i="19"/>
  <c r="F39" i="19"/>
  <c r="G38" i="19"/>
  <c r="E40" i="19" l="1"/>
  <c r="S40" i="19"/>
  <c r="B41" i="19"/>
  <c r="C41" i="19"/>
  <c r="D41" i="19"/>
  <c r="N41" i="19"/>
  <c r="O5" i="19" s="1" a="1"/>
  <c r="W41" i="19"/>
  <c r="X39" i="19"/>
  <c r="F40" i="19"/>
  <c r="G39" i="19"/>
  <c r="G40"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X40" i="19"/>
  <c r="F41" i="19"/>
  <c r="F5" i="18"/>
  <c r="O4" i="18"/>
  <c r="G5" i="18"/>
  <c r="E5" i="18" l="1"/>
  <c r="C6" i="18"/>
  <c r="D6" i="18"/>
  <c r="N6" i="18"/>
  <c r="R6" i="18"/>
  <c r="S6" i="18" s="1"/>
  <c r="W6" i="18"/>
  <c r="X41" i="19"/>
  <c r="X5" i="18"/>
  <c r="G41" i="19"/>
  <c r="E6" i="18" l="1"/>
  <c r="C7" i="18"/>
  <c r="D7" i="18"/>
  <c r="N7" i="18"/>
  <c r="R7" i="18"/>
  <c r="S7" i="18" s="1"/>
  <c r="W7" i="18"/>
  <c r="F6" i="18"/>
  <c r="G6" i="18"/>
  <c r="E7" i="18" l="1"/>
  <c r="C8" i="18"/>
  <c r="D8" i="18"/>
  <c r="N8" i="18"/>
  <c r="R8" i="18"/>
  <c r="S8" i="18" s="1"/>
  <c r="W8" i="18"/>
  <c r="X6" i="18"/>
  <c r="F7" i="18"/>
  <c r="G7" i="18"/>
  <c r="E8" i="18" l="1"/>
  <c r="C9" i="18"/>
  <c r="D9" i="18"/>
  <c r="N9" i="18"/>
  <c r="R9" i="18"/>
  <c r="S9" i="18" s="1"/>
  <c r="W9" i="18"/>
  <c r="F8" i="18"/>
  <c r="X7" i="18"/>
  <c r="F9" i="18"/>
  <c r="G8" i="18"/>
  <c r="E9" i="18" l="1"/>
  <c r="C10" i="18"/>
  <c r="D10" i="18"/>
  <c r="N10" i="18"/>
  <c r="R10" i="18"/>
  <c r="S10" i="18" s="1"/>
  <c r="W10" i="18"/>
  <c r="X8" i="18"/>
  <c r="X9" i="18"/>
  <c r="G9" i="18"/>
  <c r="E10" i="18" l="1"/>
  <c r="C11" i="18"/>
  <c r="D11" i="18"/>
  <c r="N11" i="18"/>
  <c r="R11" i="18"/>
  <c r="S11" i="18" s="1"/>
  <c r="W11" i="18"/>
  <c r="F11" i="18"/>
  <c r="F10" i="18"/>
  <c r="E11" i="18" l="1"/>
  <c r="C12" i="18"/>
  <c r="D12" i="18"/>
  <c r="N12" i="18"/>
  <c r="R12" i="18"/>
  <c r="S12" i="18" s="1"/>
  <c r="W12" i="18"/>
  <c r="X10" i="18"/>
  <c r="X11" i="18"/>
  <c r="G10" i="18"/>
  <c r="G11" i="18"/>
  <c r="E12" i="18" l="1"/>
  <c r="C13" i="18"/>
  <c r="D13" i="18"/>
  <c r="N13" i="18"/>
  <c r="R13" i="18"/>
  <c r="S13" i="18" s="1"/>
  <c r="W13" i="18"/>
  <c r="F13" i="18"/>
  <c r="F12" i="18"/>
  <c r="G12" i="18"/>
  <c r="E13" i="18" l="1"/>
  <c r="C14" i="18"/>
  <c r="D14" i="18"/>
  <c r="N14" i="18"/>
  <c r="R14" i="18"/>
  <c r="S14" i="18" s="1"/>
  <c r="W14" i="18"/>
  <c r="X12" i="18"/>
  <c r="X13" i="18"/>
  <c r="G13" i="18"/>
  <c r="E14" i="18" l="1"/>
  <c r="C15" i="18"/>
  <c r="D15" i="18"/>
  <c r="N15" i="18"/>
  <c r="O5" i="18" s="1" a="1"/>
  <c r="O15" i="18" s="1"/>
  <c r="R15" i="18"/>
  <c r="S15" i="18" s="1"/>
  <c r="W15" i="18"/>
  <c r="F15" i="18"/>
  <c r="F14" i="18"/>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X14" i="18"/>
  <c r="X15" i="18"/>
  <c r="G15" i="18"/>
  <c r="O4" i="17"/>
  <c r="E6" i="17" l="1"/>
  <c r="E5" i="17"/>
  <c r="W6" i="17"/>
  <c r="B7" i="17"/>
  <c r="C7" i="17"/>
  <c r="D7" i="17"/>
  <c r="N7" i="17"/>
  <c r="R7" i="17"/>
  <c r="S7" i="17" s="1"/>
  <c r="W7" i="17"/>
  <c r="F6" i="17"/>
  <c r="F5" i="17"/>
  <c r="X6" i="17"/>
  <c r="G5" i="17"/>
  <c r="E7" i="17" l="1"/>
  <c r="B8" i="17"/>
  <c r="C8" i="17"/>
  <c r="D8" i="17"/>
  <c r="N8" i="17"/>
  <c r="R8" i="17"/>
  <c r="S8" i="17" s="1"/>
  <c r="W8" i="17"/>
  <c r="F7" i="17"/>
  <c r="X5" i="17"/>
  <c r="G6" i="17"/>
  <c r="E8" i="17" l="1"/>
  <c r="B9" i="17"/>
  <c r="C9" i="17"/>
  <c r="D9" i="17"/>
  <c r="N9" i="17"/>
  <c r="R9" i="17"/>
  <c r="S9" i="17" s="1"/>
  <c r="W9" i="17"/>
  <c r="X7" i="17"/>
  <c r="F8" i="17"/>
  <c r="G7" i="17"/>
  <c r="E9" i="17" l="1"/>
  <c r="B10" i="17"/>
  <c r="C10" i="17"/>
  <c r="D10" i="17"/>
  <c r="N10" i="17"/>
  <c r="R10" i="17"/>
  <c r="S10" i="17" s="1"/>
  <c r="W10" i="17"/>
  <c r="X8" i="17"/>
  <c r="F9" i="17"/>
  <c r="G8" i="17"/>
  <c r="G9" i="17"/>
  <c r="E10" i="17" l="1"/>
  <c r="B11" i="17"/>
  <c r="C11" i="17"/>
  <c r="D11" i="17"/>
  <c r="N11" i="17"/>
  <c r="R11" i="17"/>
  <c r="S11" i="17" s="1"/>
  <c r="W11" i="17"/>
  <c r="F10" i="17"/>
  <c r="X9" i="17"/>
  <c r="G10" i="17"/>
  <c r="E11" i="17" l="1"/>
  <c r="B12" i="17"/>
  <c r="C12" i="17"/>
  <c r="D12" i="17"/>
  <c r="N12" i="17"/>
  <c r="R12" i="17"/>
  <c r="S12" i="17" s="1"/>
  <c r="W12" i="17"/>
  <c r="X10" i="17"/>
  <c r="F11" i="17"/>
  <c r="E12" i="17" l="1"/>
  <c r="B13" i="17"/>
  <c r="C13" i="17"/>
  <c r="D13" i="17"/>
  <c r="N13" i="17"/>
  <c r="R13" i="17"/>
  <c r="S13" i="17" s="1"/>
  <c r="W13" i="17"/>
  <c r="X11" i="17"/>
  <c r="F12" i="17"/>
  <c r="G11" i="17"/>
  <c r="G12" i="17"/>
  <c r="E13" i="17" l="1"/>
  <c r="B14" i="17"/>
  <c r="C14" i="17"/>
  <c r="D14" i="17"/>
  <c r="N14" i="17"/>
  <c r="R14" i="17"/>
  <c r="S14" i="17" s="1"/>
  <c r="W14" i="17"/>
  <c r="F13" i="17"/>
  <c r="F14" i="17"/>
  <c r="X12" i="17"/>
  <c r="G13" i="17"/>
  <c r="E14" i="17" l="1"/>
  <c r="B15" i="17"/>
  <c r="C15" i="17"/>
  <c r="D15" i="17"/>
  <c r="N15" i="17"/>
  <c r="R15" i="17"/>
  <c r="S15" i="17" s="1"/>
  <c r="W15" i="17"/>
  <c r="X13" i="17"/>
  <c r="X14" i="17"/>
  <c r="E15" i="17" l="1"/>
  <c r="B16" i="17"/>
  <c r="C16" i="17"/>
  <c r="D16" i="17"/>
  <c r="N16" i="17"/>
  <c r="R16" i="17"/>
  <c r="S16" i="17" s="1"/>
  <c r="W16" i="17"/>
  <c r="F15" i="17"/>
  <c r="F16" i="17"/>
  <c r="G14" i="17"/>
  <c r="E16" i="17" l="1"/>
  <c r="B17" i="17"/>
  <c r="C17" i="17"/>
  <c r="D17" i="17"/>
  <c r="N17" i="17"/>
  <c r="R17" i="17"/>
  <c r="S17" i="17" s="1"/>
  <c r="W17" i="17"/>
  <c r="X15" i="17"/>
  <c r="X16" i="17"/>
  <c r="G15" i="17"/>
  <c r="G16" i="17"/>
  <c r="E17" i="17" l="1"/>
  <c r="B18" i="17"/>
  <c r="C18" i="17"/>
  <c r="D18" i="17"/>
  <c r="N18" i="17"/>
  <c r="R18" i="17"/>
  <c r="S18" i="17" s="1"/>
  <c r="W18" i="17"/>
  <c r="F17" i="17"/>
  <c r="G17" i="17"/>
  <c r="E18" i="17" l="1"/>
  <c r="B19" i="17"/>
  <c r="C19" i="17"/>
  <c r="D19" i="17"/>
  <c r="N19" i="17"/>
  <c r="R19" i="17"/>
  <c r="S19" i="17" s="1"/>
  <c r="W19" i="17"/>
  <c r="X17" i="17"/>
  <c r="F18" i="17"/>
  <c r="E19" i="17" l="1"/>
  <c r="B20" i="17"/>
  <c r="C20" i="17"/>
  <c r="D20" i="17"/>
  <c r="N20" i="17"/>
  <c r="R20" i="17"/>
  <c r="S20" i="17" s="1"/>
  <c r="W20" i="17"/>
  <c r="X18" i="17"/>
  <c r="F19" i="17"/>
  <c r="G18" i="17"/>
  <c r="G19" i="17"/>
  <c r="E20" i="17" l="1"/>
  <c r="B21" i="17"/>
  <c r="C21" i="17"/>
  <c r="D21" i="17"/>
  <c r="N21" i="17"/>
  <c r="R21" i="17"/>
  <c r="S21" i="17" s="1"/>
  <c r="W21" i="17"/>
  <c r="F20" i="17"/>
  <c r="X19" i="17"/>
  <c r="F21" i="17"/>
  <c r="G20" i="17"/>
  <c r="E21" i="17" l="1"/>
  <c r="B22" i="17"/>
  <c r="C22" i="17"/>
  <c r="D22" i="17"/>
  <c r="N22" i="17"/>
  <c r="R22" i="17"/>
  <c r="S22" i="17" s="1"/>
  <c r="W22" i="17"/>
  <c r="X21" i="17"/>
  <c r="X20" i="17"/>
  <c r="F22" i="17"/>
  <c r="G21" i="17"/>
  <c r="E22" i="17" l="1"/>
  <c r="B23" i="17"/>
  <c r="C23" i="17"/>
  <c r="D23" i="17"/>
  <c r="N23" i="17"/>
  <c r="R23" i="17"/>
  <c r="S23" i="17" s="1"/>
  <c r="W23" i="17"/>
  <c r="X22" i="17"/>
  <c r="G22" i="17"/>
  <c r="E23" i="17" l="1"/>
  <c r="B24" i="17"/>
  <c r="C24" i="17"/>
  <c r="D24" i="17"/>
  <c r="N24" i="17"/>
  <c r="R24" i="17"/>
  <c r="S24" i="17" s="1"/>
  <c r="W24" i="17"/>
  <c r="F23" i="17"/>
  <c r="G23" i="17"/>
  <c r="E24" i="17" l="1"/>
  <c r="B25" i="17"/>
  <c r="C25" i="17"/>
  <c r="D25" i="17"/>
  <c r="N25" i="17"/>
  <c r="R25" i="17"/>
  <c r="S25" i="17" s="1"/>
  <c r="W25" i="17"/>
  <c r="F24" i="17"/>
  <c r="X23" i="17"/>
  <c r="G24" i="17"/>
  <c r="E25" i="17" l="1"/>
  <c r="B26" i="17"/>
  <c r="C26" i="17"/>
  <c r="D26" i="17"/>
  <c r="N26" i="17"/>
  <c r="R26" i="17"/>
  <c r="S26" i="17" s="1"/>
  <c r="W26" i="17"/>
  <c r="X24" i="17"/>
  <c r="F25" i="17"/>
  <c r="F26" i="17"/>
  <c r="G25" i="17"/>
  <c r="E26" i="17" l="1"/>
  <c r="B27" i="17"/>
  <c r="C27" i="17"/>
  <c r="D27" i="17"/>
  <c r="N27" i="17"/>
  <c r="R27" i="17"/>
  <c r="S27" i="17" s="1"/>
  <c r="W27" i="17"/>
  <c r="X25" i="17"/>
  <c r="X26" i="17"/>
  <c r="F27" i="17"/>
  <c r="G26" i="17"/>
  <c r="E27" i="17" l="1"/>
  <c r="B28" i="17"/>
  <c r="C28" i="17"/>
  <c r="D28" i="17"/>
  <c r="N28" i="17"/>
  <c r="R28" i="17"/>
  <c r="S28" i="17" s="1"/>
  <c r="W28" i="17"/>
  <c r="X27" i="17"/>
  <c r="G27" i="17"/>
  <c r="E28" i="17" l="1"/>
  <c r="B29" i="17"/>
  <c r="C29" i="17"/>
  <c r="D29" i="17"/>
  <c r="N29" i="17"/>
  <c r="R29" i="17"/>
  <c r="S29" i="17" s="1"/>
  <c r="W29" i="17"/>
  <c r="F28" i="17"/>
  <c r="E29" i="17" l="1"/>
  <c r="B30" i="17"/>
  <c r="C30" i="17"/>
  <c r="D30" i="17"/>
  <c r="N30" i="17"/>
  <c r="R30" i="17"/>
  <c r="S30" i="17" s="1"/>
  <c r="W30" i="17"/>
  <c r="X28" i="17"/>
  <c r="F29" i="17"/>
  <c r="G28" i="17"/>
  <c r="E30" i="17" l="1"/>
  <c r="B31" i="17"/>
  <c r="C31" i="17"/>
  <c r="D31" i="17"/>
  <c r="N31" i="17"/>
  <c r="R31" i="17"/>
  <c r="S31" i="17" s="1"/>
  <c r="W31" i="17"/>
  <c r="X29" i="17"/>
  <c r="F30" i="17"/>
  <c r="G30" i="17"/>
  <c r="G29" i="17"/>
  <c r="E31" i="17" l="1"/>
  <c r="B32" i="17"/>
  <c r="C32" i="17"/>
  <c r="D32" i="17"/>
  <c r="N32" i="17"/>
  <c r="R32" i="17"/>
  <c r="S32" i="17" s="1"/>
  <c r="W32" i="17"/>
  <c r="X30" i="17"/>
  <c r="F31" i="17"/>
  <c r="E32" i="17" l="1"/>
  <c r="B33" i="17"/>
  <c r="C33" i="17"/>
  <c r="D33" i="17"/>
  <c r="N33" i="17"/>
  <c r="R33" i="17"/>
  <c r="S33" i="17" s="1"/>
  <c r="W33" i="17"/>
  <c r="X31" i="17"/>
  <c r="F32" i="17"/>
  <c r="G31" i="17"/>
  <c r="E33" i="17" l="1"/>
  <c r="B34" i="17"/>
  <c r="C34" i="17"/>
  <c r="D34" i="17"/>
  <c r="N34" i="17"/>
  <c r="R34" i="17"/>
  <c r="S34" i="17" s="1"/>
  <c r="W34" i="17"/>
  <c r="F33" i="17"/>
  <c r="X32" i="17"/>
  <c r="G33" i="17"/>
  <c r="G32" i="17"/>
  <c r="E34" i="17" l="1"/>
  <c r="B35" i="17"/>
  <c r="C35" i="17"/>
  <c r="D35" i="17"/>
  <c r="N35" i="17"/>
  <c r="R35" i="17"/>
  <c r="S35" i="17" s="1"/>
  <c r="W35" i="17"/>
  <c r="F34" i="17"/>
  <c r="X33" i="17"/>
  <c r="F35" i="17"/>
  <c r="E35" i="17" l="1"/>
  <c r="B36" i="17"/>
  <c r="C36" i="17"/>
  <c r="D36" i="17"/>
  <c r="N36" i="17"/>
  <c r="R36" i="17"/>
  <c r="S36" i="17" s="1"/>
  <c r="W36" i="17"/>
  <c r="X35" i="17"/>
  <c r="X34" i="17"/>
  <c r="F36" i="17"/>
  <c r="G34" i="17"/>
  <c r="E36" i="17" l="1"/>
  <c r="B37" i="17"/>
  <c r="C37" i="17"/>
  <c r="D37" i="17"/>
  <c r="N37" i="17"/>
  <c r="R37" i="17"/>
  <c r="S37" i="17" s="1"/>
  <c r="W37" i="17"/>
  <c r="X36" i="17"/>
  <c r="G36" i="17"/>
  <c r="G35" i="17"/>
  <c r="E37" i="17" l="1"/>
  <c r="B38" i="17"/>
  <c r="C38" i="17"/>
  <c r="D38" i="17"/>
  <c r="N38" i="17"/>
  <c r="R38" i="17"/>
  <c r="S38" i="17" s="1"/>
  <c r="W38" i="17"/>
  <c r="F37" i="17"/>
  <c r="G37" i="17"/>
  <c r="E38" i="17" l="1"/>
  <c r="B39" i="17"/>
  <c r="C39" i="17"/>
  <c r="D39" i="17"/>
  <c r="N39" i="17"/>
  <c r="R39" i="17"/>
  <c r="S39" i="17" s="1"/>
  <c r="W39" i="17"/>
  <c r="F38" i="17"/>
  <c r="X37" i="17"/>
  <c r="G38" i="17"/>
  <c r="E39" i="17" l="1"/>
  <c r="B40" i="17"/>
  <c r="C40" i="17"/>
  <c r="D40" i="17"/>
  <c r="N40" i="17"/>
  <c r="R40" i="17"/>
  <c r="S40" i="17" s="1"/>
  <c r="W40" i="17"/>
  <c r="F39" i="17"/>
  <c r="X38" i="17"/>
  <c r="G39" i="17"/>
  <c r="E40" i="17" l="1"/>
  <c r="B41" i="17"/>
  <c r="C41" i="17"/>
  <c r="D41" i="17"/>
  <c r="N41" i="17"/>
  <c r="O5" i="17" s="1" a="1"/>
  <c r="O41" i="17" s="1"/>
  <c r="R41" i="17"/>
  <c r="S41" i="17" s="1"/>
  <c r="W41" i="17"/>
  <c r="F40" i="17"/>
  <c r="X39"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X40" i="17"/>
  <c r="F41" i="17"/>
  <c r="F6" i="16"/>
  <c r="F5" i="16"/>
  <c r="O4" i="16"/>
  <c r="W6" i="16" l="1"/>
  <c r="E5" i="16"/>
  <c r="E6" i="16"/>
  <c r="B7" i="16"/>
  <c r="C7" i="16"/>
  <c r="D7" i="16"/>
  <c r="N7" i="16"/>
  <c r="R7" i="16"/>
  <c r="S7" i="16" s="1"/>
  <c r="W7" i="16"/>
  <c r="X6" i="16"/>
  <c r="X41" i="17"/>
  <c r="X5" i="16"/>
  <c r="F7" i="16"/>
  <c r="G6" i="16"/>
  <c r="G41" i="17"/>
  <c r="G5" i="16"/>
  <c r="E7" i="16" l="1"/>
  <c r="B8" i="16"/>
  <c r="C8" i="16"/>
  <c r="D8" i="16"/>
  <c r="N8" i="16"/>
  <c r="R8" i="16"/>
  <c r="S8" i="16" s="1"/>
  <c r="W8" i="16"/>
  <c r="X7" i="16"/>
  <c r="F8" i="16"/>
  <c r="G7" i="16"/>
  <c r="E8" i="16" l="1"/>
  <c r="B9" i="16"/>
  <c r="C9" i="16"/>
  <c r="D9" i="16"/>
  <c r="N9" i="16"/>
  <c r="R9" i="16"/>
  <c r="S9" i="16" s="1"/>
  <c r="W9" i="16"/>
  <c r="X8" i="16"/>
  <c r="F9" i="16"/>
  <c r="G8" i="16"/>
  <c r="G9" i="16"/>
  <c r="E9" i="16" l="1"/>
  <c r="B10" i="16"/>
  <c r="C10" i="16"/>
  <c r="D10" i="16"/>
  <c r="N10" i="16"/>
  <c r="R10" i="16"/>
  <c r="S10" i="16" s="1"/>
  <c r="W10" i="16"/>
  <c r="F10" i="16"/>
  <c r="X9" i="16"/>
  <c r="E10" i="16" l="1"/>
  <c r="B11" i="16"/>
  <c r="C11" i="16"/>
  <c r="D11" i="16"/>
  <c r="N11" i="16"/>
  <c r="R11" i="16"/>
  <c r="S11" i="16" s="1"/>
  <c r="W11" i="16"/>
  <c r="X10" i="16"/>
  <c r="F11" i="16"/>
  <c r="G10" i="16"/>
  <c r="E11" i="16" l="1"/>
  <c r="B12" i="16"/>
  <c r="C12" i="16"/>
  <c r="D12" i="16"/>
  <c r="N12" i="16"/>
  <c r="R12" i="16"/>
  <c r="S12" i="16" s="1"/>
  <c r="W12" i="16"/>
  <c r="F12" i="16"/>
  <c r="X11" i="16"/>
  <c r="G11" i="16"/>
  <c r="E12" i="16" l="1"/>
  <c r="B13" i="16"/>
  <c r="C13" i="16"/>
  <c r="D13" i="16"/>
  <c r="N13" i="16"/>
  <c r="R13" i="16"/>
  <c r="S13" i="16" s="1"/>
  <c r="W13" i="16"/>
  <c r="X12" i="16"/>
  <c r="F13" i="16"/>
  <c r="G12" i="16"/>
  <c r="E13" i="16" l="1"/>
  <c r="B14" i="16"/>
  <c r="C14" i="16"/>
  <c r="D14" i="16"/>
  <c r="N14" i="16"/>
  <c r="R14" i="16"/>
  <c r="S14" i="16" s="1"/>
  <c r="W14" i="16"/>
  <c r="X13" i="16"/>
  <c r="F14" i="16"/>
  <c r="G14" i="16"/>
  <c r="G13" i="16"/>
  <c r="E14" i="16" l="1"/>
  <c r="B15" i="16"/>
  <c r="C15" i="16"/>
  <c r="D15" i="16"/>
  <c r="N15" i="16"/>
  <c r="R15" i="16"/>
  <c r="S15" i="16" s="1"/>
  <c r="W15" i="16"/>
  <c r="X14" i="16"/>
  <c r="F15" i="16"/>
  <c r="G15" i="16"/>
  <c r="E15" i="16" l="1"/>
  <c r="B16" i="16"/>
  <c r="C16" i="16"/>
  <c r="D16" i="16"/>
  <c r="N16" i="16"/>
  <c r="R16" i="16"/>
  <c r="S16" i="16" s="1"/>
  <c r="W16" i="16"/>
  <c r="X15" i="16"/>
  <c r="F16" i="16"/>
  <c r="G16" i="16"/>
  <c r="E16" i="16" l="1"/>
  <c r="B17" i="16"/>
  <c r="C17" i="16"/>
  <c r="D17" i="16"/>
  <c r="N17" i="16"/>
  <c r="R17" i="16"/>
  <c r="S17" i="16" s="1"/>
  <c r="W17" i="16"/>
  <c r="X16" i="16"/>
  <c r="F17" i="16"/>
  <c r="E17" i="16" l="1"/>
  <c r="B18" i="16"/>
  <c r="C18" i="16"/>
  <c r="D18" i="16"/>
  <c r="N18" i="16"/>
  <c r="R18" i="16"/>
  <c r="S18" i="16" s="1"/>
  <c r="W18" i="16"/>
  <c r="X17" i="16"/>
  <c r="F18" i="16"/>
  <c r="E18" i="16" l="1"/>
  <c r="B19" i="16"/>
  <c r="C19" i="16"/>
  <c r="D19" i="16"/>
  <c r="N19" i="16"/>
  <c r="R19" i="16"/>
  <c r="S19" i="16" s="1"/>
  <c r="W19" i="16"/>
  <c r="X18" i="16"/>
  <c r="F19" i="16"/>
  <c r="G18" i="16"/>
  <c r="G17" i="16"/>
  <c r="E19" i="16" l="1"/>
  <c r="B20" i="16"/>
  <c r="C20" i="16"/>
  <c r="D20" i="16"/>
  <c r="N20" i="16"/>
  <c r="R20" i="16"/>
  <c r="S20" i="16" s="1"/>
  <c r="W20" i="16"/>
  <c r="X19" i="16"/>
  <c r="F20" i="16"/>
  <c r="E20" i="16" l="1"/>
  <c r="B21" i="16"/>
  <c r="C21" i="16"/>
  <c r="D21" i="16"/>
  <c r="N21" i="16"/>
  <c r="R21" i="16"/>
  <c r="S21" i="16" s="1"/>
  <c r="W21" i="16"/>
  <c r="X20" i="16"/>
  <c r="F21" i="16"/>
  <c r="G19" i="16"/>
  <c r="G21" i="16"/>
  <c r="G20" i="16"/>
  <c r="E21" i="16" l="1"/>
  <c r="B22" i="16"/>
  <c r="C22" i="16"/>
  <c r="D22" i="16"/>
  <c r="N22" i="16"/>
  <c r="R22" i="16"/>
  <c r="S22" i="16" s="1"/>
  <c r="W22" i="16"/>
  <c r="X21" i="16"/>
  <c r="F22" i="16"/>
  <c r="G22" i="16"/>
  <c r="E22" i="16" l="1"/>
  <c r="B23" i="16"/>
  <c r="C23" i="16"/>
  <c r="D23" i="16"/>
  <c r="N23" i="16"/>
  <c r="R23" i="16"/>
  <c r="S23" i="16" s="1"/>
  <c r="W23" i="16"/>
  <c r="X22" i="16"/>
  <c r="F23" i="16"/>
  <c r="G23" i="16"/>
  <c r="E23" i="16" l="1"/>
  <c r="B24" i="16"/>
  <c r="C24" i="16"/>
  <c r="D24" i="16"/>
  <c r="N24" i="16"/>
  <c r="R24" i="16"/>
  <c r="S24" i="16" s="1"/>
  <c r="W24" i="16"/>
  <c r="X23" i="16"/>
  <c r="F24" i="16"/>
  <c r="E24" i="16" l="1"/>
  <c r="B25" i="16"/>
  <c r="C25" i="16"/>
  <c r="D25" i="16"/>
  <c r="N25" i="16"/>
  <c r="R25" i="16"/>
  <c r="S25" i="16" s="1"/>
  <c r="W25" i="16"/>
  <c r="X24" i="16"/>
  <c r="F25" i="16"/>
  <c r="E25" i="16" l="1"/>
  <c r="B26" i="16"/>
  <c r="C26" i="16"/>
  <c r="D26" i="16"/>
  <c r="N26" i="16"/>
  <c r="R26" i="16"/>
  <c r="S26" i="16" s="1"/>
  <c r="W26" i="16"/>
  <c r="X25" i="16"/>
  <c r="F26" i="16"/>
  <c r="G24" i="16"/>
  <c r="G25" i="16"/>
  <c r="E26" i="16" l="1"/>
  <c r="B27" i="16"/>
  <c r="C27" i="16"/>
  <c r="D27" i="16"/>
  <c r="N27" i="16"/>
  <c r="R27" i="16"/>
  <c r="S27" i="16" s="1"/>
  <c r="W27" i="16"/>
  <c r="X26" i="16"/>
  <c r="F27" i="16"/>
  <c r="G26" i="16"/>
  <c r="E27" i="16" l="1"/>
  <c r="B28" i="16"/>
  <c r="C28" i="16"/>
  <c r="D28" i="16"/>
  <c r="N28" i="16"/>
  <c r="R28" i="16"/>
  <c r="S28" i="16" s="1"/>
  <c r="W28" i="16"/>
  <c r="X27" i="16"/>
  <c r="F28" i="16"/>
  <c r="G27" i="16"/>
  <c r="E28" i="16" l="1"/>
  <c r="B29" i="16"/>
  <c r="C29" i="16"/>
  <c r="D29" i="16"/>
  <c r="N29" i="16"/>
  <c r="R29" i="16"/>
  <c r="S29" i="16" s="1"/>
  <c r="W29" i="16"/>
  <c r="F29" i="16"/>
  <c r="X28" i="16"/>
  <c r="E29" i="16" l="1"/>
  <c r="B30" i="16"/>
  <c r="C30" i="16"/>
  <c r="D30" i="16"/>
  <c r="N30" i="16"/>
  <c r="R30" i="16"/>
  <c r="S30" i="16" s="1"/>
  <c r="W30" i="16"/>
  <c r="X29" i="16"/>
  <c r="F30" i="16"/>
  <c r="G28" i="16"/>
  <c r="E30" i="16" l="1"/>
  <c r="B31" i="16"/>
  <c r="C31" i="16"/>
  <c r="D31" i="16"/>
  <c r="N31" i="16"/>
  <c r="R31" i="16"/>
  <c r="S31" i="16" s="1"/>
  <c r="W31" i="16"/>
  <c r="X30" i="16"/>
  <c r="F31" i="16"/>
  <c r="G29" i="16"/>
  <c r="E31" i="16" l="1"/>
  <c r="B32" i="16"/>
  <c r="C32" i="16"/>
  <c r="D32" i="16"/>
  <c r="N32" i="16"/>
  <c r="R32" i="16"/>
  <c r="S32" i="16" s="1"/>
  <c r="W32" i="16"/>
  <c r="X31" i="16"/>
  <c r="F32" i="16"/>
  <c r="G31" i="16"/>
  <c r="G30" i="16"/>
  <c r="E32" i="16" l="1"/>
  <c r="B33" i="16"/>
  <c r="C33" i="16"/>
  <c r="D33" i="16"/>
  <c r="N33" i="16"/>
  <c r="R33" i="16"/>
  <c r="S33" i="16" s="1"/>
  <c r="W33" i="16"/>
  <c r="F33" i="16"/>
  <c r="X32" i="16"/>
  <c r="G32" i="16"/>
  <c r="E33" i="16" l="1"/>
  <c r="B34" i="16"/>
  <c r="C34" i="16"/>
  <c r="D34" i="16"/>
  <c r="N34" i="16"/>
  <c r="R34" i="16"/>
  <c r="S34" i="16" s="1"/>
  <c r="W34" i="16"/>
  <c r="X33" i="16"/>
  <c r="F34" i="16"/>
  <c r="E34" i="16" l="1"/>
  <c r="B35" i="16"/>
  <c r="C35" i="16"/>
  <c r="D35" i="16"/>
  <c r="N35" i="16"/>
  <c r="R35" i="16"/>
  <c r="S35" i="16" s="1"/>
  <c r="W35" i="16"/>
  <c r="X34" i="16"/>
  <c r="F35" i="16"/>
  <c r="G33" i="16"/>
  <c r="G34" i="16"/>
  <c r="E35" i="16" l="1"/>
  <c r="B36" i="16"/>
  <c r="C36" i="16"/>
  <c r="D36" i="16"/>
  <c r="N36" i="16"/>
  <c r="R36" i="16"/>
  <c r="S36" i="16" s="1"/>
  <c r="W36" i="16"/>
  <c r="X35" i="16"/>
  <c r="F36" i="16"/>
  <c r="G35" i="16"/>
  <c r="E36" i="16" l="1"/>
  <c r="B37" i="16"/>
  <c r="C37" i="16"/>
  <c r="D37" i="16"/>
  <c r="N37" i="16"/>
  <c r="R37" i="16"/>
  <c r="S37" i="16" s="1"/>
  <c r="W37" i="16"/>
  <c r="X36" i="16"/>
  <c r="F37" i="16"/>
  <c r="G36" i="16"/>
  <c r="G37" i="16"/>
  <c r="E37" i="16" l="1"/>
  <c r="B38" i="16"/>
  <c r="C38" i="16"/>
  <c r="D38" i="16"/>
  <c r="N38" i="16"/>
  <c r="R38" i="16"/>
  <c r="S38" i="16" s="1"/>
  <c r="W38" i="16"/>
  <c r="X37" i="16"/>
  <c r="F38" i="16"/>
  <c r="E38" i="16" l="1"/>
  <c r="B39" i="16"/>
  <c r="C39" i="16"/>
  <c r="D39" i="16"/>
  <c r="N39" i="16"/>
  <c r="R39" i="16"/>
  <c r="S39" i="16" s="1"/>
  <c r="W39" i="16"/>
  <c r="F39" i="16"/>
  <c r="X38" i="16"/>
  <c r="G38" i="16"/>
  <c r="G39" i="16"/>
  <c r="E39" i="16" l="1"/>
  <c r="B40" i="16"/>
  <c r="C40" i="16"/>
  <c r="D40" i="16"/>
  <c r="N40" i="16"/>
  <c r="R40" i="16"/>
  <c r="S40" i="16" s="1"/>
  <c r="W40" i="16"/>
  <c r="X39" i="16"/>
  <c r="F40" i="16"/>
  <c r="E40" i="16" l="1"/>
  <c r="B41" i="16"/>
  <c r="C41" i="16"/>
  <c r="D41" i="16"/>
  <c r="N41" i="16"/>
  <c r="O5" i="16" s="1" a="1"/>
  <c r="O41" i="16" s="1"/>
  <c r="R41" i="16"/>
  <c r="S41" i="16" s="1"/>
  <c r="W41" i="16"/>
  <c r="X40" i="16"/>
  <c r="F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X41" i="16"/>
  <c r="G40" i="16"/>
  <c r="G41" i="16"/>
  <c r="O4" i="15"/>
  <c r="E5" i="15" l="1"/>
  <c r="E6" i="15"/>
  <c r="W6" i="15"/>
  <c r="B7" i="15"/>
  <c r="C7" i="15"/>
  <c r="D7" i="15"/>
  <c r="N7" i="15"/>
  <c r="R7" i="15"/>
  <c r="S7" i="15" s="1"/>
  <c r="W7" i="15"/>
  <c r="F6" i="15"/>
  <c r="F5" i="15"/>
  <c r="G6" i="15"/>
  <c r="G7" i="15"/>
  <c r="G5" i="15"/>
  <c r="E7" i="15" l="1"/>
  <c r="B8" i="15"/>
  <c r="C8" i="15"/>
  <c r="D8" i="15"/>
  <c r="N8" i="15"/>
  <c r="R8" i="15"/>
  <c r="S8" i="15" s="1"/>
  <c r="W8" i="15"/>
  <c r="F7" i="15"/>
  <c r="X6" i="15"/>
  <c r="X5" i="15"/>
  <c r="E8" i="15" l="1"/>
  <c r="B9" i="15"/>
  <c r="C9" i="15"/>
  <c r="D9" i="15"/>
  <c r="N9" i="15"/>
  <c r="R9" i="15"/>
  <c r="S9" i="15" s="1"/>
  <c r="W9" i="15"/>
  <c r="X7" i="15"/>
  <c r="F8" i="15"/>
  <c r="G8" i="15"/>
  <c r="E9" i="15" l="1"/>
  <c r="B10" i="15"/>
  <c r="C10" i="15"/>
  <c r="D10" i="15"/>
  <c r="N10" i="15"/>
  <c r="R10" i="15"/>
  <c r="S10" i="15" s="1"/>
  <c r="W10" i="15"/>
  <c r="F9" i="15"/>
  <c r="X8" i="15"/>
  <c r="G9" i="15"/>
  <c r="E10" i="15" l="1"/>
  <c r="B11" i="15"/>
  <c r="C11" i="15"/>
  <c r="D11" i="15"/>
  <c r="N11" i="15"/>
  <c r="R11" i="15"/>
  <c r="S11" i="15" s="1"/>
  <c r="W11" i="15"/>
  <c r="X9" i="15"/>
  <c r="F10" i="15"/>
  <c r="P5" i="23" l="1"/>
  <c r="E11" i="15"/>
  <c r="B12" i="15"/>
  <c r="C12" i="15"/>
  <c r="D12" i="15"/>
  <c r="N12" i="15"/>
  <c r="R12" i="15"/>
  <c r="S12" i="15" s="1"/>
  <c r="W12" i="15"/>
  <c r="X10" i="15"/>
  <c r="F11" i="15"/>
  <c r="F12" i="15"/>
  <c r="G10" i="15"/>
  <c r="E12" i="15" l="1"/>
  <c r="B13" i="15"/>
  <c r="C13" i="15"/>
  <c r="D13" i="15"/>
  <c r="N13" i="15"/>
  <c r="R13" i="15"/>
  <c r="S13" i="15" s="1"/>
  <c r="W13" i="15"/>
  <c r="X11" i="15"/>
  <c r="X12" i="15"/>
  <c r="F13" i="15"/>
  <c r="G11" i="15"/>
  <c r="G12" i="15"/>
  <c r="E13" i="15" l="1"/>
  <c r="B14" i="15"/>
  <c r="C14" i="15"/>
  <c r="D14" i="15"/>
  <c r="N14" i="15"/>
  <c r="R14" i="15"/>
  <c r="S14" i="15" s="1"/>
  <c r="W14" i="15"/>
  <c r="X13" i="15"/>
  <c r="G13" i="15"/>
  <c r="E14" i="15" l="1"/>
  <c r="B15" i="15"/>
  <c r="C15" i="15"/>
  <c r="D15" i="15"/>
  <c r="N15" i="15"/>
  <c r="R15" i="15"/>
  <c r="S15" i="15" s="1"/>
  <c r="W15" i="15"/>
  <c r="F14" i="15"/>
  <c r="G14" i="15"/>
  <c r="E15" i="15" l="1"/>
  <c r="B16" i="15"/>
  <c r="C16" i="15"/>
  <c r="D16" i="15"/>
  <c r="N16" i="15"/>
  <c r="R16" i="15"/>
  <c r="S16" i="15" s="1"/>
  <c r="W16" i="15"/>
  <c r="F15" i="15"/>
  <c r="X14" i="15"/>
  <c r="G15" i="15"/>
  <c r="E16" i="15" l="1"/>
  <c r="B17" i="15"/>
  <c r="C17" i="15"/>
  <c r="D17" i="15"/>
  <c r="N17" i="15"/>
  <c r="R17" i="15"/>
  <c r="S17" i="15" s="1"/>
  <c r="W17" i="15"/>
  <c r="X15" i="15"/>
  <c r="F16" i="15"/>
  <c r="G16" i="15"/>
  <c r="E17" i="15" l="1"/>
  <c r="B18" i="15"/>
  <c r="C18" i="15"/>
  <c r="D18" i="15"/>
  <c r="N18" i="15"/>
  <c r="R18" i="15"/>
  <c r="S18" i="15" s="1"/>
  <c r="W18" i="15"/>
  <c r="X16" i="15"/>
  <c r="F17" i="15"/>
  <c r="G17" i="15"/>
  <c r="G18" i="15"/>
  <c r="E18" i="15" l="1"/>
  <c r="B19" i="15"/>
  <c r="C19" i="15"/>
  <c r="D19" i="15"/>
  <c r="N19" i="15"/>
  <c r="R19" i="15"/>
  <c r="S19" i="15" s="1"/>
  <c r="W19" i="15"/>
  <c r="X17" i="15"/>
  <c r="F18" i="15"/>
  <c r="F19" i="15"/>
  <c r="E19" i="15" l="1"/>
  <c r="B20" i="15"/>
  <c r="C20" i="15"/>
  <c r="D20" i="15"/>
  <c r="N20" i="15"/>
  <c r="R20" i="15"/>
  <c r="S20" i="15" s="1"/>
  <c r="W20" i="15"/>
  <c r="X19" i="15"/>
  <c r="X18" i="15"/>
  <c r="F20" i="15"/>
  <c r="G19" i="15"/>
  <c r="G20" i="15"/>
  <c r="E20" i="15" l="1"/>
  <c r="B21" i="15"/>
  <c r="C21" i="15"/>
  <c r="D21" i="15"/>
  <c r="N21" i="15"/>
  <c r="R21" i="15"/>
  <c r="S21" i="15" s="1"/>
  <c r="W21" i="15"/>
  <c r="X20" i="15"/>
  <c r="E21" i="15" l="1"/>
  <c r="B22" i="15"/>
  <c r="C22" i="15"/>
  <c r="D22" i="15"/>
  <c r="N22" i="15"/>
  <c r="R22" i="15"/>
  <c r="S22" i="15" s="1"/>
  <c r="W22" i="15"/>
  <c r="F21" i="15"/>
  <c r="G21" i="15"/>
  <c r="E22" i="15" l="1"/>
  <c r="B23" i="15"/>
  <c r="C23" i="15"/>
  <c r="D23" i="15"/>
  <c r="N23" i="15"/>
  <c r="R23" i="15"/>
  <c r="S23" i="15" s="1"/>
  <c r="W23" i="15"/>
  <c r="X21" i="15"/>
  <c r="F22" i="15"/>
  <c r="G22" i="15"/>
  <c r="E23" i="15" l="1"/>
  <c r="B24" i="15"/>
  <c r="C24" i="15"/>
  <c r="D24" i="15"/>
  <c r="N24" i="15"/>
  <c r="R24" i="15"/>
  <c r="S24" i="15" s="1"/>
  <c r="W24" i="15"/>
  <c r="F23" i="15"/>
  <c r="X22" i="15"/>
  <c r="F24" i="15"/>
  <c r="G23" i="15"/>
  <c r="G24" i="15"/>
  <c r="E24" i="15" l="1"/>
  <c r="B25" i="15"/>
  <c r="C25" i="15"/>
  <c r="D25" i="15"/>
  <c r="N25" i="15"/>
  <c r="R25" i="15"/>
  <c r="S25" i="15" s="1"/>
  <c r="W25" i="15"/>
  <c r="X24" i="15"/>
  <c r="X23" i="15"/>
  <c r="F25" i="15"/>
  <c r="E25" i="15" l="1"/>
  <c r="B26" i="15"/>
  <c r="C26" i="15"/>
  <c r="D26" i="15"/>
  <c r="N26" i="15"/>
  <c r="R26" i="15"/>
  <c r="S26" i="15" s="1"/>
  <c r="W26" i="15"/>
  <c r="X25" i="15"/>
  <c r="G25" i="15"/>
  <c r="E26" i="15" l="1"/>
  <c r="B27" i="15"/>
  <c r="C27" i="15"/>
  <c r="D27" i="15"/>
  <c r="N27" i="15"/>
  <c r="R27" i="15"/>
  <c r="S27" i="15" s="1"/>
  <c r="W27" i="15"/>
  <c r="F26" i="15"/>
  <c r="G26" i="15"/>
  <c r="E27" i="15" l="1"/>
  <c r="B28" i="15"/>
  <c r="C28" i="15"/>
  <c r="D28" i="15"/>
  <c r="N28" i="15"/>
  <c r="R28" i="15"/>
  <c r="S28" i="15" s="1"/>
  <c r="W28" i="15"/>
  <c r="X26" i="15"/>
  <c r="F27" i="15"/>
  <c r="E28" i="15" l="1"/>
  <c r="B29" i="15"/>
  <c r="C29" i="15"/>
  <c r="D29" i="15"/>
  <c r="N29" i="15"/>
  <c r="R29" i="15"/>
  <c r="S29" i="15" s="1"/>
  <c r="W29" i="15"/>
  <c r="X27" i="15"/>
  <c r="F28" i="15"/>
  <c r="G27" i="15"/>
  <c r="E29" i="15" l="1"/>
  <c r="B30" i="15"/>
  <c r="C30" i="15"/>
  <c r="D30" i="15"/>
  <c r="N30" i="15"/>
  <c r="R30" i="15"/>
  <c r="S30" i="15" s="1"/>
  <c r="W30" i="15"/>
  <c r="F29" i="15"/>
  <c r="X28" i="15"/>
  <c r="G28" i="15"/>
  <c r="G29" i="15"/>
  <c r="E30" i="15" l="1"/>
  <c r="B31" i="15"/>
  <c r="C31" i="15"/>
  <c r="D31" i="15"/>
  <c r="N31" i="15"/>
  <c r="R31" i="15"/>
  <c r="S31" i="15" s="1"/>
  <c r="W31" i="15"/>
  <c r="X29" i="15"/>
  <c r="F30" i="15"/>
  <c r="G30" i="15"/>
  <c r="E31" i="15" l="1"/>
  <c r="B32" i="15"/>
  <c r="C32" i="15"/>
  <c r="D32" i="15"/>
  <c r="N32" i="15"/>
  <c r="R32" i="15"/>
  <c r="S32" i="15" s="1"/>
  <c r="W32" i="15"/>
  <c r="X30" i="15"/>
  <c r="F31" i="15"/>
  <c r="G31" i="15"/>
  <c r="E32" i="15" l="1"/>
  <c r="B33" i="15"/>
  <c r="C33" i="15"/>
  <c r="D33" i="15"/>
  <c r="N33" i="15"/>
  <c r="R33" i="15"/>
  <c r="S33" i="15" s="1"/>
  <c r="W33" i="15"/>
  <c r="F32" i="15"/>
  <c r="X31" i="15"/>
  <c r="G32" i="15"/>
  <c r="E33" i="15" l="1"/>
  <c r="B34" i="15"/>
  <c r="C34" i="15"/>
  <c r="D34" i="15"/>
  <c r="N34" i="15"/>
  <c r="R34" i="15"/>
  <c r="S34" i="15" s="1"/>
  <c r="W34" i="15"/>
  <c r="F33" i="15"/>
  <c r="X32" i="15"/>
  <c r="E34" i="15" l="1"/>
  <c r="B35" i="15"/>
  <c r="C35" i="15"/>
  <c r="D35" i="15"/>
  <c r="N35" i="15"/>
  <c r="R35" i="15"/>
  <c r="S35" i="15" s="1"/>
  <c r="W35" i="15"/>
  <c r="X33" i="15"/>
  <c r="F34" i="15"/>
  <c r="G33" i="15"/>
  <c r="E35" i="15" l="1"/>
  <c r="B36" i="15"/>
  <c r="C36" i="15"/>
  <c r="D36" i="15"/>
  <c r="N36" i="15"/>
  <c r="R36" i="15"/>
  <c r="S36" i="15" s="1"/>
  <c r="W36" i="15"/>
  <c r="X34" i="15"/>
  <c r="F35" i="15"/>
  <c r="G34" i="15"/>
  <c r="G35" i="15"/>
  <c r="E36" i="15" l="1"/>
  <c r="B37" i="15"/>
  <c r="C37" i="15"/>
  <c r="D37" i="15"/>
  <c r="N37" i="15"/>
  <c r="R37" i="15"/>
  <c r="S37" i="15" s="1"/>
  <c r="W37" i="15"/>
  <c r="F36" i="15"/>
  <c r="X35" i="15"/>
  <c r="G36" i="15"/>
  <c r="E37" i="15" l="1"/>
  <c r="B38" i="15"/>
  <c r="C38" i="15"/>
  <c r="D38" i="15"/>
  <c r="N38" i="15"/>
  <c r="R38" i="15"/>
  <c r="S38" i="15" s="1"/>
  <c r="W38" i="15"/>
  <c r="F37" i="15"/>
  <c r="X36" i="15"/>
  <c r="G37" i="15"/>
  <c r="E38" i="15" l="1"/>
  <c r="B39" i="15"/>
  <c r="C39" i="15"/>
  <c r="D39" i="15"/>
  <c r="N39" i="15"/>
  <c r="R39" i="15"/>
  <c r="S39" i="15" s="1"/>
  <c r="W39" i="15"/>
  <c r="X37" i="15"/>
  <c r="F38" i="15"/>
  <c r="G38" i="15"/>
  <c r="E39" i="15" l="1"/>
  <c r="B40" i="15"/>
  <c r="C40" i="15"/>
  <c r="D40" i="15"/>
  <c r="N40" i="15"/>
  <c r="R40" i="15"/>
  <c r="S40" i="15" s="1"/>
  <c r="W40" i="15"/>
  <c r="F39" i="15"/>
  <c r="X38" i="15"/>
  <c r="G39" i="15"/>
  <c r="E40" i="15" l="1"/>
  <c r="B41" i="15"/>
  <c r="C41" i="15"/>
  <c r="D41" i="15"/>
  <c r="N41" i="15"/>
  <c r="O5" i="15" s="1" a="1"/>
  <c r="R41" i="15"/>
  <c r="S41" i="15" s="1"/>
  <c r="W41" i="15"/>
  <c r="F40" i="15"/>
  <c r="X39"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F41" i="15"/>
  <c r="G41" i="15"/>
  <c r="M4" i="14"/>
  <c r="G40" i="15"/>
  <c r="D5" i="14" l="1"/>
  <c r="L5" i="14"/>
  <c r="B6" i="14"/>
  <c r="X41" i="15"/>
  <c r="E5" i="14"/>
  <c r="F5" i="14"/>
  <c r="K6" i="14" l="1"/>
  <c r="C6" i="14" s="1"/>
  <c r="D6" i="14" s="1"/>
  <c r="R6" i="14"/>
  <c r="S5" i="14"/>
  <c r="S6" i="14"/>
  <c r="E6" i="14"/>
  <c r="L6" i="14" l="1"/>
  <c r="B7" i="14"/>
  <c r="F6" i="14"/>
  <c r="K7" i="14" l="1"/>
  <c r="C7" i="14" s="1"/>
  <c r="D7" i="14" s="1"/>
  <c r="R7" i="14"/>
  <c r="E7" i="14"/>
  <c r="S7" i="14"/>
  <c r="L7" i="14" l="1"/>
  <c r="B8" i="14"/>
  <c r="F7" i="14"/>
  <c r="K8" i="14" l="1"/>
  <c r="C8" i="14" s="1"/>
  <c r="D8" i="14" s="1"/>
  <c r="R8" i="14"/>
  <c r="E8" i="14"/>
  <c r="S8" i="14"/>
  <c r="L8" i="14" l="1"/>
  <c r="B9" i="14"/>
  <c r="F8" i="14"/>
  <c r="K9" i="14" l="1"/>
  <c r="C9" i="14" s="1"/>
  <c r="D9" i="14" s="1"/>
  <c r="R9" i="14"/>
  <c r="E9" i="14"/>
  <c r="S9" i="14"/>
  <c r="L9" i="14" l="1"/>
  <c r="B10" i="14"/>
  <c r="F9" i="14"/>
  <c r="K10" i="14" l="1"/>
  <c r="C10" i="14" s="1"/>
  <c r="D10" i="14" s="1"/>
  <c r="R10" i="14"/>
  <c r="E10" i="14"/>
  <c r="S10" i="14"/>
  <c r="L10" i="14" l="1"/>
  <c r="B11" i="14"/>
  <c r="F10" i="14"/>
  <c r="K11" i="14" l="1"/>
  <c r="C11" i="14" s="1"/>
  <c r="D11" i="14" s="1"/>
  <c r="R11" i="14"/>
  <c r="E11" i="14"/>
  <c r="S11" i="14"/>
  <c r="L11" i="14" l="1"/>
  <c r="B12" i="14"/>
  <c r="F11" i="14"/>
  <c r="K12" i="14" l="1"/>
  <c r="C12" i="14" s="1"/>
  <c r="D12" i="14" s="1"/>
  <c r="R12" i="14"/>
  <c r="E12" i="14"/>
  <c r="S12" i="14"/>
  <c r="L12" i="14" l="1"/>
  <c r="B13" i="14"/>
  <c r="F12" i="14"/>
  <c r="K13" i="14" l="1"/>
  <c r="C13" i="14" s="1"/>
  <c r="D13" i="14" s="1"/>
  <c r="R13" i="14"/>
  <c r="E13" i="14"/>
  <c r="S13" i="14"/>
  <c r="L13" i="14" l="1"/>
  <c r="B14" i="14"/>
  <c r="K14" i="14"/>
  <c r="C14" i="14" s="1"/>
  <c r="R14" i="14"/>
  <c r="F13" i="14"/>
  <c r="D14" i="14" l="1"/>
  <c r="L14" i="14"/>
  <c r="B15" i="14"/>
  <c r="K15" i="14"/>
  <c r="C15" i="14" s="1"/>
  <c r="R15" i="14"/>
  <c r="E14" i="14"/>
  <c r="F14" i="14"/>
  <c r="D15" i="14" l="1"/>
  <c r="L15" i="14"/>
  <c r="B16" i="14"/>
  <c r="S14" i="14"/>
  <c r="E15" i="14"/>
  <c r="F15" i="14"/>
  <c r="K16" i="14" l="1"/>
  <c r="C16" i="14" s="1"/>
  <c r="D16" i="14" s="1"/>
  <c r="R16" i="14"/>
  <c r="S15" i="14"/>
  <c r="S16" i="14"/>
  <c r="E16" i="14"/>
  <c r="L16" i="14" l="1"/>
  <c r="B17" i="14"/>
  <c r="F16" i="14"/>
  <c r="K17" i="14" l="1"/>
  <c r="C17" i="14" s="1"/>
  <c r="D17" i="14" s="1"/>
  <c r="R17" i="14"/>
  <c r="E17" i="14"/>
  <c r="S17" i="14"/>
  <c r="L17" i="14" l="1"/>
  <c r="B18" i="14"/>
  <c r="F17" i="14"/>
  <c r="K18" i="14" l="1"/>
  <c r="C18" i="14" s="1"/>
  <c r="D18" i="14" s="1"/>
  <c r="R18" i="14"/>
  <c r="E18" i="14"/>
  <c r="S18" i="14"/>
  <c r="L18" i="14" l="1"/>
  <c r="B19" i="14"/>
  <c r="F18" i="14"/>
  <c r="K19" i="14" l="1"/>
  <c r="C19" i="14" s="1"/>
  <c r="D19" i="14" s="1"/>
  <c r="R19" i="14"/>
  <c r="E19" i="14"/>
  <c r="S19" i="14"/>
  <c r="L19" i="14" l="1"/>
  <c r="B20" i="14"/>
  <c r="F19" i="14"/>
  <c r="K20" i="14" l="1"/>
  <c r="C20" i="14" s="1"/>
  <c r="D20" i="14" s="1"/>
  <c r="R20" i="14"/>
  <c r="E20" i="14"/>
  <c r="S20" i="14"/>
  <c r="L20" i="14" l="1"/>
  <c r="B21" i="14"/>
  <c r="F20" i="14"/>
  <c r="K21" i="14" l="1"/>
  <c r="C21" i="14" s="1"/>
  <c r="D21" i="14" s="1"/>
  <c r="R21" i="14"/>
  <c r="E21" i="14"/>
  <c r="S21" i="14"/>
  <c r="L21" i="14" l="1"/>
  <c r="B22" i="14"/>
  <c r="F21" i="14"/>
  <c r="K22" i="14" l="1"/>
  <c r="C22" i="14" s="1"/>
  <c r="D22" i="14" s="1"/>
  <c r="R22" i="14"/>
  <c r="E22" i="14"/>
  <c r="S22" i="14"/>
  <c r="L22" i="14" l="1"/>
  <c r="B23" i="14"/>
  <c r="F22" i="14"/>
  <c r="K23" i="14" l="1"/>
  <c r="C23" i="14" s="1"/>
  <c r="D23" i="14" s="1"/>
  <c r="R23" i="14"/>
  <c r="E23" i="14"/>
  <c r="S23" i="14"/>
  <c r="L23" i="14" l="1"/>
  <c r="B24" i="14"/>
  <c r="F23" i="14"/>
  <c r="K24" i="14" l="1"/>
  <c r="C24" i="14" s="1"/>
  <c r="D24" i="14" s="1"/>
  <c r="R24" i="14"/>
  <c r="E24" i="14"/>
  <c r="S24" i="14"/>
  <c r="L24" i="14" l="1"/>
  <c r="B25" i="14"/>
  <c r="F24" i="14"/>
  <c r="K25" i="14" l="1"/>
  <c r="C25" i="14" s="1"/>
  <c r="D25" i="14" s="1"/>
  <c r="R25" i="14"/>
  <c r="E25" i="14"/>
  <c r="S25" i="14"/>
  <c r="L25" i="14" l="1"/>
  <c r="B26" i="14"/>
  <c r="F25" i="14"/>
  <c r="K26" i="14" l="1"/>
  <c r="C26" i="14" s="1"/>
  <c r="D26" i="14" s="1"/>
  <c r="R26" i="14"/>
  <c r="E26" i="14"/>
  <c r="S26" i="14"/>
  <c r="L26" i="14" l="1"/>
  <c r="B27" i="14"/>
  <c r="F26" i="14"/>
  <c r="K27" i="14" l="1"/>
  <c r="C27" i="14" s="1"/>
  <c r="D27" i="14" s="1"/>
  <c r="R27" i="14"/>
  <c r="E27" i="14"/>
  <c r="S27" i="14"/>
  <c r="L27" i="14" l="1"/>
  <c r="B28" i="14"/>
  <c r="F27" i="14"/>
  <c r="K28" i="14" l="1"/>
  <c r="C28" i="14" s="1"/>
  <c r="D28" i="14" s="1"/>
  <c r="R28" i="14"/>
  <c r="E28" i="14"/>
  <c r="S28" i="14"/>
  <c r="L28" i="14" l="1"/>
  <c r="B29" i="14"/>
  <c r="F28" i="14"/>
  <c r="K29" i="14" l="1"/>
  <c r="C29" i="14" s="1"/>
  <c r="D29" i="14" s="1"/>
  <c r="R29" i="14"/>
  <c r="E29" i="14"/>
  <c r="S29" i="14"/>
  <c r="L29" i="14" l="1"/>
  <c r="B30" i="14"/>
  <c r="F29" i="14"/>
  <c r="K30" i="14" l="1"/>
  <c r="C30" i="14" s="1"/>
  <c r="D30" i="14" s="1"/>
  <c r="R30" i="14"/>
  <c r="E30" i="14"/>
  <c r="S30" i="14"/>
  <c r="L30" i="14" l="1"/>
  <c r="B31" i="14"/>
  <c r="K31" i="14"/>
  <c r="C31" i="14" s="1"/>
  <c r="R31" i="14"/>
  <c r="F30" i="14"/>
  <c r="D31" i="14" l="1"/>
  <c r="L31" i="14"/>
  <c r="B32" i="14"/>
  <c r="K32" i="14"/>
  <c r="C32" i="14" s="1"/>
  <c r="R32" i="14"/>
  <c r="E31" i="14"/>
  <c r="D32" i="14" l="1"/>
  <c r="L32" i="14"/>
  <c r="B33" i="14"/>
  <c r="K33" i="14"/>
  <c r="C33" i="14" s="1"/>
  <c r="R33" i="14"/>
  <c r="S31" i="14"/>
  <c r="E32" i="14"/>
  <c r="F31" i="14"/>
  <c r="D33" i="14" l="1"/>
  <c r="L33" i="14"/>
  <c r="B34" i="14"/>
  <c r="K34" i="14"/>
  <c r="C34" i="14" s="1"/>
  <c r="R34" i="14"/>
  <c r="S32" i="14"/>
  <c r="E33" i="14"/>
  <c r="F32" i="14"/>
  <c r="D34" i="14" l="1"/>
  <c r="L34" i="14"/>
  <c r="B35" i="14"/>
  <c r="K35" i="14"/>
  <c r="C35" i="14" s="1"/>
  <c r="R35" i="14"/>
  <c r="S33" i="14"/>
  <c r="E34" i="14"/>
  <c r="F33" i="14"/>
  <c r="L35" i="14" l="1"/>
  <c r="D35" i="14"/>
  <c r="B36" i="14"/>
  <c r="K36" i="14"/>
  <c r="C36" i="14" s="1"/>
  <c r="R36" i="14"/>
  <c r="S34" i="14"/>
  <c r="E35" i="14"/>
  <c r="F35" i="14"/>
  <c r="F34" i="14"/>
  <c r="D36" i="14" l="1"/>
  <c r="L36" i="14"/>
  <c r="B37" i="14"/>
  <c r="K37" i="14"/>
  <c r="C37" i="14" s="1"/>
  <c r="R37" i="14"/>
  <c r="S35" i="14"/>
  <c r="E36" i="14"/>
  <c r="F36" i="14"/>
  <c r="D37" i="14" l="1"/>
  <c r="L37" i="14"/>
  <c r="B38" i="14"/>
  <c r="K38" i="14"/>
  <c r="C38" i="14" s="1"/>
  <c r="R38" i="14"/>
  <c r="S36" i="14"/>
  <c r="E37" i="14"/>
  <c r="F37" i="14"/>
  <c r="D38" i="14" l="1"/>
  <c r="L38" i="14"/>
  <c r="B39" i="14"/>
  <c r="K39" i="14"/>
  <c r="C39" i="14" s="1"/>
  <c r="R39" i="14"/>
  <c r="S37" i="14"/>
  <c r="E38" i="14"/>
  <c r="D39" i="14" l="1"/>
  <c r="L39" i="14"/>
  <c r="B40" i="14"/>
  <c r="K40" i="14"/>
  <c r="C40" i="14" s="1"/>
  <c r="R40" i="14"/>
  <c r="S38" i="14"/>
  <c r="E39" i="14"/>
  <c r="F38" i="14"/>
  <c r="D40" i="14" l="1"/>
  <c r="L40" i="14"/>
  <c r="B41" i="14"/>
  <c r="S39" i="14"/>
  <c r="E40" i="14"/>
  <c r="F39" i="14"/>
  <c r="K41" i="14" l="1"/>
  <c r="C41" i="14" s="1"/>
  <c r="D41" i="14" s="1"/>
  <c r="R41" i="14"/>
  <c r="S40" i="14"/>
  <c r="E41" i="14"/>
  <c r="S41" i="14"/>
  <c r="F40" i="14"/>
  <c r="L41" i="14" l="1"/>
  <c r="B42" i="14"/>
  <c r="F41" i="14"/>
  <c r="K42" i="14" l="1"/>
  <c r="C42" i="14" s="1"/>
  <c r="D42" i="14" s="1"/>
  <c r="R42" i="14"/>
  <c r="E42" i="14"/>
  <c r="S42" i="14"/>
  <c r="L42" i="14" l="1"/>
  <c r="B43" i="14"/>
  <c r="F42" i="14"/>
  <c r="K43" i="14" l="1"/>
  <c r="C43" i="14" s="1"/>
  <c r="D43" i="14" s="1"/>
  <c r="R43" i="14"/>
  <c r="E43" i="14"/>
  <c r="S43" i="14"/>
  <c r="L43" i="14" l="1"/>
  <c r="B44" i="14"/>
  <c r="F43" i="14"/>
  <c r="K44" i="14" l="1"/>
  <c r="C44" i="14" s="1"/>
  <c r="D44" i="14" s="1"/>
  <c r="R44" i="14"/>
  <c r="E44" i="14"/>
  <c r="S44" i="14"/>
  <c r="L44" i="14" l="1"/>
  <c r="B45" i="14"/>
  <c r="F44" i="14"/>
  <c r="K45" i="14" l="1"/>
  <c r="C45" i="14" s="1"/>
  <c r="D45" i="14" s="1"/>
  <c r="R45" i="14"/>
  <c r="E45" i="14"/>
  <c r="S45" i="14"/>
  <c r="L45" i="14" l="1"/>
  <c r="B46" i="14"/>
  <c r="F45" i="14"/>
  <c r="K46" i="14" l="1"/>
  <c r="C46" i="14" s="1"/>
  <c r="D46" i="14" s="1"/>
  <c r="R46" i="14"/>
  <c r="E46" i="14"/>
  <c r="S46" i="14"/>
  <c r="L46" i="14" l="1"/>
  <c r="B47" i="14"/>
  <c r="F46" i="14"/>
  <c r="K47" i="14" l="1"/>
  <c r="C47" i="14" s="1"/>
  <c r="D47" i="14" s="1"/>
  <c r="R47" i="14"/>
  <c r="E47" i="14"/>
  <c r="S47" i="14"/>
  <c r="L47" i="14" l="1"/>
  <c r="B48" i="14"/>
  <c r="F47" i="14"/>
  <c r="K48" i="14" l="1"/>
  <c r="C48" i="14" s="1"/>
  <c r="D48" i="14" s="1"/>
  <c r="R48" i="14"/>
  <c r="E48" i="14"/>
  <c r="S48" i="14"/>
  <c r="L48" i="14" l="1"/>
  <c r="B49" i="14"/>
  <c r="F48" i="14"/>
  <c r="K49" i="14" l="1"/>
  <c r="C49" i="14" s="1"/>
  <c r="D49" i="14" s="1"/>
  <c r="R49" i="14"/>
  <c r="E49" i="14"/>
  <c r="S49" i="14"/>
  <c r="L49" i="14" l="1"/>
  <c r="B50" i="14"/>
  <c r="F49" i="14"/>
  <c r="K50" i="14" l="1"/>
  <c r="C50" i="14" s="1"/>
  <c r="D50" i="14" s="1"/>
  <c r="R50" i="14"/>
  <c r="E50" i="14"/>
  <c r="S50" i="14"/>
  <c r="L50" i="14" l="1"/>
  <c r="B51" i="14"/>
  <c r="F50" i="14"/>
  <c r="K51" i="14" l="1"/>
  <c r="C51" i="14" s="1"/>
  <c r="D51" i="14" s="1"/>
  <c r="R51" i="14"/>
  <c r="E51" i="14"/>
  <c r="S51" i="14"/>
  <c r="L51" i="14" l="1"/>
  <c r="B52" i="14"/>
  <c r="F51" i="14"/>
  <c r="K52" i="14" l="1"/>
  <c r="C52" i="14" s="1"/>
  <c r="D52" i="14" s="1"/>
  <c r="R52" i="14"/>
  <c r="E52" i="14"/>
  <c r="S52" i="14"/>
  <c r="L52" i="14" l="1"/>
  <c r="B53" i="14"/>
  <c r="F52" i="14"/>
  <c r="K53" i="14" l="1"/>
  <c r="C53" i="14" s="1"/>
  <c r="D53" i="14" s="1"/>
  <c r="R53" i="14"/>
  <c r="E53" i="14"/>
  <c r="S53" i="14"/>
  <c r="L53" i="14" l="1"/>
  <c r="B54" i="14"/>
  <c r="F53" i="14"/>
  <c r="K54" i="14" l="1"/>
  <c r="C54" i="14" s="1"/>
  <c r="D54" i="14" s="1"/>
  <c r="R54" i="14"/>
  <c r="E54" i="14"/>
  <c r="S54" i="14"/>
  <c r="L54" i="14" l="1"/>
  <c r="B55" i="14"/>
  <c r="F54" i="14"/>
  <c r="K55" i="14" l="1"/>
  <c r="C55" i="14" s="1"/>
  <c r="D55" i="14" s="1"/>
  <c r="R55" i="14"/>
  <c r="E55" i="14"/>
  <c r="S55" i="14"/>
  <c r="L55" i="14" l="1"/>
  <c r="B56" i="14"/>
  <c r="F55" i="14"/>
  <c r="K56" i="14" l="1"/>
  <c r="C56" i="14" s="1"/>
  <c r="D56" i="14" s="1"/>
  <c r="R56" i="14"/>
  <c r="E56" i="14"/>
  <c r="S56" i="14"/>
  <c r="L56" i="14" l="1"/>
  <c r="B57" i="14"/>
  <c r="F56" i="14"/>
  <c r="K57" i="14" l="1"/>
  <c r="C57" i="14" s="1"/>
  <c r="D57" i="14" s="1"/>
  <c r="R57" i="14"/>
  <c r="E57" i="14"/>
  <c r="S57" i="14"/>
  <c r="L57" i="14" l="1"/>
  <c r="B58" i="14"/>
  <c r="F57" i="14"/>
  <c r="K58" i="14" l="1"/>
  <c r="C58" i="14" s="1"/>
  <c r="D58" i="14" s="1"/>
  <c r="R58" i="14"/>
  <c r="E58" i="14"/>
  <c r="S58" i="14"/>
  <c r="L58" i="14" l="1"/>
  <c r="B59" i="14"/>
  <c r="F58" i="14"/>
  <c r="K59" i="14" l="1"/>
  <c r="C59" i="14" s="1"/>
  <c r="D59" i="14" s="1"/>
  <c r="R59" i="14"/>
  <c r="E59" i="14"/>
  <c r="S59" i="14"/>
  <c r="L59" i="14" l="1"/>
  <c r="B60" i="14"/>
  <c r="F59" i="14"/>
  <c r="K60" i="14" l="1"/>
  <c r="C60" i="14" s="1"/>
  <c r="D60" i="14" s="1"/>
  <c r="R60" i="14"/>
  <c r="E60" i="14"/>
  <c r="S60" i="14"/>
  <c r="L60" i="14" l="1"/>
  <c r="B61" i="14"/>
  <c r="F60" i="14"/>
  <c r="K61" i="14" l="1"/>
  <c r="C61" i="14" s="1"/>
  <c r="D61" i="14" s="1"/>
  <c r="R61" i="14"/>
  <c r="E61" i="14"/>
  <c r="S61" i="14"/>
  <c r="L61" i="14" l="1"/>
  <c r="B62" i="14"/>
  <c r="F61" i="14"/>
  <c r="K62" i="14" l="1"/>
  <c r="C62" i="14" s="1"/>
  <c r="D62" i="14" s="1"/>
  <c r="R62" i="14"/>
  <c r="E62" i="14"/>
  <c r="S62" i="14"/>
  <c r="L62" i="14" l="1"/>
  <c r="B63" i="14"/>
  <c r="F62" i="14"/>
  <c r="K63" i="14" l="1"/>
  <c r="C63" i="14" s="1"/>
  <c r="D63" i="14" s="1"/>
  <c r="R63" i="14"/>
  <c r="E63" i="14"/>
  <c r="S63" i="14"/>
  <c r="L63" i="14" l="1"/>
  <c r="B64" i="14"/>
  <c r="F63" i="14"/>
  <c r="K64" i="14" l="1"/>
  <c r="C64" i="14" s="1"/>
  <c r="D64" i="14" s="1"/>
  <c r="R64" i="14"/>
  <c r="E64" i="14"/>
  <c r="S64" i="14"/>
  <c r="L64" i="14" l="1"/>
  <c r="B65" i="14"/>
  <c r="F64" i="14"/>
  <c r="K65" i="14" l="1"/>
  <c r="C65" i="14" s="1"/>
  <c r="D65" i="14" s="1"/>
  <c r="R65" i="14"/>
  <c r="E65" i="14"/>
  <c r="S65" i="14"/>
  <c r="L65" i="14" l="1"/>
  <c r="B66" i="14"/>
  <c r="F65" i="14"/>
  <c r="K66" i="14" l="1"/>
  <c r="C66" i="14" s="1"/>
  <c r="D66" i="14" s="1"/>
  <c r="R66" i="14"/>
  <c r="E66" i="14"/>
  <c r="S66" i="14"/>
  <c r="L66" i="14" l="1"/>
  <c r="B67" i="14"/>
  <c r="F66" i="14"/>
  <c r="K67" i="14" l="1"/>
  <c r="C67" i="14" s="1"/>
  <c r="D67" i="14" s="1"/>
  <c r="R67" i="14"/>
  <c r="E67" i="14"/>
  <c r="S67" i="14"/>
  <c r="L67" i="14" l="1"/>
  <c r="B68" i="14"/>
  <c r="F67" i="14"/>
  <c r="K68" i="14" l="1"/>
  <c r="C68" i="14" s="1"/>
  <c r="D68" i="14" s="1"/>
  <c r="R68" i="14"/>
  <c r="E68" i="14"/>
  <c r="S68" i="14"/>
  <c r="L68" i="14" l="1"/>
  <c r="B69" i="14"/>
  <c r="F68" i="14"/>
  <c r="K69" i="14" l="1"/>
  <c r="C69" i="14" s="1"/>
  <c r="D69" i="14" s="1"/>
  <c r="R69" i="14"/>
  <c r="E69" i="14"/>
  <c r="S69" i="14"/>
  <c r="L69" i="14" l="1"/>
  <c r="B70" i="14"/>
  <c r="F69" i="14"/>
  <c r="K70" i="14" l="1"/>
  <c r="C70" i="14" s="1"/>
  <c r="D70" i="14" s="1"/>
  <c r="R70" i="14"/>
  <c r="E70" i="14"/>
  <c r="S70" i="14"/>
  <c r="L70" i="14" l="1"/>
  <c r="B71" i="14"/>
  <c r="F70" i="14"/>
  <c r="K71" i="14" l="1"/>
  <c r="C71" i="14" s="1"/>
  <c r="D71" i="14" s="1"/>
  <c r="R71" i="14"/>
  <c r="E71" i="14"/>
  <c r="S71" i="14"/>
  <c r="L71" i="14" l="1"/>
  <c r="B72" i="14"/>
  <c r="F71" i="14"/>
  <c r="K72" i="14" l="1"/>
  <c r="C72" i="14" s="1"/>
  <c r="D72" i="14" s="1"/>
  <c r="R72" i="14"/>
  <c r="E72" i="14"/>
  <c r="S72" i="14"/>
  <c r="L72" i="14" l="1"/>
  <c r="B73" i="14"/>
  <c r="F72" i="14"/>
  <c r="K73" i="14" l="1"/>
  <c r="C73" i="14" s="1"/>
  <c r="D73" i="14" s="1"/>
  <c r="R73" i="14"/>
  <c r="E73" i="14"/>
  <c r="S73" i="14"/>
  <c r="L73" i="14" l="1"/>
  <c r="B74" i="14"/>
  <c r="F73" i="14"/>
  <c r="K74" i="14" l="1"/>
  <c r="C74" i="14" s="1"/>
  <c r="D74" i="14" s="1"/>
  <c r="R74" i="14"/>
  <c r="E74" i="14"/>
  <c r="S74" i="14"/>
  <c r="L74" i="14" l="1"/>
  <c r="B75" i="14"/>
  <c r="F74" i="14"/>
  <c r="K75" i="14" l="1"/>
  <c r="C75" i="14" s="1"/>
  <c r="D75" i="14" s="1"/>
  <c r="R75" i="14"/>
  <c r="E75" i="14"/>
  <c r="S75" i="14"/>
  <c r="L75" i="14" l="1"/>
  <c r="B76" i="14"/>
  <c r="F75" i="14"/>
  <c r="K76" i="14" l="1"/>
  <c r="C76" i="14" s="1"/>
  <c r="D76" i="14" s="1"/>
  <c r="R76" i="14"/>
  <c r="E76" i="14"/>
  <c r="S76" i="14"/>
  <c r="L76" i="14" l="1"/>
  <c r="B77" i="14"/>
  <c r="F76" i="14"/>
  <c r="K77" i="14" l="1"/>
  <c r="C77" i="14" s="1"/>
  <c r="D77" i="14" s="1"/>
  <c r="R77" i="14"/>
  <c r="E77" i="14"/>
  <c r="S77" i="14"/>
  <c r="L77" i="14" l="1"/>
  <c r="B78" i="14"/>
  <c r="F77" i="14"/>
  <c r="K78" i="14" l="1"/>
  <c r="C78" i="14" s="1"/>
  <c r="D78" i="14" s="1"/>
  <c r="R78" i="14"/>
  <c r="E78" i="14"/>
  <c r="S78" i="14"/>
  <c r="L78" i="14" l="1"/>
  <c r="B79" i="14"/>
  <c r="F78" i="14"/>
  <c r="K79" i="14" l="1"/>
  <c r="C79" i="14" s="1"/>
  <c r="D79" i="14" s="1"/>
  <c r="R79" i="14"/>
  <c r="E79" i="14"/>
  <c r="S79" i="14"/>
  <c r="L79" i="14" l="1"/>
  <c r="B80" i="14"/>
  <c r="F79" i="14"/>
  <c r="K80" i="14" l="1"/>
  <c r="C80" i="14" s="1"/>
  <c r="D80" i="14" s="1"/>
  <c r="R80" i="14"/>
  <c r="E80" i="14"/>
  <c r="S80" i="14"/>
  <c r="L80" i="14" l="1"/>
  <c r="B81" i="14"/>
  <c r="F80" i="14"/>
  <c r="K81" i="14" l="1"/>
  <c r="C81" i="14" s="1"/>
  <c r="D81" i="14" s="1"/>
  <c r="R81" i="14"/>
  <c r="E81" i="14"/>
  <c r="S81" i="14"/>
  <c r="L81" i="14" l="1"/>
  <c r="B82" i="14"/>
  <c r="F81" i="14"/>
  <c r="K82" i="14" l="1"/>
  <c r="C82" i="14" s="1"/>
  <c r="D82" i="14" s="1"/>
  <c r="R82" i="14"/>
  <c r="E82" i="14"/>
  <c r="S82" i="14"/>
  <c r="L82" i="14" l="1"/>
  <c r="B83" i="14"/>
  <c r="F82" i="14"/>
  <c r="K83" i="14" l="1"/>
  <c r="C83" i="14" s="1"/>
  <c r="D83" i="14" s="1"/>
  <c r="R83" i="14"/>
  <c r="E83" i="14"/>
  <c r="S83" i="14"/>
  <c r="L83" i="14" l="1"/>
  <c r="B84" i="14"/>
  <c r="F83" i="14"/>
  <c r="K84" i="14" l="1"/>
  <c r="C84" i="14" s="1"/>
  <c r="D84" i="14" s="1"/>
  <c r="R84" i="14"/>
  <c r="E84" i="14"/>
  <c r="S84" i="14"/>
  <c r="L84" i="14" l="1"/>
  <c r="B85" i="14"/>
  <c r="F84" i="14"/>
  <c r="K85" i="14" l="1"/>
  <c r="C85" i="14" s="1"/>
  <c r="D85" i="14" s="1"/>
  <c r="R85" i="14"/>
  <c r="E85" i="14"/>
  <c r="S85" i="14"/>
  <c r="L85" i="14" l="1"/>
  <c r="B86" i="14"/>
  <c r="F85" i="14"/>
  <c r="K86" i="14" l="1"/>
  <c r="C86" i="14" s="1"/>
  <c r="D86" i="14" s="1"/>
  <c r="R86" i="14"/>
  <c r="E86" i="14"/>
  <c r="S86" i="14"/>
  <c r="L86" i="14" l="1"/>
  <c r="B87" i="14"/>
  <c r="F86" i="14"/>
  <c r="K87" i="14" l="1"/>
  <c r="C87" i="14" s="1"/>
  <c r="D87" i="14" s="1"/>
  <c r="R87" i="14"/>
  <c r="E87" i="14"/>
  <c r="S87" i="14"/>
  <c r="L87" i="14" l="1"/>
  <c r="B88" i="14"/>
  <c r="F87" i="14"/>
  <c r="K88" i="14" l="1"/>
  <c r="C88" i="14" s="1"/>
  <c r="D88" i="14" s="1"/>
  <c r="R88" i="14"/>
  <c r="E88" i="14"/>
  <c r="S88" i="14"/>
  <c r="L88" i="14" l="1"/>
  <c r="B89" i="14"/>
  <c r="F88" i="14"/>
  <c r="K89" i="14" l="1"/>
  <c r="C89" i="14" s="1"/>
  <c r="D89" i="14" s="1"/>
  <c r="R89" i="14"/>
  <c r="E89" i="14"/>
  <c r="S89" i="14"/>
  <c r="L89" i="14" l="1"/>
  <c r="B90" i="14"/>
  <c r="F89" i="14"/>
  <c r="K90" i="14" l="1"/>
  <c r="C90" i="14" s="1"/>
  <c r="D90" i="14" s="1"/>
  <c r="R90" i="14"/>
  <c r="E90" i="14"/>
  <c r="S90" i="14"/>
  <c r="L90" i="14" l="1"/>
  <c r="B91" i="14"/>
  <c r="F90" i="14"/>
  <c r="K91" i="14" l="1"/>
  <c r="C91" i="14" s="1"/>
  <c r="D91" i="14" s="1"/>
  <c r="R91" i="14"/>
  <c r="E91" i="14"/>
  <c r="S91" i="14"/>
  <c r="L91" i="14" l="1"/>
  <c r="B92" i="14"/>
  <c r="K92" i="14"/>
  <c r="C92" i="14" s="1"/>
  <c r="R92" i="14"/>
  <c r="F91" i="14"/>
  <c r="D92" i="14" l="1"/>
  <c r="L92" i="14"/>
  <c r="B93" i="14"/>
  <c r="K93" i="14"/>
  <c r="C93" i="14" s="1"/>
  <c r="R93" i="14"/>
  <c r="E92" i="14"/>
  <c r="D93" i="14" l="1"/>
  <c r="L93" i="14"/>
  <c r="B94" i="14"/>
  <c r="K94" i="14"/>
  <c r="C94" i="14" s="1"/>
  <c r="R94" i="14"/>
  <c r="S92" i="14"/>
  <c r="E93" i="14"/>
  <c r="F92" i="14"/>
  <c r="F93" i="14"/>
  <c r="D94" i="14" l="1"/>
  <c r="L94" i="14"/>
  <c r="B95" i="14"/>
  <c r="K95" i="14"/>
  <c r="C95" i="14" s="1"/>
  <c r="R95" i="14"/>
  <c r="S93" i="14"/>
  <c r="E94" i="14"/>
  <c r="D95" i="14" l="1"/>
  <c r="L95" i="14"/>
  <c r="B96" i="14"/>
  <c r="K96" i="14"/>
  <c r="C96" i="14" s="1"/>
  <c r="R96" i="14"/>
  <c r="S94" i="14"/>
  <c r="E95" i="14"/>
  <c r="F95" i="14"/>
  <c r="F94" i="14"/>
  <c r="D96" i="14" l="1"/>
  <c r="L96" i="14"/>
  <c r="B97" i="14"/>
  <c r="K97" i="14"/>
  <c r="C97" i="14" s="1"/>
  <c r="R97" i="14"/>
  <c r="S95" i="14"/>
  <c r="E96" i="14"/>
  <c r="F96" i="14"/>
  <c r="D97" i="14" l="1"/>
  <c r="L97" i="14"/>
  <c r="B98" i="14"/>
  <c r="K98" i="14"/>
  <c r="C98" i="14" s="1"/>
  <c r="R98" i="14"/>
  <c r="S96" i="14"/>
  <c r="E97" i="14"/>
  <c r="D98" i="14" l="1"/>
  <c r="L98" i="14"/>
  <c r="B99" i="14"/>
  <c r="K99" i="14"/>
  <c r="C99" i="14" s="1"/>
  <c r="R99" i="14"/>
  <c r="S97" i="14"/>
  <c r="E98" i="14"/>
  <c r="F97" i="14"/>
  <c r="F98" i="14"/>
  <c r="D99" i="14" l="1"/>
  <c r="L99" i="14"/>
  <c r="B100" i="14"/>
  <c r="K100" i="14"/>
  <c r="C100" i="14" s="1"/>
  <c r="R100" i="14"/>
  <c r="S98" i="14"/>
  <c r="E99" i="14"/>
  <c r="D100" i="14" l="1"/>
  <c r="L100" i="14"/>
  <c r="B101" i="14"/>
  <c r="K101" i="14"/>
  <c r="C101" i="14" s="1"/>
  <c r="R101" i="14"/>
  <c r="S99" i="14"/>
  <c r="E100" i="14"/>
  <c r="F99" i="14"/>
  <c r="F100" i="14"/>
  <c r="D101" i="14" l="1"/>
  <c r="L101" i="14"/>
  <c r="B102" i="14"/>
  <c r="K102" i="14"/>
  <c r="C102" i="14" s="1"/>
  <c r="R102" i="14"/>
  <c r="S100" i="14"/>
  <c r="E101" i="14"/>
  <c r="F101" i="14"/>
  <c r="D102" i="14" l="1"/>
  <c r="L102" i="14"/>
  <c r="B103" i="14"/>
  <c r="K103" i="14"/>
  <c r="C103" i="14" s="1"/>
  <c r="R103" i="14"/>
  <c r="S101" i="14"/>
  <c r="E102" i="14"/>
  <c r="D103" i="14" l="1"/>
  <c r="L103" i="14"/>
  <c r="B104" i="14"/>
  <c r="S102" i="14"/>
  <c r="E103" i="14"/>
  <c r="F102" i="14"/>
  <c r="F103" i="14"/>
  <c r="K104" i="14" l="1"/>
  <c r="C104" i="14" s="1"/>
  <c r="D104" i="14" s="1"/>
  <c r="R104" i="14"/>
  <c r="S103" i="14"/>
  <c r="S104" i="14"/>
  <c r="E104" i="14"/>
  <c r="L104" i="14" l="1"/>
  <c r="B105" i="14"/>
  <c r="F104" i="14"/>
  <c r="K105" i="14" l="1"/>
  <c r="C105" i="14" s="1"/>
  <c r="D105" i="14" s="1"/>
  <c r="R105" i="14"/>
  <c r="E105" i="14"/>
  <c r="S105" i="14"/>
  <c r="L105" i="14" l="1"/>
  <c r="B106" i="14"/>
  <c r="F105" i="14"/>
  <c r="K106" i="14" l="1"/>
  <c r="C106" i="14" s="1"/>
  <c r="D106" i="14" s="1"/>
  <c r="R106" i="14"/>
  <c r="E106" i="14"/>
  <c r="S106" i="14"/>
  <c r="L106" i="14" l="1"/>
  <c r="B107" i="14"/>
  <c r="K107" i="14"/>
  <c r="C107" i="14" s="1"/>
  <c r="R107" i="14"/>
  <c r="F106" i="14"/>
  <c r="D107" i="14" l="1"/>
  <c r="L107" i="14"/>
  <c r="B108" i="14"/>
  <c r="K108" i="14"/>
  <c r="C108" i="14" s="1"/>
  <c r="R108" i="14"/>
  <c r="E107" i="14"/>
  <c r="F107" i="14"/>
  <c r="D108" i="14" l="1"/>
  <c r="L108" i="14"/>
  <c r="B109" i="14"/>
  <c r="K109" i="14"/>
  <c r="C109" i="14" s="1"/>
  <c r="R109" i="14"/>
  <c r="S107" i="14"/>
  <c r="E108" i="14"/>
  <c r="F108" i="14"/>
  <c r="D109" i="14" l="1"/>
  <c r="L109" i="14"/>
  <c r="B110" i="14"/>
  <c r="K110" i="14"/>
  <c r="C110" i="14" s="1"/>
  <c r="R110" i="14"/>
  <c r="S108" i="14"/>
  <c r="E109" i="14"/>
  <c r="F109" i="14"/>
  <c r="D110" i="14" l="1"/>
  <c r="L110" i="14"/>
  <c r="B111" i="14"/>
  <c r="K111" i="14"/>
  <c r="C111" i="14" s="1"/>
  <c r="R111" i="14"/>
  <c r="S109" i="14"/>
  <c r="E110" i="14"/>
  <c r="F110" i="14"/>
  <c r="D111" i="14" l="1"/>
  <c r="L111" i="14"/>
  <c r="B112" i="14"/>
  <c r="K112" i="14"/>
  <c r="C112" i="14" s="1"/>
  <c r="R112" i="14"/>
  <c r="S110" i="14"/>
  <c r="E111" i="14"/>
  <c r="F111" i="14"/>
  <c r="D112" i="14" l="1"/>
  <c r="L112" i="14"/>
  <c r="B113" i="14"/>
  <c r="K113" i="14"/>
  <c r="C113" i="14" s="1"/>
  <c r="R113" i="14"/>
  <c r="S111" i="14"/>
  <c r="E112" i="14"/>
  <c r="F112" i="14"/>
  <c r="D113" i="14" l="1"/>
  <c r="L113" i="14"/>
  <c r="B114" i="14"/>
  <c r="K114" i="14"/>
  <c r="C114" i="14" s="1"/>
  <c r="D114" i="14" s="1"/>
  <c r="R114" i="14"/>
  <c r="S112" i="14"/>
  <c r="E113" i="14"/>
  <c r="E114" i="14"/>
  <c r="S114" i="14"/>
  <c r="F113" i="14"/>
  <c r="L114" i="14" l="1"/>
  <c r="B115" i="14"/>
  <c r="K115" i="14"/>
  <c r="C115" i="14" s="1"/>
  <c r="R115" i="14"/>
  <c r="S113" i="14"/>
  <c r="F114" i="14"/>
  <c r="D115" i="14" l="1"/>
  <c r="L115" i="14"/>
  <c r="B116" i="14"/>
  <c r="K116" i="14"/>
  <c r="C116" i="14" s="1"/>
  <c r="R116" i="14"/>
  <c r="E115" i="14"/>
  <c r="F115" i="14"/>
  <c r="D116" i="14" l="1"/>
  <c r="L116" i="14"/>
  <c r="B117" i="14"/>
  <c r="K117" i="14"/>
  <c r="C117" i="14" s="1"/>
  <c r="R117" i="14"/>
  <c r="S115" i="14"/>
  <c r="E116" i="14"/>
  <c r="F116" i="14"/>
  <c r="D117" i="14" l="1"/>
  <c r="L117" i="14"/>
  <c r="B118" i="14"/>
  <c r="K118" i="14"/>
  <c r="C118" i="14" s="1"/>
  <c r="D118" i="14" s="1"/>
  <c r="R118" i="14"/>
  <c r="S116" i="14"/>
  <c r="E117" i="14"/>
  <c r="E118" i="14"/>
  <c r="S118" i="14"/>
  <c r="F117" i="14"/>
  <c r="L118" i="14" l="1"/>
  <c r="B119" i="14"/>
  <c r="K119" i="14"/>
  <c r="C119" i="14" s="1"/>
  <c r="R119" i="14"/>
  <c r="S117" i="14"/>
  <c r="F118" i="14"/>
  <c r="D119" i="14" l="1"/>
  <c r="L119" i="14"/>
  <c r="B120" i="14"/>
  <c r="K120" i="14"/>
  <c r="C120" i="14" s="1"/>
  <c r="R120" i="14"/>
  <c r="E119" i="14"/>
  <c r="D120" i="14" l="1"/>
  <c r="L120" i="14"/>
  <c r="B121" i="14"/>
  <c r="K121" i="14"/>
  <c r="C121" i="14" s="1"/>
  <c r="R121" i="14"/>
  <c r="S119" i="14"/>
  <c r="E120" i="14"/>
  <c r="F119" i="14"/>
  <c r="D121" i="14" l="1"/>
  <c r="L121" i="14"/>
  <c r="B122" i="14"/>
  <c r="K122" i="14"/>
  <c r="C122" i="14" s="1"/>
  <c r="R122" i="14"/>
  <c r="S120" i="14"/>
  <c r="E121" i="14"/>
  <c r="F120" i="14"/>
  <c r="D122" i="14" l="1"/>
  <c r="L122" i="14"/>
  <c r="B123" i="14"/>
  <c r="K123" i="14"/>
  <c r="C123" i="14" s="1"/>
  <c r="R123" i="14"/>
  <c r="S121" i="14"/>
  <c r="E122" i="14"/>
  <c r="F121" i="14"/>
  <c r="D123" i="14" l="1"/>
  <c r="L123" i="14"/>
  <c r="B124" i="14"/>
  <c r="K124" i="14"/>
  <c r="C124" i="14" s="1"/>
  <c r="R124" i="14"/>
  <c r="S122" i="14"/>
  <c r="E123" i="14"/>
  <c r="F122" i="14"/>
  <c r="D124" i="14" l="1"/>
  <c r="L124" i="14"/>
  <c r="B125" i="14"/>
  <c r="K125" i="14"/>
  <c r="C125" i="14" s="1"/>
  <c r="R125" i="14"/>
  <c r="S123" i="14"/>
  <c r="E124" i="14"/>
  <c r="F123" i="14"/>
  <c r="D125" i="14" l="1"/>
  <c r="L125" i="14"/>
  <c r="B126" i="14"/>
  <c r="K126" i="14"/>
  <c r="C126" i="14" s="1"/>
  <c r="R126" i="14"/>
  <c r="S124" i="14"/>
  <c r="E125" i="14"/>
  <c r="F124" i="14"/>
  <c r="F125" i="14"/>
  <c r="D126" i="14" l="1"/>
  <c r="L126" i="14"/>
  <c r="B127" i="14"/>
  <c r="K127" i="14"/>
  <c r="C127" i="14" s="1"/>
  <c r="R127" i="14"/>
  <c r="S125" i="14"/>
  <c r="E126" i="14"/>
  <c r="D127" i="14" l="1"/>
  <c r="L127" i="14"/>
  <c r="B128" i="14"/>
  <c r="K128" i="14"/>
  <c r="C128" i="14" s="1"/>
  <c r="R128" i="14"/>
  <c r="S126" i="14"/>
  <c r="E127" i="14"/>
  <c r="F126" i="14"/>
  <c r="D128" i="14" l="1"/>
  <c r="L128" i="14"/>
  <c r="B129" i="14"/>
  <c r="K129" i="14"/>
  <c r="C129" i="14" s="1"/>
  <c r="R129" i="14"/>
  <c r="S127" i="14"/>
  <c r="E128" i="14"/>
  <c r="F127" i="14"/>
  <c r="F128" i="14"/>
  <c r="D129" i="14" l="1"/>
  <c r="L129" i="14"/>
  <c r="B130" i="14"/>
  <c r="K130" i="14"/>
  <c r="C130" i="14" s="1"/>
  <c r="R130" i="14"/>
  <c r="S128" i="14"/>
  <c r="E129" i="14"/>
  <c r="F129" i="14"/>
  <c r="D130" i="14" l="1"/>
  <c r="L130" i="14"/>
  <c r="B131" i="14"/>
  <c r="K131" i="14"/>
  <c r="C131" i="14" s="1"/>
  <c r="R131" i="14"/>
  <c r="S129" i="14"/>
  <c r="E130" i="14"/>
  <c r="F130" i="14"/>
  <c r="D131" i="14" l="1"/>
  <c r="L131" i="14"/>
  <c r="B132" i="14"/>
  <c r="K132" i="14"/>
  <c r="C132" i="14" s="1"/>
  <c r="R132" i="14"/>
  <c r="S130" i="14"/>
  <c r="E131" i="14"/>
  <c r="D132" i="14" l="1"/>
  <c r="L132" i="14"/>
  <c r="B133" i="14"/>
  <c r="K133" i="14"/>
  <c r="C133" i="14" s="1"/>
  <c r="R133" i="14"/>
  <c r="S131" i="14"/>
  <c r="E132" i="14"/>
  <c r="F131" i="14"/>
  <c r="F132" i="14"/>
  <c r="D133" i="14" l="1"/>
  <c r="L133" i="14"/>
  <c r="B134" i="14"/>
  <c r="K134" i="14"/>
  <c r="C134" i="14" s="1"/>
  <c r="R134" i="14"/>
  <c r="S132" i="14"/>
  <c r="E133" i="14"/>
  <c r="D134" i="14" l="1"/>
  <c r="L134" i="14"/>
  <c r="B135" i="14"/>
  <c r="K135" i="14"/>
  <c r="C135" i="14" s="1"/>
  <c r="R135" i="14"/>
  <c r="S133" i="14"/>
  <c r="E134" i="14"/>
  <c r="F133" i="14"/>
  <c r="D135" i="14" l="1"/>
  <c r="L135" i="14"/>
  <c r="B136" i="14"/>
  <c r="K136" i="14"/>
  <c r="C136" i="14" s="1"/>
  <c r="R136" i="14"/>
  <c r="S134" i="14"/>
  <c r="E135" i="14"/>
  <c r="F134" i="14"/>
  <c r="F135" i="14"/>
  <c r="D136" i="14" l="1"/>
  <c r="L136" i="14"/>
  <c r="B137" i="14"/>
  <c r="K137" i="14"/>
  <c r="C137" i="14" s="1"/>
  <c r="R137" i="14"/>
  <c r="S135" i="14"/>
  <c r="E136" i="14"/>
  <c r="D137" i="14" l="1"/>
  <c r="L137" i="14"/>
  <c r="B138" i="14"/>
  <c r="K138" i="14"/>
  <c r="C138" i="14" s="1"/>
  <c r="R138" i="14"/>
  <c r="S136" i="14"/>
  <c r="E137" i="14"/>
  <c r="F136" i="14"/>
  <c r="D138" i="14" l="1"/>
  <c r="L138" i="14"/>
  <c r="B139" i="14"/>
  <c r="K139" i="14"/>
  <c r="C139" i="14" s="1"/>
  <c r="R139" i="14"/>
  <c r="S137" i="14"/>
  <c r="E138" i="14"/>
  <c r="F137" i="14"/>
  <c r="F138" i="14"/>
  <c r="D139" i="14" l="1"/>
  <c r="L139" i="14"/>
  <c r="B140" i="14"/>
  <c r="K140" i="14"/>
  <c r="C140" i="14" s="1"/>
  <c r="R140" i="14"/>
  <c r="S138" i="14"/>
  <c r="E139" i="14"/>
  <c r="F139" i="14"/>
  <c r="D140" i="14" l="1"/>
  <c r="L140" i="14"/>
  <c r="B141" i="14"/>
  <c r="K141" i="14"/>
  <c r="C141" i="14" s="1"/>
  <c r="R141" i="14"/>
  <c r="S139" i="14"/>
  <c r="E140" i="14"/>
  <c r="F140" i="14"/>
  <c r="D141" i="14" l="1"/>
  <c r="L141" i="14"/>
  <c r="B142" i="14"/>
  <c r="K142" i="14"/>
  <c r="C142" i="14" s="1"/>
  <c r="R142" i="14"/>
  <c r="S140" i="14"/>
  <c r="E141" i="14"/>
  <c r="F141" i="14"/>
  <c r="D142" i="14" l="1"/>
  <c r="L142" i="14"/>
  <c r="B143" i="14"/>
  <c r="K143" i="14"/>
  <c r="C143" i="14" s="1"/>
  <c r="R143" i="14"/>
  <c r="S141" i="14"/>
  <c r="E142" i="14"/>
  <c r="D143" i="14" l="1"/>
  <c r="L143" i="14"/>
  <c r="B144" i="14"/>
  <c r="K144" i="14"/>
  <c r="C144" i="14" s="1"/>
  <c r="R144" i="14"/>
  <c r="S142" i="14"/>
  <c r="E143" i="14"/>
  <c r="F142" i="14"/>
  <c r="D144" i="14" l="1"/>
  <c r="L144" i="14"/>
  <c r="B145" i="14"/>
  <c r="K145" i="14"/>
  <c r="C145" i="14" s="1"/>
  <c r="R145" i="14"/>
  <c r="S143" i="14"/>
  <c r="E144" i="14"/>
  <c r="F143" i="14"/>
  <c r="D145" i="14" l="1"/>
  <c r="L145" i="14"/>
  <c r="B146" i="14"/>
  <c r="K146" i="14"/>
  <c r="C146" i="14" s="1"/>
  <c r="R146" i="14"/>
  <c r="S144" i="14"/>
  <c r="E145" i="14"/>
  <c r="F144" i="14"/>
  <c r="D146" i="14" l="1"/>
  <c r="L146" i="14"/>
  <c r="B147" i="14"/>
  <c r="K147" i="14"/>
  <c r="C147" i="14" s="1"/>
  <c r="R147" i="14"/>
  <c r="S145" i="14"/>
  <c r="E146" i="14"/>
  <c r="F145" i="14"/>
  <c r="F146" i="14"/>
  <c r="D147" i="14" l="1"/>
  <c r="L147" i="14"/>
  <c r="B148" i="14"/>
  <c r="K148" i="14"/>
  <c r="C148" i="14" s="1"/>
  <c r="R148" i="14"/>
  <c r="S146" i="14"/>
  <c r="E147" i="14"/>
  <c r="F147" i="14"/>
  <c r="D148" i="14" l="1"/>
  <c r="L148" i="14"/>
  <c r="B149" i="14"/>
  <c r="K149" i="14"/>
  <c r="C149" i="14" s="1"/>
  <c r="R149" i="14"/>
  <c r="S147" i="14"/>
  <c r="E148" i="14"/>
  <c r="F148" i="14"/>
  <c r="D149" i="14" l="1"/>
  <c r="L149" i="14"/>
  <c r="B150" i="14"/>
  <c r="K150" i="14"/>
  <c r="C150" i="14" s="1"/>
  <c r="R150" i="14"/>
  <c r="S148" i="14"/>
  <c r="E149" i="14"/>
  <c r="D150" i="14" l="1"/>
  <c r="L150" i="14"/>
  <c r="B151" i="14"/>
  <c r="K151" i="14"/>
  <c r="C151" i="14" s="1"/>
  <c r="R151" i="14"/>
  <c r="S149" i="14"/>
  <c r="E150" i="14"/>
  <c r="F150" i="14"/>
  <c r="F149" i="14"/>
  <c r="D151" i="14" l="1"/>
  <c r="L151" i="14"/>
  <c r="B152" i="14"/>
  <c r="K152" i="14"/>
  <c r="C152" i="14" s="1"/>
  <c r="R152" i="14"/>
  <c r="S150" i="14"/>
  <c r="E151" i="14"/>
  <c r="D152" i="14" l="1"/>
  <c r="L152" i="14"/>
  <c r="B153" i="14"/>
  <c r="K153" i="14"/>
  <c r="C153" i="14" s="1"/>
  <c r="R153" i="14"/>
  <c r="S151" i="14"/>
  <c r="E152" i="14"/>
  <c r="F152" i="14"/>
  <c r="F151" i="14"/>
  <c r="D153" i="14" l="1"/>
  <c r="L153" i="14"/>
  <c r="B154" i="14"/>
  <c r="K154" i="14"/>
  <c r="C154" i="14" s="1"/>
  <c r="R154" i="14"/>
  <c r="S152" i="14"/>
  <c r="E153" i="14"/>
  <c r="F153" i="14"/>
  <c r="D154" i="14" l="1"/>
  <c r="L154" i="14"/>
  <c r="B155" i="14"/>
  <c r="K155" i="14"/>
  <c r="C155" i="14" s="1"/>
  <c r="R155" i="14"/>
  <c r="S153" i="14"/>
  <c r="E154" i="14"/>
  <c r="F154" i="14"/>
  <c r="D155" i="14" l="1"/>
  <c r="L155" i="14"/>
  <c r="B156" i="14"/>
  <c r="K156" i="14"/>
  <c r="C156" i="14" s="1"/>
  <c r="R156" i="14"/>
  <c r="S154" i="14"/>
  <c r="E155" i="14"/>
  <c r="D156" i="14" l="1"/>
  <c r="L156" i="14"/>
  <c r="B157" i="14"/>
  <c r="K157" i="14"/>
  <c r="C157" i="14" s="1"/>
  <c r="R157" i="14"/>
  <c r="S155" i="14"/>
  <c r="E156" i="14"/>
  <c r="F156" i="14"/>
  <c r="F155" i="14"/>
  <c r="D157" i="14" l="1"/>
  <c r="L157" i="14"/>
  <c r="B158" i="14"/>
  <c r="K158" i="14"/>
  <c r="C158" i="14" s="1"/>
  <c r="R158" i="14"/>
  <c r="S156" i="14"/>
  <c r="E157" i="14"/>
  <c r="F157" i="14"/>
  <c r="D158" i="14" l="1"/>
  <c r="L158" i="14"/>
  <c r="B159" i="14"/>
  <c r="K159" i="14"/>
  <c r="C159" i="14" s="1"/>
  <c r="R159" i="14"/>
  <c r="S157" i="14"/>
  <c r="E158" i="14"/>
  <c r="F158" i="14"/>
  <c r="D159" i="14" l="1"/>
  <c r="L159" i="14"/>
  <c r="B160" i="14"/>
  <c r="K160" i="14"/>
  <c r="C160" i="14" s="1"/>
  <c r="R160" i="14"/>
  <c r="S158" i="14"/>
  <c r="E159" i="14"/>
  <c r="F159" i="14"/>
  <c r="D160" i="14" l="1"/>
  <c r="L160" i="14"/>
  <c r="B161" i="14"/>
  <c r="K161" i="14"/>
  <c r="C161" i="14" s="1"/>
  <c r="R161" i="14"/>
  <c r="S159" i="14"/>
  <c r="E160" i="14"/>
  <c r="F160" i="14"/>
  <c r="D161" i="14" l="1"/>
  <c r="L161" i="14"/>
  <c r="B162" i="14"/>
  <c r="K162" i="14"/>
  <c r="C162" i="14" s="1"/>
  <c r="R162" i="14"/>
  <c r="S160" i="14"/>
  <c r="E161" i="14"/>
  <c r="F161" i="14"/>
  <c r="D162" i="14" l="1"/>
  <c r="L162" i="14"/>
  <c r="B163" i="14"/>
  <c r="K163" i="14"/>
  <c r="C163" i="14" s="1"/>
  <c r="R163" i="14"/>
  <c r="S161" i="14"/>
  <c r="E162" i="14"/>
  <c r="D163" i="14" l="1"/>
  <c r="L163" i="14"/>
  <c r="B164" i="14"/>
  <c r="K164" i="14"/>
  <c r="C164" i="14" s="1"/>
  <c r="R164" i="14"/>
  <c r="S162" i="14"/>
  <c r="E163" i="14"/>
  <c r="F162" i="14"/>
  <c r="D164" i="14" l="1"/>
  <c r="L164" i="14"/>
  <c r="B165" i="14"/>
  <c r="K165" i="14"/>
  <c r="C165" i="14" s="1"/>
  <c r="R165" i="14"/>
  <c r="S163" i="14"/>
  <c r="E164" i="14"/>
  <c r="F164" i="14"/>
  <c r="F163" i="14"/>
  <c r="D165" i="14" l="1"/>
  <c r="L165" i="14"/>
  <c r="B166" i="14"/>
  <c r="K166" i="14"/>
  <c r="C166" i="14" s="1"/>
  <c r="R166" i="14"/>
  <c r="S164" i="14"/>
  <c r="E165" i="14"/>
  <c r="D166" i="14" l="1"/>
  <c r="L166" i="14"/>
  <c r="B167" i="14"/>
  <c r="K167" i="14"/>
  <c r="C167" i="14" s="1"/>
  <c r="R167" i="14"/>
  <c r="S165" i="14"/>
  <c r="E166" i="14"/>
  <c r="F166" i="14"/>
  <c r="F165" i="14"/>
  <c r="D167" i="14" l="1"/>
  <c r="L167" i="14"/>
  <c r="B168" i="14"/>
  <c r="K168" i="14"/>
  <c r="C168" i="14" s="1"/>
  <c r="R168" i="14"/>
  <c r="S166" i="14"/>
  <c r="E167" i="14"/>
  <c r="F167" i="14"/>
  <c r="D168" i="14" l="1"/>
  <c r="L168" i="14"/>
  <c r="B169" i="14"/>
  <c r="S167" i="14"/>
  <c r="E168" i="14"/>
  <c r="F168" i="14"/>
  <c r="K169" i="14" l="1"/>
  <c r="C169" i="14" s="1"/>
  <c r="D169" i="14" s="1"/>
  <c r="R169" i="14"/>
  <c r="S168" i="14"/>
  <c r="E169" i="14"/>
  <c r="S169" i="14"/>
  <c r="L169" i="14" l="1"/>
  <c r="B170" i="14"/>
  <c r="K170" i="14"/>
  <c r="C170" i="14" s="1"/>
  <c r="R170" i="14"/>
  <c r="F169" i="14"/>
  <c r="D170" i="14" l="1"/>
  <c r="L170" i="14"/>
  <c r="B171" i="14"/>
  <c r="K171" i="14"/>
  <c r="C171" i="14" s="1"/>
  <c r="D171" i="14" s="1"/>
  <c r="R171" i="14"/>
  <c r="E170" i="14"/>
  <c r="S171" i="14"/>
  <c r="E171" i="14"/>
  <c r="F170" i="14"/>
  <c r="L171" i="14" l="1"/>
  <c r="B172" i="14"/>
  <c r="K172" i="14"/>
  <c r="C172" i="14" s="1"/>
  <c r="R172" i="14"/>
  <c r="S170" i="14"/>
  <c r="F171" i="14"/>
  <c r="D172" i="14" l="1"/>
  <c r="L172" i="14"/>
  <c r="B173" i="14"/>
  <c r="K173" i="14"/>
  <c r="C173" i="14" s="1"/>
  <c r="D173" i="14" s="1"/>
  <c r="R173" i="14"/>
  <c r="E173" i="14"/>
  <c r="E172" i="14"/>
  <c r="S173" i="14"/>
  <c r="F172" i="14"/>
  <c r="L173" i="14" l="1"/>
  <c r="B174" i="14"/>
  <c r="K174" i="14"/>
  <c r="C174" i="14" s="1"/>
  <c r="R174" i="14"/>
  <c r="S172" i="14"/>
  <c r="F173" i="14"/>
  <c r="D174" i="14" l="1"/>
  <c r="L174" i="14"/>
  <c r="B175" i="14"/>
  <c r="K175" i="14"/>
  <c r="C175" i="14" s="1"/>
  <c r="R175" i="14"/>
  <c r="E174" i="14"/>
  <c r="F174" i="14"/>
  <c r="D175" i="14" l="1"/>
  <c r="L175" i="14"/>
  <c r="B176" i="14"/>
  <c r="K176" i="14"/>
  <c r="C176" i="14" s="1"/>
  <c r="R176" i="14"/>
  <c r="S174" i="14"/>
  <c r="E175" i="14"/>
  <c r="F175" i="14"/>
  <c r="D176" i="14" l="1"/>
  <c r="L176" i="14"/>
  <c r="B177" i="14"/>
  <c r="K177" i="14"/>
  <c r="C177" i="14" s="1"/>
  <c r="R177" i="14"/>
  <c r="S175" i="14"/>
  <c r="E176" i="14"/>
  <c r="F176" i="14"/>
  <c r="D177" i="14" l="1"/>
  <c r="L177" i="14"/>
  <c r="B178" i="14"/>
  <c r="K178" i="14"/>
  <c r="C178" i="14" s="1"/>
  <c r="R178" i="14"/>
  <c r="S176" i="14"/>
  <c r="E177" i="14"/>
  <c r="F177" i="14"/>
  <c r="D178" i="14" l="1"/>
  <c r="L178" i="14"/>
  <c r="B179" i="14"/>
  <c r="S177" i="14"/>
  <c r="E178" i="14"/>
  <c r="F178" i="14"/>
  <c r="K179" i="14" l="1"/>
  <c r="C179" i="14" s="1"/>
  <c r="D179" i="14" s="1"/>
  <c r="R179" i="14"/>
  <c r="S178" i="14"/>
  <c r="S179" i="14"/>
  <c r="E179" i="14"/>
  <c r="L179" i="14" l="1"/>
  <c r="B180" i="14"/>
  <c r="K180" i="14"/>
  <c r="C180" i="14" s="1"/>
  <c r="R180" i="14"/>
  <c r="F179" i="14"/>
  <c r="D180" i="14" l="1"/>
  <c r="L180" i="14"/>
  <c r="B181" i="14"/>
  <c r="E180" i="14"/>
  <c r="F180" i="14"/>
  <c r="K181" i="14" l="1"/>
  <c r="C181" i="14" s="1"/>
  <c r="D181" i="14" s="1"/>
  <c r="R181" i="14"/>
  <c r="S180" i="14"/>
  <c r="S181" i="14"/>
  <c r="E181" i="14"/>
  <c r="L181" i="14" l="1"/>
  <c r="B182" i="14"/>
  <c r="K182" i="14"/>
  <c r="C182" i="14" s="1"/>
  <c r="R182" i="14"/>
  <c r="F181" i="14"/>
  <c r="D182" i="14" l="1"/>
  <c r="L182" i="14"/>
  <c r="B183" i="14"/>
  <c r="E182" i="14"/>
  <c r="F182" i="14"/>
  <c r="K183" i="14" l="1"/>
  <c r="C183" i="14" s="1"/>
  <c r="D183" i="14" s="1"/>
  <c r="R183" i="14"/>
  <c r="S182" i="14"/>
  <c r="S183" i="14"/>
  <c r="E183" i="14"/>
  <c r="L183" i="14" l="1"/>
  <c r="B184" i="14"/>
  <c r="K184" i="14"/>
  <c r="C184" i="14" s="1"/>
  <c r="R184" i="14"/>
  <c r="F183" i="14"/>
  <c r="D184" i="14" l="1"/>
  <c r="L184" i="14"/>
  <c r="B185" i="14"/>
  <c r="E184" i="14"/>
  <c r="F184" i="14"/>
  <c r="K185" i="14" l="1"/>
  <c r="C185" i="14" s="1"/>
  <c r="D185" i="14" s="1"/>
  <c r="R185" i="14"/>
  <c r="S184" i="14"/>
  <c r="E185" i="14"/>
  <c r="S185" i="14"/>
  <c r="L185" i="14" l="1"/>
  <c r="B186" i="14"/>
  <c r="K186" i="14"/>
  <c r="C186" i="14" s="1"/>
  <c r="R186" i="14"/>
  <c r="F185" i="14"/>
  <c r="D186" i="14" l="1"/>
  <c r="L186" i="14"/>
  <c r="B187" i="14"/>
  <c r="E186" i="14"/>
  <c r="F186" i="14"/>
  <c r="K187" i="14" l="1"/>
  <c r="C187" i="14" s="1"/>
  <c r="D187" i="14" s="1"/>
  <c r="R187" i="14"/>
  <c r="S186" i="14"/>
  <c r="E187" i="14"/>
  <c r="S187" i="14"/>
  <c r="L187" i="14" l="1"/>
  <c r="B188" i="14"/>
  <c r="K188" i="14"/>
  <c r="C188" i="14" s="1"/>
  <c r="R188" i="14"/>
  <c r="F187" i="14"/>
  <c r="D188" i="14" l="1"/>
  <c r="L188" i="14"/>
  <c r="B189" i="14"/>
  <c r="E188" i="14"/>
  <c r="F188" i="14"/>
  <c r="K189" i="14" l="1"/>
  <c r="C189" i="14" s="1"/>
  <c r="D189" i="14" s="1"/>
  <c r="R189" i="14"/>
  <c r="S188" i="14"/>
  <c r="E189" i="14"/>
  <c r="S189" i="14"/>
  <c r="L189" i="14" l="1"/>
  <c r="B190" i="14"/>
  <c r="K190" i="14"/>
  <c r="C190" i="14" s="1"/>
  <c r="R190" i="14"/>
  <c r="F189" i="14"/>
  <c r="D190" i="14" l="1"/>
  <c r="L190" i="14"/>
  <c r="B191" i="14"/>
  <c r="E190" i="14"/>
  <c r="F190" i="14"/>
  <c r="K191" i="14" l="1"/>
  <c r="C191" i="14" s="1"/>
  <c r="D191" i="14" s="1"/>
  <c r="R191" i="14"/>
  <c r="S190" i="14"/>
  <c r="E191" i="14"/>
  <c r="S191" i="14"/>
  <c r="L191" i="14" l="1"/>
  <c r="B192" i="14"/>
  <c r="K192" i="14"/>
  <c r="C192" i="14" s="1"/>
  <c r="R192" i="14"/>
  <c r="F191" i="14"/>
  <c r="D192" i="14" l="1"/>
  <c r="L192" i="14"/>
  <c r="B193" i="14"/>
  <c r="E192" i="14"/>
  <c r="F192" i="14"/>
  <c r="K193" i="14" l="1"/>
  <c r="C193" i="14" s="1"/>
  <c r="D193" i="14" s="1"/>
  <c r="R193" i="14"/>
  <c r="S192" i="14"/>
  <c r="E193" i="14"/>
  <c r="S193" i="14"/>
  <c r="L193" i="14" l="1"/>
  <c r="B194" i="14"/>
  <c r="K194" i="14"/>
  <c r="C194" i="14" s="1"/>
  <c r="R194" i="14"/>
  <c r="F193" i="14"/>
  <c r="D194" i="14" l="1"/>
  <c r="L194" i="14"/>
  <c r="B195" i="14"/>
  <c r="E194" i="14"/>
  <c r="F194" i="14"/>
  <c r="K195" i="14" l="1"/>
  <c r="C195" i="14" s="1"/>
  <c r="D195" i="14" s="1"/>
  <c r="R195" i="14"/>
  <c r="S194" i="14"/>
  <c r="S195" i="14"/>
  <c r="E195" i="14"/>
  <c r="L195" i="14" l="1"/>
  <c r="B196" i="14"/>
  <c r="F195" i="14"/>
  <c r="K196" i="14" l="1"/>
  <c r="C196" i="14" s="1"/>
  <c r="D196" i="14" s="1"/>
  <c r="R196" i="14"/>
  <c r="E196" i="14"/>
  <c r="S196" i="14"/>
  <c r="L196" i="14" l="1"/>
  <c r="B197" i="14"/>
  <c r="F196" i="14"/>
  <c r="K197" i="14" l="1"/>
  <c r="C197" i="14" s="1"/>
  <c r="D197" i="14" s="1"/>
  <c r="R197" i="14"/>
  <c r="E197" i="14"/>
  <c r="S197" i="14"/>
  <c r="L197" i="14" l="1"/>
  <c r="B198" i="14"/>
  <c r="F197" i="14"/>
  <c r="K198" i="14" l="1"/>
  <c r="C198" i="14" s="1"/>
  <c r="D198" i="14" s="1"/>
  <c r="R198" i="14"/>
  <c r="E198" i="14"/>
  <c r="S198" i="14"/>
  <c r="L198" i="14" l="1"/>
  <c r="B199" i="14"/>
  <c r="F198" i="14"/>
  <c r="K199" i="14" l="1"/>
  <c r="C199" i="14" s="1"/>
  <c r="D199" i="14" s="1"/>
  <c r="R199" i="14"/>
  <c r="E199" i="14"/>
  <c r="S199" i="14"/>
  <c r="L199" i="14" l="1"/>
  <c r="B200" i="14"/>
  <c r="F199" i="14"/>
  <c r="K200" i="14" l="1"/>
  <c r="C200" i="14" s="1"/>
  <c r="D200" i="14" s="1"/>
  <c r="R200" i="14"/>
  <c r="E200" i="14"/>
  <c r="S200" i="14"/>
  <c r="L200" i="14" l="1"/>
  <c r="B201" i="14"/>
  <c r="F200" i="14"/>
  <c r="K201" i="14" l="1"/>
  <c r="C201" i="14" s="1"/>
  <c r="D201" i="14" s="1"/>
  <c r="R201" i="14"/>
  <c r="E201" i="14"/>
  <c r="S201" i="14"/>
  <c r="L201" i="14" l="1"/>
  <c r="B202" i="14"/>
  <c r="F201" i="14"/>
  <c r="K202" i="14" l="1"/>
  <c r="C202" i="14" s="1"/>
  <c r="D202" i="14" s="1"/>
  <c r="R202" i="14"/>
  <c r="E202" i="14"/>
  <c r="S202" i="14"/>
  <c r="L202" i="14" l="1"/>
  <c r="B203" i="14"/>
  <c r="F202" i="14"/>
  <c r="K203" i="14" l="1"/>
  <c r="C203" i="14" s="1"/>
  <c r="D203" i="14" s="1"/>
  <c r="R203" i="14"/>
  <c r="E203" i="14"/>
  <c r="S203" i="14"/>
  <c r="L203" i="14" l="1"/>
  <c r="B204" i="14"/>
  <c r="F203" i="14"/>
  <c r="K204" i="14" l="1"/>
  <c r="C204" i="14" s="1"/>
  <c r="D204" i="14" s="1"/>
  <c r="R204" i="14"/>
  <c r="E204" i="14"/>
  <c r="S204" i="14"/>
  <c r="L204" i="14" l="1"/>
  <c r="B205" i="14"/>
  <c r="F204" i="14"/>
  <c r="K205" i="14" l="1"/>
  <c r="C205" i="14" s="1"/>
  <c r="D205" i="14" s="1"/>
  <c r="R205" i="14"/>
  <c r="E205" i="14"/>
  <c r="S205" i="14"/>
  <c r="L205" i="14" l="1"/>
  <c r="B206" i="14"/>
  <c r="F205" i="14"/>
  <c r="K206" i="14" l="1"/>
  <c r="C206" i="14" s="1"/>
  <c r="D206" i="14" s="1"/>
  <c r="R206" i="14"/>
  <c r="E206" i="14"/>
  <c r="S206" i="14"/>
  <c r="L206" i="14" l="1"/>
  <c r="B207" i="14"/>
  <c r="F206" i="14"/>
  <c r="K207" i="14" l="1"/>
  <c r="C207" i="14" s="1"/>
  <c r="D207" i="14" s="1"/>
  <c r="R207" i="14"/>
  <c r="E207" i="14"/>
  <c r="S207" i="14"/>
  <c r="L207" i="14" l="1"/>
  <c r="B208" i="14"/>
  <c r="F207" i="14"/>
  <c r="K208" i="14" l="1"/>
  <c r="C208" i="14" s="1"/>
  <c r="D208" i="14" s="1"/>
  <c r="R208" i="14"/>
  <c r="E208" i="14"/>
  <c r="S208" i="14"/>
  <c r="L208" i="14" l="1"/>
  <c r="B209" i="14"/>
  <c r="F208" i="14"/>
  <c r="K209" i="14" l="1"/>
  <c r="C209" i="14" s="1"/>
  <c r="D209" i="14" s="1"/>
  <c r="R209" i="14"/>
  <c r="E209" i="14"/>
  <c r="S209" i="14"/>
  <c r="L209" i="14" l="1"/>
  <c r="B210" i="14"/>
  <c r="F209" i="14"/>
  <c r="K210" i="14" l="1"/>
  <c r="C210" i="14" s="1"/>
  <c r="D210" i="14" s="1"/>
  <c r="R210" i="14"/>
  <c r="E210" i="14"/>
  <c r="S210" i="14"/>
  <c r="L210" i="14" l="1"/>
  <c r="B211" i="14"/>
  <c r="F210" i="14"/>
  <c r="K211" i="14" l="1"/>
  <c r="C211" i="14" s="1"/>
  <c r="D211" i="14" s="1"/>
  <c r="R211" i="14"/>
  <c r="E211" i="14"/>
  <c r="S211" i="14"/>
  <c r="L211" i="14" l="1"/>
  <c r="B212" i="14"/>
  <c r="F211" i="14"/>
  <c r="K212" i="14" l="1"/>
  <c r="C212" i="14" s="1"/>
  <c r="D212" i="14" s="1"/>
  <c r="R212" i="14"/>
  <c r="E212" i="14"/>
  <c r="S212" i="14"/>
  <c r="L212" i="14" l="1"/>
  <c r="B213" i="14"/>
  <c r="F212" i="14"/>
  <c r="K213" i="14" l="1"/>
  <c r="C213" i="14" s="1"/>
  <c r="D213" i="14" s="1"/>
  <c r="R213" i="14"/>
  <c r="E213" i="14"/>
  <c r="S213" i="14"/>
  <c r="L213" i="14" l="1"/>
  <c r="B214" i="14"/>
  <c r="F213" i="14"/>
  <c r="K214" i="14" l="1"/>
  <c r="C214" i="14" s="1"/>
  <c r="D214" i="14" s="1"/>
  <c r="R214" i="14"/>
  <c r="E214" i="14"/>
  <c r="S214" i="14"/>
  <c r="L214" i="14" l="1"/>
  <c r="B215" i="14"/>
  <c r="F214" i="14"/>
  <c r="K215" i="14" l="1"/>
  <c r="C215" i="14" s="1"/>
  <c r="D215" i="14" s="1"/>
  <c r="R215" i="14"/>
  <c r="E215" i="14"/>
  <c r="S215" i="14"/>
  <c r="L215" i="14" l="1"/>
  <c r="B216" i="14"/>
  <c r="F215" i="14"/>
  <c r="K216" i="14" l="1"/>
  <c r="C216" i="14" s="1"/>
  <c r="D216" i="14" s="1"/>
  <c r="R216" i="14"/>
  <c r="E216" i="14"/>
  <c r="S216" i="14"/>
  <c r="L216" i="14" l="1"/>
  <c r="B217" i="14"/>
  <c r="F216" i="14"/>
  <c r="K217" i="14" l="1"/>
  <c r="C217" i="14" s="1"/>
  <c r="D217" i="14" s="1"/>
  <c r="R217" i="14"/>
  <c r="E217" i="14"/>
  <c r="S217" i="14"/>
  <c r="L217" i="14" l="1"/>
  <c r="B218" i="14"/>
  <c r="F217" i="14"/>
  <c r="K218" i="14" l="1"/>
  <c r="C218" i="14" s="1"/>
  <c r="D218" i="14" s="1"/>
  <c r="R218" i="14"/>
  <c r="E218" i="14"/>
  <c r="S218" i="14"/>
  <c r="L218" i="14" l="1"/>
  <c r="B219" i="14"/>
  <c r="F218" i="14"/>
  <c r="K219" i="14" l="1"/>
  <c r="C219" i="14" s="1"/>
  <c r="D219" i="14" s="1"/>
  <c r="R219" i="14"/>
  <c r="E219" i="14"/>
  <c r="S219" i="14"/>
  <c r="L219" i="14" l="1"/>
  <c r="B220" i="14"/>
  <c r="F219" i="14"/>
  <c r="K220" i="14" l="1"/>
  <c r="C220" i="14" s="1"/>
  <c r="D220" i="14" s="1"/>
  <c r="R220" i="14"/>
  <c r="E220" i="14"/>
  <c r="S220" i="14"/>
  <c r="L220" i="14" l="1"/>
  <c r="B221" i="14"/>
  <c r="F220" i="14"/>
  <c r="K221" i="14" l="1"/>
  <c r="C221" i="14" s="1"/>
  <c r="D221" i="14" s="1"/>
  <c r="R221" i="14"/>
  <c r="E221" i="14"/>
  <c r="S221" i="14"/>
  <c r="L221" i="14" l="1"/>
  <c r="B222" i="14"/>
  <c r="F221" i="14"/>
  <c r="K222" i="14" l="1"/>
  <c r="C222" i="14" s="1"/>
  <c r="D222" i="14" s="1"/>
  <c r="R222" i="14"/>
  <c r="E222" i="14"/>
  <c r="S222" i="14"/>
  <c r="L222" i="14" l="1"/>
  <c r="B223" i="14"/>
  <c r="F222" i="14"/>
  <c r="K223" i="14" l="1"/>
  <c r="C223" i="14" s="1"/>
  <c r="D223" i="14" s="1"/>
  <c r="R223" i="14"/>
  <c r="E223" i="14"/>
  <c r="S223" i="14"/>
  <c r="L223" i="14" l="1"/>
  <c r="B224" i="14"/>
  <c r="F223" i="14"/>
  <c r="K224" i="14" l="1"/>
  <c r="C224" i="14" s="1"/>
  <c r="D224" i="14" s="1"/>
  <c r="R224" i="14"/>
  <c r="E224" i="14"/>
  <c r="S224" i="14"/>
  <c r="L224" i="14" l="1"/>
  <c r="B225" i="14"/>
  <c r="F224" i="14"/>
  <c r="K225" i="14" l="1"/>
  <c r="C225" i="14" s="1"/>
  <c r="D225" i="14" s="1"/>
  <c r="R225" i="14"/>
  <c r="E225" i="14"/>
  <c r="S225" i="14"/>
  <c r="L225" i="14" l="1"/>
  <c r="B226" i="14"/>
  <c r="F225" i="14"/>
  <c r="K226" i="14" l="1"/>
  <c r="C226" i="14" s="1"/>
  <c r="D226" i="14" s="1"/>
  <c r="R226" i="14"/>
  <c r="E226" i="14"/>
  <c r="S226" i="14"/>
  <c r="L226" i="14" l="1"/>
  <c r="B227" i="14"/>
  <c r="F226" i="14"/>
  <c r="K227" i="14" l="1"/>
  <c r="C227" i="14" s="1"/>
  <c r="D227" i="14" s="1"/>
  <c r="R227" i="14"/>
  <c r="E227" i="14"/>
  <c r="S227" i="14"/>
  <c r="L227" i="14" l="1"/>
  <c r="B228" i="14"/>
  <c r="K228" i="14"/>
  <c r="C228" i="14" s="1"/>
  <c r="R228" i="14"/>
  <c r="F227" i="14"/>
  <c r="D228" i="14" l="1"/>
  <c r="L228" i="14"/>
  <c r="B229" i="14"/>
  <c r="E228" i="14"/>
  <c r="F228" i="14"/>
  <c r="K229" i="14" l="1"/>
  <c r="C229" i="14" s="1"/>
  <c r="D229" i="14" s="1"/>
  <c r="R229" i="14"/>
  <c r="S228" i="14"/>
  <c r="E229" i="14"/>
  <c r="S229" i="14"/>
  <c r="L229" i="14" l="1"/>
  <c r="B230" i="14"/>
  <c r="K230" i="14"/>
  <c r="C230" i="14" s="1"/>
  <c r="R230" i="14"/>
  <c r="F229" i="14"/>
  <c r="D230" i="14" l="1"/>
  <c r="L230" i="14"/>
  <c r="B231" i="14"/>
  <c r="E230" i="14"/>
  <c r="F230" i="14"/>
  <c r="K231" i="14" l="1"/>
  <c r="C231" i="14" s="1"/>
  <c r="D231" i="14" s="1"/>
  <c r="R231" i="14"/>
  <c r="S230" i="14"/>
  <c r="S231" i="14"/>
  <c r="E231" i="14"/>
  <c r="L231" i="14" l="1"/>
  <c r="B232" i="14"/>
  <c r="F231" i="14"/>
  <c r="K232" i="14" l="1"/>
  <c r="C232" i="14" s="1"/>
  <c r="D232" i="14" s="1"/>
  <c r="R232" i="14"/>
  <c r="E232" i="14"/>
  <c r="S232" i="14"/>
  <c r="L232" i="14" l="1"/>
  <c r="B233" i="14"/>
  <c r="F232" i="14"/>
  <c r="K233" i="14" l="1"/>
  <c r="C233" i="14" s="1"/>
  <c r="D233" i="14" s="1"/>
  <c r="R233" i="14"/>
  <c r="E233" i="14"/>
  <c r="S233" i="14"/>
  <c r="L233" i="14" l="1"/>
  <c r="B234" i="14"/>
  <c r="F233" i="14"/>
  <c r="K234" i="14" l="1"/>
  <c r="C234" i="14" s="1"/>
  <c r="D234" i="14" s="1"/>
  <c r="R234" i="14"/>
  <c r="E234" i="14"/>
  <c r="S234" i="14"/>
  <c r="L234" i="14" l="1"/>
  <c r="B235" i="14"/>
  <c r="F234" i="14"/>
  <c r="K235" i="14" l="1"/>
  <c r="C235" i="14" s="1"/>
  <c r="D235" i="14" s="1"/>
  <c r="R235" i="14"/>
  <c r="E235" i="14"/>
  <c r="S235" i="14"/>
  <c r="L235" i="14" l="1"/>
  <c r="B236" i="14"/>
  <c r="F235" i="14"/>
  <c r="K236" i="14" l="1"/>
  <c r="C236" i="14" s="1"/>
  <c r="D236" i="14" s="1"/>
  <c r="R236" i="14"/>
  <c r="E236" i="14"/>
  <c r="S236" i="14"/>
  <c r="L236" i="14" l="1"/>
  <c r="B237" i="14"/>
  <c r="F236" i="14"/>
  <c r="K237" i="14" l="1"/>
  <c r="C237" i="14" s="1"/>
  <c r="D237" i="14" s="1"/>
  <c r="R237" i="14"/>
  <c r="E237" i="14"/>
  <c r="S237" i="14"/>
  <c r="L237" i="14" l="1"/>
  <c r="B238" i="14"/>
  <c r="F237" i="14"/>
  <c r="K238" i="14" l="1"/>
  <c r="C238" i="14" s="1"/>
  <c r="D238" i="14" s="1"/>
  <c r="R238" i="14"/>
  <c r="E238" i="14"/>
  <c r="S238" i="14"/>
  <c r="L238" i="14" l="1"/>
  <c r="B239" i="14"/>
  <c r="F238" i="14"/>
  <c r="K239" i="14" l="1"/>
  <c r="C239" i="14" s="1"/>
  <c r="D239" i="14" s="1"/>
  <c r="R239" i="14"/>
  <c r="E239" i="14"/>
  <c r="S239" i="14"/>
  <c r="L239" i="14" l="1"/>
  <c r="B240" i="14"/>
  <c r="F239" i="14"/>
  <c r="K240" i="14" l="1"/>
  <c r="C240" i="14" s="1"/>
  <c r="D240" i="14" s="1"/>
  <c r="R240" i="14"/>
  <c r="E240" i="14"/>
  <c r="S240" i="14"/>
  <c r="L240" i="14" l="1"/>
  <c r="B241" i="14"/>
  <c r="F240" i="14"/>
  <c r="K241" i="14" l="1"/>
  <c r="C241" i="14" s="1"/>
  <c r="D241" i="14" s="1"/>
  <c r="R241" i="14"/>
  <c r="E241" i="14"/>
  <c r="S241" i="14"/>
  <c r="L241" i="14" l="1"/>
  <c r="B242" i="14"/>
  <c r="F241" i="14"/>
  <c r="K242" i="14" l="1"/>
  <c r="C242" i="14" s="1"/>
  <c r="D242" i="14" s="1"/>
  <c r="R242" i="14"/>
  <c r="E242" i="14"/>
  <c r="S242" i="14"/>
  <c r="L242" i="14" l="1"/>
  <c r="B243" i="14"/>
  <c r="F242" i="14"/>
  <c r="K243" i="14" l="1"/>
  <c r="C243" i="14" s="1"/>
  <c r="D243" i="14" s="1"/>
  <c r="R243" i="14"/>
  <c r="E243" i="14"/>
  <c r="S243" i="14"/>
  <c r="L243" i="14" l="1"/>
  <c r="B244" i="14"/>
  <c r="F243" i="14"/>
  <c r="K244" i="14" l="1"/>
  <c r="C244" i="14" s="1"/>
  <c r="D244" i="14" s="1"/>
  <c r="R244" i="14"/>
  <c r="E244" i="14"/>
  <c r="S244" i="14"/>
  <c r="L244" i="14" l="1"/>
  <c r="B245" i="14"/>
  <c r="F244" i="14"/>
  <c r="K245" i="14" l="1"/>
  <c r="C245" i="14" s="1"/>
  <c r="D245" i="14" s="1"/>
  <c r="R245" i="14"/>
  <c r="E245" i="14"/>
  <c r="S245" i="14"/>
  <c r="L245" i="14" l="1"/>
  <c r="B246" i="14"/>
  <c r="F245" i="14"/>
  <c r="K246" i="14" l="1"/>
  <c r="C246" i="14" s="1"/>
  <c r="D246" i="14" s="1"/>
  <c r="R246" i="14"/>
  <c r="E246" i="14"/>
  <c r="S246" i="14"/>
  <c r="L246" i="14" l="1"/>
  <c r="B247" i="14"/>
  <c r="F246" i="14"/>
  <c r="K247" i="14" l="1"/>
  <c r="C247" i="14" s="1"/>
  <c r="D247" i="14" s="1"/>
  <c r="R247" i="14"/>
  <c r="E247" i="14"/>
  <c r="S247" i="14"/>
  <c r="L247" i="14" l="1"/>
  <c r="B248" i="14"/>
  <c r="F247" i="14"/>
  <c r="K248" i="14" l="1"/>
  <c r="C248" i="14" s="1"/>
  <c r="D248" i="14" s="1"/>
  <c r="R248" i="14"/>
  <c r="E248" i="14"/>
  <c r="S248" i="14"/>
  <c r="L248" i="14" l="1"/>
  <c r="B249" i="14"/>
  <c r="F248" i="14"/>
  <c r="K249" i="14" l="1"/>
  <c r="C249" i="14" s="1"/>
  <c r="D249" i="14" s="1"/>
  <c r="R249" i="14"/>
  <c r="E249" i="14"/>
  <c r="S249" i="14"/>
  <c r="L249" i="14" l="1"/>
  <c r="B250" i="14"/>
  <c r="F249" i="14"/>
  <c r="K250" i="14" l="1"/>
  <c r="C250" i="14" s="1"/>
  <c r="D250" i="14" s="1"/>
  <c r="R250" i="14"/>
  <c r="E250" i="14"/>
  <c r="S250" i="14"/>
  <c r="L250" i="14" l="1"/>
  <c r="B251" i="14"/>
  <c r="F250" i="14"/>
  <c r="K251" i="14" l="1"/>
  <c r="C251" i="14" s="1"/>
  <c r="D251" i="14" s="1"/>
  <c r="R251" i="14"/>
  <c r="E251" i="14"/>
  <c r="S251" i="14"/>
  <c r="L251" i="14" l="1"/>
  <c r="B252" i="14"/>
  <c r="F251" i="14"/>
  <c r="K252" i="14" l="1"/>
  <c r="C252" i="14" s="1"/>
  <c r="D252" i="14" s="1"/>
  <c r="R252" i="14"/>
  <c r="E252" i="14"/>
  <c r="S252" i="14"/>
  <c r="L252" i="14" l="1"/>
  <c r="B253" i="14"/>
  <c r="F252" i="14"/>
  <c r="K253" i="14" l="1"/>
  <c r="C253" i="14" s="1"/>
  <c r="D253" i="14" s="1"/>
  <c r="R253" i="14"/>
  <c r="E253" i="14"/>
  <c r="S253" i="14"/>
  <c r="L253" i="14" l="1"/>
  <c r="B254" i="14"/>
  <c r="F253" i="14"/>
  <c r="K254" i="14" l="1"/>
  <c r="C254" i="14" s="1"/>
  <c r="D254" i="14" s="1"/>
  <c r="R254" i="14"/>
  <c r="E254" i="14"/>
  <c r="S254" i="14"/>
  <c r="L254" i="14" l="1"/>
  <c r="B255" i="14"/>
  <c r="F254" i="14"/>
  <c r="K255" i="14" l="1"/>
  <c r="C255" i="14" s="1"/>
  <c r="D255" i="14" s="1"/>
  <c r="R255" i="14"/>
  <c r="E255" i="14"/>
  <c r="S255" i="14"/>
  <c r="L255" i="14" l="1"/>
  <c r="B256" i="14"/>
  <c r="F255" i="14"/>
  <c r="K256" i="14" l="1"/>
  <c r="C256" i="14" s="1"/>
  <c r="D256" i="14" s="1"/>
  <c r="R256" i="14"/>
  <c r="E256" i="14"/>
  <c r="S256" i="14"/>
  <c r="L256" i="14" l="1"/>
  <c r="B257" i="14"/>
  <c r="F256" i="14"/>
  <c r="K257" i="14" l="1"/>
  <c r="C257" i="14" s="1"/>
  <c r="D257" i="14" s="1"/>
  <c r="R257" i="14"/>
  <c r="E257" i="14"/>
  <c r="S257" i="14"/>
  <c r="L257" i="14" l="1"/>
  <c r="B258" i="14"/>
  <c r="F257" i="14"/>
  <c r="K258" i="14" l="1"/>
  <c r="C258" i="14" s="1"/>
  <c r="D258" i="14" s="1"/>
  <c r="R258" i="14"/>
  <c r="E258" i="14"/>
  <c r="S258" i="14"/>
  <c r="L258" i="14" l="1"/>
  <c r="B259" i="14"/>
  <c r="F258" i="14"/>
  <c r="K259" i="14" l="1"/>
  <c r="C259" i="14" s="1"/>
  <c r="D259" i="14" s="1"/>
  <c r="R259" i="14"/>
  <c r="E259" i="14"/>
  <c r="S259" i="14"/>
  <c r="L259" i="14" l="1"/>
  <c r="B260" i="14"/>
  <c r="F259" i="14"/>
  <c r="K260" i="14" l="1"/>
  <c r="C260" i="14" s="1"/>
  <c r="D260" i="14" s="1"/>
  <c r="R260" i="14"/>
  <c r="E260" i="14"/>
  <c r="S260" i="14"/>
  <c r="L260" i="14" l="1"/>
  <c r="B261" i="14"/>
  <c r="F260" i="14"/>
  <c r="K261" i="14" l="1"/>
  <c r="C261" i="14" s="1"/>
  <c r="D261" i="14" s="1"/>
  <c r="R261" i="14"/>
  <c r="E261" i="14"/>
  <c r="S261" i="14"/>
  <c r="L261" i="14" l="1"/>
  <c r="B262" i="14"/>
  <c r="F261" i="14"/>
  <c r="K262" i="14" l="1"/>
  <c r="C262" i="14" s="1"/>
  <c r="D262" i="14" s="1"/>
  <c r="R262" i="14"/>
  <c r="E262" i="14"/>
  <c r="S262" i="14"/>
  <c r="L262" i="14" l="1"/>
  <c r="B263" i="14"/>
  <c r="F262" i="14"/>
  <c r="K263" i="14" l="1"/>
  <c r="C263" i="14" s="1"/>
  <c r="D263" i="14" s="1"/>
  <c r="R263" i="14"/>
  <c r="E263" i="14"/>
  <c r="S263" i="14"/>
  <c r="L263" i="14" l="1"/>
  <c r="B264" i="14"/>
  <c r="F263" i="14"/>
  <c r="K264" i="14" l="1"/>
  <c r="C264" i="14" s="1"/>
  <c r="D264" i="14" s="1"/>
  <c r="R264" i="14"/>
  <c r="E264" i="14"/>
  <c r="S264" i="14"/>
  <c r="L264" i="14" l="1"/>
  <c r="B265" i="14"/>
  <c r="F264" i="14"/>
  <c r="K265" i="14" l="1"/>
  <c r="C265" i="14" s="1"/>
  <c r="D265" i="14" s="1"/>
  <c r="R265" i="14"/>
  <c r="E265" i="14"/>
  <c r="S265" i="14"/>
  <c r="L265" i="14" l="1"/>
  <c r="B266" i="14"/>
  <c r="F265" i="14"/>
  <c r="K266" i="14" l="1"/>
  <c r="C266" i="14" s="1"/>
  <c r="D266" i="14" s="1"/>
  <c r="R266" i="14"/>
  <c r="E266" i="14"/>
  <c r="S266" i="14"/>
  <c r="L266" i="14" l="1"/>
  <c r="B267" i="14"/>
  <c r="F266" i="14"/>
  <c r="K267" i="14" l="1"/>
  <c r="C267" i="14" s="1"/>
  <c r="D267" i="14" s="1"/>
  <c r="R267" i="14"/>
  <c r="E267" i="14"/>
  <c r="S267" i="14"/>
  <c r="L267" i="14" l="1"/>
  <c r="B268" i="14"/>
  <c r="F267" i="14"/>
  <c r="K268" i="14" l="1"/>
  <c r="C268" i="14" s="1"/>
  <c r="D268" i="14" s="1"/>
  <c r="R268" i="14"/>
  <c r="E268" i="14"/>
  <c r="S268" i="14"/>
  <c r="L268" i="14" l="1"/>
  <c r="B269" i="14"/>
  <c r="F268" i="14"/>
  <c r="K269" i="14" l="1"/>
  <c r="C269" i="14" s="1"/>
  <c r="D269" i="14" s="1"/>
  <c r="R269" i="14"/>
  <c r="E269" i="14"/>
  <c r="S269" i="14"/>
  <c r="L269" i="14" l="1"/>
  <c r="B270" i="14"/>
  <c r="F269" i="14"/>
  <c r="K270" i="14" l="1"/>
  <c r="C270" i="14" s="1"/>
  <c r="D270" i="14" s="1"/>
  <c r="R270" i="14"/>
  <c r="E270" i="14"/>
  <c r="S270" i="14"/>
  <c r="L270" i="14" l="1"/>
  <c r="B271" i="14"/>
  <c r="F270" i="14"/>
  <c r="K271" i="14" l="1"/>
  <c r="C271" i="14" s="1"/>
  <c r="D271" i="14" s="1"/>
  <c r="R271" i="14"/>
  <c r="E271" i="14"/>
  <c r="S271" i="14"/>
  <c r="L271" i="14" l="1"/>
  <c r="B272" i="14"/>
  <c r="K272" i="14"/>
  <c r="C272" i="14" s="1"/>
  <c r="R272" i="14"/>
  <c r="F271" i="14"/>
  <c r="D272" i="14" l="1"/>
  <c r="L272" i="14"/>
  <c r="B273" i="14"/>
  <c r="E272" i="14"/>
  <c r="F272" i="14"/>
  <c r="K273" i="14" l="1"/>
  <c r="C273" i="14" s="1"/>
  <c r="D273" i="14" s="1"/>
  <c r="R273" i="14"/>
  <c r="B274" i="14"/>
  <c r="K274" i="14"/>
  <c r="C274" i="14" s="1"/>
  <c r="R274" i="14"/>
  <c r="S272" i="14"/>
  <c r="E273" i="14"/>
  <c r="S273" i="14"/>
  <c r="D274" i="14" l="1"/>
  <c r="L273" i="14"/>
  <c r="L274" i="14"/>
  <c r="B275" i="14"/>
  <c r="E274" i="14"/>
  <c r="F273" i="14"/>
  <c r="K275" i="14" l="1"/>
  <c r="C275" i="14" s="1"/>
  <c r="D275" i="14" s="1"/>
  <c r="R275" i="14"/>
  <c r="B276" i="14"/>
  <c r="K276" i="14"/>
  <c r="C276" i="14" s="1"/>
  <c r="R276" i="14"/>
  <c r="S274" i="14"/>
  <c r="S275" i="14"/>
  <c r="E275" i="14"/>
  <c r="F274" i="14"/>
  <c r="D276" i="14" l="1"/>
  <c r="L275" i="14"/>
  <c r="L276" i="14"/>
  <c r="B277" i="14"/>
  <c r="E276" i="14"/>
  <c r="F275" i="14"/>
  <c r="K277" i="14" l="1"/>
  <c r="C277" i="14" s="1"/>
  <c r="D277" i="14" s="1"/>
  <c r="R277" i="14"/>
  <c r="S276" i="14"/>
  <c r="S277" i="14"/>
  <c r="E277" i="14"/>
  <c r="F276" i="14"/>
  <c r="L277" i="14" l="1"/>
  <c r="B278" i="14"/>
  <c r="K278" i="14"/>
  <c r="C278" i="14" s="1"/>
  <c r="R278" i="14"/>
  <c r="F277" i="14"/>
  <c r="D278" i="14" l="1"/>
  <c r="L278" i="14"/>
  <c r="B279" i="14"/>
  <c r="E278" i="14"/>
  <c r="F278" i="14"/>
  <c r="K279" i="14" l="1"/>
  <c r="C279" i="14" s="1"/>
  <c r="D279" i="14" s="1"/>
  <c r="R279" i="14"/>
  <c r="B280" i="14"/>
  <c r="K280" i="14"/>
  <c r="C280" i="14" s="1"/>
  <c r="R280" i="14"/>
  <c r="S278" i="14"/>
  <c r="E279" i="14"/>
  <c r="S279" i="14"/>
  <c r="D280" i="14" l="1"/>
  <c r="L279" i="14"/>
  <c r="L280" i="14"/>
  <c r="B281" i="14"/>
  <c r="E280" i="14"/>
  <c r="F279" i="14"/>
  <c r="F280" i="14"/>
  <c r="K281" i="14" l="1"/>
  <c r="C281" i="14" s="1"/>
  <c r="D281" i="14" s="1"/>
  <c r="R281" i="14"/>
  <c r="B282" i="14"/>
  <c r="K282" i="14"/>
  <c r="C282" i="14" s="1"/>
  <c r="R282" i="14"/>
  <c r="S280" i="14"/>
  <c r="S281" i="14"/>
  <c r="E281" i="14"/>
  <c r="D282" i="14" l="1"/>
  <c r="L281" i="14"/>
  <c r="L282" i="14"/>
  <c r="B283" i="14"/>
  <c r="E282" i="14"/>
  <c r="F281" i="14"/>
  <c r="F282" i="14"/>
  <c r="K283" i="14" l="1"/>
  <c r="C283" i="14" s="1"/>
  <c r="D283" i="14" s="1"/>
  <c r="R283" i="14"/>
  <c r="B284" i="14"/>
  <c r="K284" i="14"/>
  <c r="C284" i="14" s="1"/>
  <c r="R284" i="14"/>
  <c r="S282" i="14"/>
  <c r="E283" i="14"/>
  <c r="S283" i="14"/>
  <c r="D284" i="14" l="1"/>
  <c r="L283" i="14"/>
  <c r="L284" i="14"/>
  <c r="B285" i="14"/>
  <c r="E284" i="14"/>
  <c r="F283" i="14"/>
  <c r="F284" i="14"/>
  <c r="K285" i="14" l="1"/>
  <c r="C285" i="14" s="1"/>
  <c r="D285" i="14" s="1"/>
  <c r="R285" i="14"/>
  <c r="B286" i="14"/>
  <c r="K286" i="14"/>
  <c r="C286" i="14" s="1"/>
  <c r="R286" i="14"/>
  <c r="S284" i="14"/>
  <c r="E285" i="14"/>
  <c r="S285" i="14"/>
  <c r="D286" i="14" l="1"/>
  <c r="L285" i="14"/>
  <c r="L286" i="14"/>
  <c r="B287" i="14"/>
  <c r="E286" i="14"/>
  <c r="F285" i="14"/>
  <c r="F286" i="14"/>
  <c r="K287" i="14" l="1"/>
  <c r="C287" i="14" s="1"/>
  <c r="D287" i="14" s="1"/>
  <c r="R287" i="14"/>
  <c r="S286" i="14"/>
  <c r="E287" i="14"/>
  <c r="S287" i="14"/>
  <c r="L287" i="14" l="1"/>
  <c r="B288" i="14"/>
  <c r="F287" i="14"/>
  <c r="K288" i="14" l="1"/>
  <c r="C288" i="14" s="1"/>
  <c r="D288" i="14" s="1"/>
  <c r="R288" i="14"/>
  <c r="E288" i="14"/>
  <c r="S288" i="14"/>
  <c r="L288" i="14" l="1"/>
  <c r="B289" i="14"/>
  <c r="F288" i="14"/>
  <c r="K289" i="14" l="1"/>
  <c r="C289" i="14" s="1"/>
  <c r="D289" i="14" s="1"/>
  <c r="R289" i="14"/>
  <c r="E289" i="14"/>
  <c r="S289" i="14"/>
  <c r="L289" i="14" l="1"/>
  <c r="B290" i="14"/>
  <c r="F289" i="14"/>
  <c r="K290" i="14" l="1"/>
  <c r="C290" i="14" s="1"/>
  <c r="D290" i="14" s="1"/>
  <c r="R290" i="14"/>
  <c r="E290" i="14"/>
  <c r="S290" i="14"/>
  <c r="L290" i="14" l="1"/>
  <c r="B291" i="14"/>
  <c r="F290" i="14"/>
  <c r="K291" i="14" l="1"/>
  <c r="C291" i="14" s="1"/>
  <c r="D291" i="14" s="1"/>
  <c r="R291" i="14"/>
  <c r="E291" i="14"/>
  <c r="S291" i="14"/>
  <c r="L291" i="14" l="1"/>
  <c r="B292" i="14"/>
  <c r="F291" i="14"/>
  <c r="K292" i="14" l="1"/>
  <c r="C292" i="14" s="1"/>
  <c r="D292" i="14" s="1"/>
  <c r="R292" i="14"/>
  <c r="E292" i="14"/>
  <c r="S292" i="14"/>
  <c r="L292" i="14" l="1"/>
  <c r="B293" i="14"/>
  <c r="F292" i="14"/>
  <c r="K293" i="14" l="1"/>
  <c r="C293" i="14" s="1"/>
  <c r="D293" i="14" s="1"/>
  <c r="R293" i="14"/>
  <c r="B294" i="14"/>
  <c r="K294" i="14"/>
  <c r="C294" i="14" s="1"/>
  <c r="R294" i="14"/>
  <c r="S293" i="14"/>
  <c r="E293" i="14"/>
  <c r="D294" i="14" l="1"/>
  <c r="L293" i="14"/>
  <c r="L294" i="14"/>
  <c r="B295" i="14"/>
  <c r="E294" i="14"/>
  <c r="F293" i="14"/>
  <c r="F294" i="14"/>
  <c r="K295" i="14" l="1"/>
  <c r="C295" i="14" s="1"/>
  <c r="D295" i="14" s="1"/>
  <c r="R295" i="14"/>
  <c r="B296" i="14"/>
  <c r="K296" i="14"/>
  <c r="C296" i="14" s="1"/>
  <c r="R296" i="14"/>
  <c r="S294" i="14"/>
  <c r="S295" i="14"/>
  <c r="E295" i="14"/>
  <c r="D296" i="14" l="1"/>
  <c r="L295" i="14"/>
  <c r="L296" i="14"/>
  <c r="B297" i="14"/>
  <c r="E296" i="14"/>
  <c r="F295" i="14"/>
  <c r="K297" i="14" l="1"/>
  <c r="C297" i="14" s="1"/>
  <c r="D297" i="14" s="1"/>
  <c r="R297" i="14"/>
  <c r="B298" i="14"/>
  <c r="K298" i="14"/>
  <c r="C298" i="14" s="1"/>
  <c r="R298" i="14"/>
  <c r="S296" i="14"/>
  <c r="S297" i="14"/>
  <c r="E297" i="14"/>
  <c r="F296" i="14"/>
  <c r="D298" i="14" l="1"/>
  <c r="L297" i="14"/>
  <c r="L298" i="14"/>
  <c r="B299" i="14"/>
  <c r="E298" i="14"/>
  <c r="F297" i="14"/>
  <c r="K299" i="14" l="1"/>
  <c r="C299" i="14" s="1"/>
  <c r="D299" i="14" s="1"/>
  <c r="R299" i="14"/>
  <c r="S298" i="14"/>
  <c r="S299" i="14"/>
  <c r="E299" i="14"/>
  <c r="F298" i="14"/>
  <c r="L299" i="14" l="1"/>
  <c r="B300" i="14"/>
  <c r="F299" i="14"/>
  <c r="K300" i="14" l="1"/>
  <c r="C300" i="14" s="1"/>
  <c r="D300" i="14" s="1"/>
  <c r="R300" i="14"/>
  <c r="E300" i="14"/>
  <c r="S300" i="14"/>
  <c r="L300" i="14" l="1"/>
  <c r="B301" i="14"/>
  <c r="F300" i="14"/>
  <c r="K301" i="14" l="1"/>
  <c r="C301" i="14" s="1"/>
  <c r="D301" i="14" s="1"/>
  <c r="R301" i="14"/>
  <c r="B302" i="14"/>
  <c r="K302" i="14"/>
  <c r="C302" i="14" s="1"/>
  <c r="R302" i="14"/>
  <c r="S301" i="14"/>
  <c r="E301" i="14"/>
  <c r="D302" i="14" l="1"/>
  <c r="L301" i="14"/>
  <c r="L302" i="14"/>
  <c r="B303" i="14"/>
  <c r="E302" i="14"/>
  <c r="F301" i="14"/>
  <c r="K303" i="14" l="1"/>
  <c r="C303" i="14" s="1"/>
  <c r="D303" i="14" s="1"/>
  <c r="R303" i="14"/>
  <c r="B304" i="14"/>
  <c r="K304" i="14"/>
  <c r="C304" i="14" s="1"/>
  <c r="R304" i="14"/>
  <c r="S302" i="14"/>
  <c r="E303" i="14"/>
  <c r="S303" i="14"/>
  <c r="F302" i="14"/>
  <c r="D304" i="14" l="1"/>
  <c r="L303" i="14"/>
  <c r="L304" i="14"/>
  <c r="B305" i="14"/>
  <c r="E304" i="14"/>
  <c r="F303" i="14"/>
  <c r="K305" i="14" l="1"/>
  <c r="C305" i="14" s="1"/>
  <c r="D305" i="14" s="1"/>
  <c r="R305" i="14"/>
  <c r="S304" i="14"/>
  <c r="S305" i="14"/>
  <c r="E305" i="14"/>
  <c r="F304" i="14"/>
  <c r="L305" i="14" l="1"/>
  <c r="B306" i="14"/>
  <c r="F305" i="14"/>
  <c r="K306" i="14" l="1"/>
  <c r="C306" i="14" s="1"/>
  <c r="D306" i="14" s="1"/>
  <c r="R306" i="14"/>
  <c r="B307" i="14"/>
  <c r="K307" i="14"/>
  <c r="C307" i="14" s="1"/>
  <c r="R307" i="14"/>
  <c r="S306" i="14"/>
  <c r="E306" i="14"/>
  <c r="D307" i="14" l="1"/>
  <c r="L306" i="14"/>
  <c r="L307" i="14"/>
  <c r="B308" i="14"/>
  <c r="E307" i="14"/>
  <c r="F306" i="14"/>
  <c r="K308" i="14" l="1"/>
  <c r="C308" i="14" s="1"/>
  <c r="D308" i="14" s="1"/>
  <c r="R308" i="14"/>
  <c r="B309" i="14"/>
  <c r="K309" i="14"/>
  <c r="C309" i="14" s="1"/>
  <c r="R309" i="14"/>
  <c r="S307" i="14"/>
  <c r="E308" i="14"/>
  <c r="S308" i="14"/>
  <c r="F307" i="14"/>
  <c r="D309" i="14" l="1"/>
  <c r="L308" i="14"/>
  <c r="L309" i="14"/>
  <c r="B310" i="14"/>
  <c r="E309" i="14"/>
  <c r="F308" i="14"/>
  <c r="F309" i="14"/>
  <c r="K310" i="14" l="1"/>
  <c r="C310" i="14" s="1"/>
  <c r="D310" i="14" s="1"/>
  <c r="R310" i="14"/>
  <c r="B311" i="14"/>
  <c r="K311" i="14"/>
  <c r="C311" i="14" s="1"/>
  <c r="R311" i="14"/>
  <c r="S309" i="14"/>
  <c r="S310" i="14"/>
  <c r="E310" i="14"/>
  <c r="D311" i="14" l="1"/>
  <c r="L310" i="14"/>
  <c r="L311" i="14"/>
  <c r="B312" i="14"/>
  <c r="E311" i="14"/>
  <c r="F311" i="14"/>
  <c r="F310" i="14"/>
  <c r="K312" i="14" l="1"/>
  <c r="C312" i="14" s="1"/>
  <c r="D312" i="14" s="1"/>
  <c r="R312" i="14"/>
  <c r="B313" i="14"/>
  <c r="K313" i="14"/>
  <c r="C313" i="14" s="1"/>
  <c r="R313" i="14"/>
  <c r="S311" i="14"/>
  <c r="E312" i="14"/>
  <c r="S312" i="14"/>
  <c r="D313" i="14" l="1"/>
  <c r="L312" i="14"/>
  <c r="L313" i="14"/>
  <c r="B314" i="14"/>
  <c r="E313" i="14"/>
  <c r="F312" i="14"/>
  <c r="F313" i="14"/>
  <c r="K314" i="14" l="1"/>
  <c r="C314" i="14" s="1"/>
  <c r="D314" i="14" s="1"/>
  <c r="R314" i="14"/>
  <c r="S313" i="14"/>
  <c r="S314" i="14"/>
  <c r="E314" i="14"/>
  <c r="L314" i="14" l="1"/>
  <c r="B315" i="14"/>
  <c r="F314" i="14"/>
  <c r="K315" i="14" l="1"/>
  <c r="C315" i="14" s="1"/>
  <c r="D315" i="14" s="1"/>
  <c r="R315" i="14"/>
  <c r="B316" i="14"/>
  <c r="K316" i="14"/>
  <c r="C316" i="14" s="1"/>
  <c r="R316" i="14"/>
  <c r="E315" i="14"/>
  <c r="S315" i="14"/>
  <c r="D316" i="14" l="1"/>
  <c r="L315" i="14"/>
  <c r="L316" i="14"/>
  <c r="B317" i="14"/>
  <c r="E316" i="14"/>
  <c r="F316" i="14"/>
  <c r="F315" i="14"/>
  <c r="K317" i="14" l="1"/>
  <c r="C317" i="14" s="1"/>
  <c r="D317" i="14" s="1"/>
  <c r="R317" i="14"/>
  <c r="S316" i="14"/>
  <c r="S317" i="14"/>
  <c r="E317" i="14"/>
  <c r="L317" i="14" l="1"/>
  <c r="B318" i="14"/>
  <c r="F317" i="14"/>
  <c r="K318" i="14" l="1"/>
  <c r="C318" i="14" s="1"/>
  <c r="D318" i="14" s="1"/>
  <c r="R318" i="14"/>
  <c r="B319" i="14"/>
  <c r="K319" i="14"/>
  <c r="C319" i="14" s="1"/>
  <c r="R319" i="14"/>
  <c r="S318" i="14"/>
  <c r="E318" i="14"/>
  <c r="D319" i="14" l="1"/>
  <c r="L318" i="14"/>
  <c r="L319" i="14"/>
  <c r="B320" i="14"/>
  <c r="E319" i="14"/>
  <c r="F318" i="14"/>
  <c r="F319" i="14"/>
  <c r="K320" i="14" l="1"/>
  <c r="C320" i="14" s="1"/>
  <c r="D320" i="14" s="1"/>
  <c r="R320" i="14"/>
  <c r="B321" i="14"/>
  <c r="K321" i="14"/>
  <c r="C321" i="14" s="1"/>
  <c r="R321" i="14"/>
  <c r="S319" i="14"/>
  <c r="E320" i="14"/>
  <c r="S320" i="14"/>
  <c r="D321" i="14" l="1"/>
  <c r="L320" i="14"/>
  <c r="L321" i="14"/>
  <c r="B322" i="14"/>
  <c r="E321" i="14"/>
  <c r="F321" i="14"/>
  <c r="F320" i="14"/>
  <c r="K322" i="14" l="1"/>
  <c r="C322" i="14" s="1"/>
  <c r="D322" i="14" s="1"/>
  <c r="R322" i="14"/>
  <c r="S321" i="14"/>
  <c r="E322" i="14"/>
  <c r="S322" i="14"/>
  <c r="L322" i="14" l="1"/>
  <c r="B323" i="14"/>
  <c r="F322" i="14"/>
  <c r="K323" i="14" l="1"/>
  <c r="C323" i="14" s="1"/>
  <c r="D323" i="14" s="1"/>
  <c r="R323" i="14"/>
  <c r="B324" i="14"/>
  <c r="K324" i="14"/>
  <c r="C324" i="14" s="1"/>
  <c r="R324" i="14"/>
  <c r="E323" i="14"/>
  <c r="S323" i="14"/>
  <c r="D324" i="14" l="1"/>
  <c r="L323" i="14"/>
  <c r="L324" i="14"/>
  <c r="B325" i="14"/>
  <c r="E324" i="14"/>
  <c r="F323" i="14"/>
  <c r="F324" i="14"/>
  <c r="K325" i="14" l="1"/>
  <c r="C325" i="14" s="1"/>
  <c r="D325" i="14" s="1"/>
  <c r="R325" i="14"/>
  <c r="B326" i="14"/>
  <c r="K326" i="14"/>
  <c r="C326" i="14" s="1"/>
  <c r="R326" i="14"/>
  <c r="S324" i="14"/>
  <c r="E325" i="14"/>
  <c r="S325" i="14"/>
  <c r="D326" i="14" l="1"/>
  <c r="L325" i="14"/>
  <c r="L326" i="14"/>
  <c r="B327" i="14"/>
  <c r="E326" i="14"/>
  <c r="F325" i="14"/>
  <c r="K327" i="14" l="1"/>
  <c r="C327" i="14" s="1"/>
  <c r="D327" i="14" s="1"/>
  <c r="R327" i="14"/>
  <c r="B328" i="14"/>
  <c r="K328" i="14"/>
  <c r="C328" i="14" s="1"/>
  <c r="R328" i="14"/>
  <c r="S326" i="14"/>
  <c r="E327" i="14"/>
  <c r="S327" i="14"/>
  <c r="F326" i="14"/>
  <c r="D328" i="14" l="1"/>
  <c r="L327" i="14"/>
  <c r="L328" i="14"/>
  <c r="M5" i="14" s="1" a="1"/>
  <c r="O2" i="13"/>
  <c r="E328" i="14"/>
  <c r="F327"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S328" i="14"/>
  <c r="X5" i="13"/>
  <c r="F328" i="14"/>
  <c r="E6" i="13" l="1"/>
  <c r="N6" i="13"/>
  <c r="R6" i="13"/>
  <c r="S6" i="13" s="1"/>
  <c r="W6" i="13"/>
  <c r="X6" i="13"/>
  <c r="G5" i="13"/>
  <c r="E7" i="13" l="1"/>
  <c r="N7" i="13"/>
  <c r="R7" i="13"/>
  <c r="S7" i="13" s="1"/>
  <c r="W7" i="13"/>
  <c r="X7" i="13"/>
  <c r="G6" i="13"/>
  <c r="E8" i="13" l="1"/>
  <c r="N8" i="13"/>
  <c r="R8" i="13"/>
  <c r="S8" i="13" s="1"/>
  <c r="W8" i="13"/>
  <c r="X8" i="13"/>
  <c r="G7" i="13"/>
  <c r="E9" i="13" l="1"/>
  <c r="N9" i="13"/>
  <c r="R9" i="13"/>
  <c r="S9" i="13" s="1"/>
  <c r="W9" i="13"/>
  <c r="X9" i="13"/>
  <c r="G8" i="13"/>
  <c r="E10" i="13" l="1"/>
  <c r="N10" i="13"/>
  <c r="R10" i="13"/>
  <c r="S10" i="13" s="1"/>
  <c r="W10" i="13"/>
  <c r="X10" i="13"/>
  <c r="G9" i="13"/>
  <c r="E11" i="13" l="1"/>
  <c r="N11" i="13"/>
  <c r="O5" i="13" s="1" a="1"/>
  <c r="O11" i="13" s="1"/>
  <c r="R11" i="13"/>
  <c r="S11" i="13" s="1"/>
  <c r="W11" i="13"/>
  <c r="X11" i="13"/>
  <c r="G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15" i="7"/>
  <c r="I8" i="10"/>
  <c r="I27" i="11"/>
  <c r="I39" i="9"/>
  <c r="I16" i="11"/>
  <c r="I29" i="8"/>
  <c r="I12" i="11"/>
  <c r="I36" i="10"/>
  <c r="I17" i="7"/>
  <c r="I19" i="11"/>
  <c r="I28" i="9"/>
  <c r="I9" i="11"/>
  <c r="I18" i="8"/>
  <c r="I16" i="7"/>
  <c r="I28" i="10"/>
  <c r="I35" i="10"/>
  <c r="I19" i="9"/>
  <c r="I23" i="11"/>
  <c r="I31" i="10"/>
  <c r="I22" i="11"/>
  <c r="I30" i="9"/>
  <c r="I7" i="11"/>
  <c r="I22" i="10"/>
  <c r="I10" i="8"/>
  <c r="I37" i="11"/>
  <c r="I32" i="8"/>
  <c r="I21" i="7"/>
  <c r="I35" i="7"/>
  <c r="I6" i="8"/>
  <c r="I6" i="7"/>
  <c r="I28" i="8"/>
  <c r="I4" i="8"/>
  <c r="I29" i="9"/>
  <c r="I4" i="10"/>
  <c r="I14" i="7"/>
  <c r="I18" i="10"/>
  <c r="I3" i="10"/>
  <c r="I10" i="11"/>
  <c r="I17" i="10"/>
  <c r="I39" i="8"/>
  <c r="I7" i="7"/>
  <c r="I13" i="9"/>
  <c r="I37" i="9"/>
  <c r="I37" i="8"/>
  <c r="I21" i="9"/>
  <c r="I4" i="9"/>
  <c r="I8" i="11"/>
  <c r="I13" i="8"/>
  <c r="I19" i="7"/>
  <c r="I14" i="11"/>
  <c r="I16" i="9"/>
  <c r="I5" i="7"/>
  <c r="I17" i="8"/>
  <c r="I29" i="10"/>
  <c r="I6" i="10"/>
  <c r="I8" i="9"/>
  <c r="I3" i="11"/>
  <c r="I30" i="10"/>
  <c r="I34" i="10"/>
  <c r="I29" i="7"/>
  <c r="I33" i="8"/>
  <c r="I33" i="7"/>
  <c r="I12" i="8"/>
  <c r="I7" i="8"/>
  <c r="I19" i="10"/>
  <c r="I34" i="11"/>
  <c r="I16" i="8"/>
  <c r="I7" i="10"/>
  <c r="I31" i="8"/>
  <c r="I37" i="7"/>
  <c r="I8" i="8"/>
  <c r="I37" i="10"/>
  <c r="I4" i="7"/>
  <c r="I14" i="8"/>
  <c r="I35" i="11"/>
  <c r="I29" i="11"/>
  <c r="I31" i="9"/>
  <c r="I3" i="9"/>
  <c r="I12" i="9"/>
  <c r="I24" i="7"/>
  <c r="I39" i="7"/>
  <c r="I3" i="8"/>
  <c r="I32" i="10"/>
  <c r="I39" i="10"/>
  <c r="I38" i="10"/>
  <c r="I21" i="10"/>
  <c r="I9" i="8"/>
  <c r="I36" i="9"/>
  <c r="I38" i="9"/>
  <c r="I20" i="10"/>
  <c r="I18" i="7"/>
  <c r="I25" i="8"/>
  <c r="I30" i="11"/>
  <c r="I20" i="9"/>
  <c r="I21" i="8"/>
  <c r="I34" i="7"/>
  <c r="I8" i="7"/>
  <c r="I22" i="7"/>
  <c r="I34" i="9"/>
  <c r="I5" i="9"/>
  <c r="I12" i="10"/>
  <c r="I3" i="7"/>
  <c r="I11" i="10"/>
  <c r="I23" i="8"/>
  <c r="I19" i="8"/>
  <c r="I25" i="9"/>
  <c r="I20" i="11"/>
  <c r="I32" i="11"/>
  <c r="I10" i="10"/>
  <c r="I36" i="7"/>
  <c r="I5" i="8"/>
  <c r="I14" i="10"/>
  <c r="I28" i="7"/>
  <c r="I11" i="7"/>
  <c r="I10" i="7"/>
  <c r="I9" i="7"/>
  <c r="I11" i="9"/>
  <c r="I15" i="11"/>
  <c r="I23" i="10"/>
  <c r="I24" i="10"/>
  <c r="I34" i="8"/>
  <c r="I11" i="8"/>
  <c r="I38" i="8"/>
  <c r="I22" i="8"/>
  <c r="I33" i="11"/>
  <c r="I38" i="11"/>
  <c r="I12" i="7"/>
  <c r="I24" i="8"/>
  <c r="I36" i="8"/>
  <c r="I17" i="11"/>
  <c r="I32" i="7"/>
  <c r="I14" i="9"/>
  <c r="I22" i="9"/>
  <c r="I27" i="10"/>
  <c r="I26" i="10"/>
  <c r="I25" i="11"/>
  <c r="I15" i="8"/>
  <c r="I9" i="10"/>
  <c r="I39" i="11"/>
  <c r="I26" i="7"/>
  <c r="I11" i="11"/>
  <c r="I7" i="9"/>
  <c r="I21" i="11"/>
  <c r="I4" i="11"/>
  <c r="I27" i="9"/>
  <c r="I17" i="9"/>
  <c r="I20" i="7"/>
  <c r="I9" i="9"/>
  <c r="I13" i="11"/>
  <c r="I30" i="8"/>
  <c r="I23" i="9"/>
  <c r="I23" i="7"/>
  <c r="I16" i="10"/>
  <c r="I26" i="11"/>
  <c r="I31" i="11"/>
  <c r="I33" i="9"/>
  <c r="I5" i="10"/>
  <c r="I36" i="11"/>
  <c r="I25" i="7"/>
  <c r="I33" i="10"/>
  <c r="I5" i="11"/>
  <c r="I27" i="8"/>
  <c r="I30" i="7"/>
  <c r="I13" i="10"/>
  <c r="I25" i="10"/>
  <c r="I27" i="7"/>
  <c r="I18" i="9"/>
  <c r="I13" i="7"/>
  <c r="I15" i="9"/>
  <c r="I24" i="9"/>
  <c r="I15" i="10"/>
  <c r="I18" i="11"/>
  <c r="I6" i="11"/>
  <c r="I38" i="7"/>
  <c r="I31" i="7"/>
  <c r="I10" i="9"/>
  <c r="I35" i="9"/>
  <c r="I32" i="9"/>
  <c r="I35" i="8"/>
  <c r="I26" i="8"/>
  <c r="I24" i="11"/>
  <c r="I6" i="9"/>
  <c r="I28" i="11"/>
  <c r="I26" i="9"/>
  <c r="I20" i="8"/>
  <c r="G11" i="13"/>
  <c r="Z7" i="12" l="1"/>
  <c r="Z8" i="12"/>
  <c r="O8" i="12"/>
  <c r="Z6" i="12"/>
  <c r="O7" i="12"/>
  <c r="O6" i="12"/>
  <c r="E8" i="12" l="1"/>
  <c r="E5" i="12"/>
  <c r="E6" i="12"/>
  <c r="E7" i="12"/>
  <c r="I3" i="5"/>
  <c r="F7" i="12"/>
  <c r="B2" i="5"/>
  <c r="F6" i="12"/>
  <c r="L4" i="30"/>
  <c r="F5" i="12"/>
  <c r="F8" i="12"/>
  <c r="B2" i="6"/>
  <c r="B4" i="6" l="1"/>
  <c r="B4" i="5"/>
  <c r="F221" i="4"/>
  <c r="F234" i="4"/>
  <c r="F88" i="4"/>
  <c r="F69" i="4"/>
  <c r="F16" i="4"/>
  <c r="F106" i="4"/>
  <c r="F71" i="4"/>
  <c r="F152" i="4"/>
  <c r="F50" i="4"/>
  <c r="F70" i="4"/>
  <c r="F159" i="4"/>
  <c r="F266" i="4"/>
  <c r="F53" i="4"/>
  <c r="F241" i="4"/>
  <c r="F173" i="4"/>
  <c r="F255" i="4"/>
  <c r="F117" i="4"/>
  <c r="F128" i="4"/>
  <c r="B3" i="4"/>
  <c r="F49" i="4"/>
  <c r="F122" i="4"/>
  <c r="F216" i="4"/>
  <c r="F244" i="4"/>
  <c r="F100" i="4"/>
  <c r="F21" i="4"/>
  <c r="F102" i="4"/>
  <c r="F61" i="4"/>
  <c r="F267" i="4"/>
  <c r="F30" i="4"/>
  <c r="F248" i="4"/>
  <c r="F237" i="4"/>
  <c r="F225" i="4"/>
  <c r="F57" i="4"/>
  <c r="F125" i="4"/>
  <c r="F11" i="4"/>
  <c r="F124" i="4"/>
  <c r="F72" i="4"/>
  <c r="F40" i="4"/>
  <c r="F153" i="4"/>
  <c r="F58" i="4"/>
  <c r="F205" i="4"/>
  <c r="F97" i="4"/>
  <c r="F142" i="4"/>
  <c r="I2" i="4"/>
  <c r="F145" i="4"/>
  <c r="F108" i="4"/>
  <c r="F123" i="4"/>
  <c r="F27" i="4"/>
  <c r="F48" i="4"/>
  <c r="F55" i="4"/>
  <c r="F52" i="4"/>
  <c r="F251" i="4"/>
  <c r="F67" i="4"/>
  <c r="F160" i="4"/>
  <c r="F23" i="4"/>
  <c r="F121" i="4"/>
  <c r="F186" i="4"/>
  <c r="F228" i="4"/>
  <c r="F198" i="4"/>
  <c r="F47" i="4"/>
  <c r="F271" i="4"/>
  <c r="F34" i="4"/>
  <c r="F194" i="4"/>
  <c r="F8" i="4"/>
  <c r="F204" i="4"/>
  <c r="F212" i="4"/>
  <c r="F46" i="4"/>
  <c r="F144" i="4"/>
  <c r="F191" i="4"/>
  <c r="F272" i="4"/>
  <c r="F91" i="4"/>
  <c r="F200" i="4"/>
  <c r="F25" i="4"/>
  <c r="F101" i="4"/>
  <c r="F13" i="4"/>
  <c r="F254" i="4"/>
  <c r="F226" i="4"/>
  <c r="F250" i="4"/>
  <c r="F146" i="4"/>
  <c r="F277" i="4"/>
  <c r="F174" i="4"/>
  <c r="F74" i="4"/>
  <c r="F276" i="4"/>
  <c r="F22" i="4"/>
  <c r="F64" i="4"/>
  <c r="F41" i="4"/>
  <c r="F38" i="4"/>
  <c r="F78" i="4"/>
  <c r="F203" i="4"/>
  <c r="F229" i="4"/>
  <c r="F143" i="4"/>
  <c r="F165" i="4"/>
  <c r="F105" i="4"/>
  <c r="F7" i="4"/>
  <c r="F223" i="4"/>
  <c r="F156" i="4"/>
  <c r="F190" i="4"/>
  <c r="F249" i="4"/>
  <c r="F270" i="4"/>
  <c r="F95" i="4"/>
  <c r="F10" i="4"/>
  <c r="F99" i="4"/>
  <c r="F139" i="4"/>
  <c r="F192" i="4"/>
  <c r="F202" i="4"/>
  <c r="F73" i="4"/>
  <c r="F257" i="4"/>
  <c r="F104" i="4"/>
  <c r="F114" i="4"/>
  <c r="F96" i="4"/>
  <c r="F180" i="4"/>
  <c r="F243" i="4"/>
  <c r="F103" i="4"/>
  <c r="F107" i="4"/>
  <c r="F29" i="4"/>
  <c r="F42" i="4"/>
  <c r="F166" i="4"/>
  <c r="F275" i="4"/>
  <c r="F87" i="4"/>
  <c r="F77" i="4"/>
  <c r="F240" i="4"/>
  <c r="F197" i="4"/>
  <c r="F89" i="4"/>
  <c r="F127" i="4"/>
  <c r="F185" i="4"/>
  <c r="F147" i="4"/>
  <c r="F75" i="4"/>
  <c r="F183" i="4"/>
  <c r="F261" i="4"/>
  <c r="F28" i="4"/>
  <c r="F164" i="4"/>
  <c r="F215" i="4"/>
  <c r="AA7" i="12"/>
  <c r="F110" i="4"/>
  <c r="F85" i="4"/>
  <c r="F135" i="4"/>
  <c r="F84" i="4"/>
  <c r="F195" i="4"/>
  <c r="F68" i="4"/>
  <c r="F37" i="4"/>
  <c r="F109" i="4"/>
  <c r="F176" i="4"/>
  <c r="F220" i="4"/>
  <c r="F154" i="4"/>
  <c r="F150" i="4"/>
  <c r="F33" i="4"/>
  <c r="F140" i="4"/>
  <c r="F171" i="4"/>
  <c r="F263" i="4"/>
  <c r="F162" i="4"/>
  <c r="F59" i="4"/>
  <c r="F236" i="4"/>
  <c r="F24" i="4"/>
  <c r="F90" i="4"/>
  <c r="F158" i="4"/>
  <c r="F86" i="4"/>
  <c r="F14" i="4"/>
  <c r="F137" i="4"/>
  <c r="F45" i="4"/>
  <c r="F252" i="4"/>
  <c r="F157" i="4"/>
  <c r="F169" i="4"/>
  <c r="F136" i="4"/>
  <c r="F43" i="4"/>
  <c r="F196" i="4"/>
  <c r="F260" i="4"/>
  <c r="F62" i="4"/>
  <c r="F12" i="4"/>
  <c r="F207" i="4"/>
  <c r="F219" i="4"/>
  <c r="F178" i="4"/>
  <c r="F245" i="4"/>
  <c r="F120" i="4"/>
  <c r="F233" i="4"/>
  <c r="F141" i="4"/>
  <c r="F259" i="4"/>
  <c r="F278" i="4"/>
  <c r="F280" i="4"/>
  <c r="F131" i="4"/>
  <c r="F242" i="4"/>
  <c r="F206" i="4"/>
  <c r="F56" i="4"/>
  <c r="F199" i="4"/>
  <c r="F231" i="4"/>
  <c r="F265" i="4"/>
  <c r="F247" i="4"/>
  <c r="F79" i="4"/>
  <c r="F167" i="4"/>
  <c r="F129" i="4"/>
  <c r="F163" i="4"/>
  <c r="F168" i="4"/>
  <c r="F258" i="4"/>
  <c r="F15" i="4"/>
  <c r="F211" i="4"/>
  <c r="F182" i="4"/>
  <c r="F273" i="4"/>
  <c r="F134" i="4"/>
  <c r="F264" i="4"/>
  <c r="F119" i="4"/>
  <c r="F262" i="4"/>
  <c r="F181" i="4"/>
  <c r="F132" i="4"/>
  <c r="F155" i="4"/>
  <c r="F63" i="4"/>
  <c r="F238" i="4"/>
  <c r="F31" i="4"/>
  <c r="AA8" i="12"/>
  <c r="F6" i="4"/>
  <c r="F246" i="4"/>
  <c r="F112" i="4"/>
  <c r="F210" i="4"/>
  <c r="F65" i="4"/>
  <c r="F115" i="4"/>
  <c r="F189" i="4"/>
  <c r="F208" i="4"/>
  <c r="F35" i="4"/>
  <c r="F161" i="4"/>
  <c r="F201" i="4"/>
  <c r="F130" i="4"/>
  <c r="F235" i="4"/>
  <c r="F217" i="4"/>
  <c r="F222" i="4"/>
  <c r="F232" i="4"/>
  <c r="F18" i="4"/>
  <c r="F133" i="4"/>
  <c r="F149" i="4"/>
  <c r="F175" i="4"/>
  <c r="F82" i="4"/>
  <c r="F93" i="4"/>
  <c r="F92" i="4"/>
  <c r="F239" i="4"/>
  <c r="F193" i="4"/>
  <c r="F170" i="4"/>
  <c r="F177" i="4"/>
  <c r="F20" i="4"/>
  <c r="F179" i="4"/>
  <c r="F116" i="4"/>
  <c r="F213" i="4"/>
  <c r="F268" i="4"/>
  <c r="F253" i="4"/>
  <c r="F39" i="4"/>
  <c r="AA6" i="12"/>
  <c r="F19" i="4"/>
  <c r="F188" i="4"/>
  <c r="F126" i="4"/>
  <c r="F60" i="4"/>
  <c r="F36" i="4"/>
  <c r="F256" i="4"/>
  <c r="F111" i="4"/>
  <c r="F66" i="4"/>
  <c r="F51" i="4"/>
  <c r="F9" i="4"/>
  <c r="F151" i="4"/>
  <c r="F224" i="4"/>
  <c r="F98" i="4"/>
  <c r="F172" i="4"/>
  <c r="F269" i="4"/>
  <c r="F227" i="4"/>
  <c r="F274" i="4"/>
  <c r="F214" i="4"/>
  <c r="F76" i="4"/>
  <c r="F54" i="4"/>
  <c r="F218" i="4"/>
  <c r="F80" i="4"/>
  <c r="F148" i="4"/>
  <c r="AA5" i="12"/>
  <c r="F83" i="4"/>
  <c r="F94" i="4"/>
  <c r="F32" i="4"/>
  <c r="F187" i="4"/>
  <c r="F26" i="4"/>
  <c r="F81" i="4"/>
  <c r="F138" i="4"/>
  <c r="F118" i="4"/>
  <c r="F184" i="4"/>
  <c r="F44" i="4"/>
  <c r="F230" i="4"/>
  <c r="F17" i="4"/>
  <c r="F209" i="4"/>
  <c r="F279" i="4"/>
  <c r="F113" i="4"/>
  <c r="R141" i="39"/>
  <c r="AA19" i="47"/>
  <c r="AA253" i="49"/>
  <c r="J12" i="9"/>
  <c r="G104" i="34"/>
  <c r="Q240" i="33"/>
  <c r="O12" i="48"/>
  <c r="N368" i="49"/>
  <c r="AA11" i="48"/>
  <c r="N11" i="53"/>
  <c r="G5" i="39"/>
  <c r="R430" i="33"/>
  <c r="Y5" i="50"/>
  <c r="G51" i="34"/>
  <c r="N22" i="49"/>
  <c r="R261" i="38"/>
  <c r="AF98" i="43"/>
  <c r="R110" i="37"/>
  <c r="X13" i="51"/>
  <c r="S120" i="38"/>
  <c r="S54" i="48"/>
  <c r="X59" i="48"/>
  <c r="Q332" i="33"/>
  <c r="E4" i="42"/>
  <c r="R318" i="33"/>
  <c r="J71" i="49"/>
  <c r="B98" i="34"/>
  <c r="X17" i="50"/>
  <c r="AB307" i="49"/>
  <c r="T12" i="53"/>
  <c r="T239" i="49"/>
  <c r="C74" i="34"/>
  <c r="R24" i="33"/>
  <c r="O277" i="49"/>
  <c r="H28" i="59"/>
  <c r="X6" i="47"/>
  <c r="AB296" i="49"/>
  <c r="O8" i="49"/>
  <c r="AG114" i="43"/>
  <c r="T68" i="53"/>
  <c r="E12" i="39"/>
  <c r="R153" i="33"/>
  <c r="C21" i="39"/>
  <c r="N14" i="48"/>
  <c r="Q152" i="33"/>
  <c r="S26" i="49"/>
  <c r="Q143" i="33"/>
  <c r="T53" i="48"/>
  <c r="O339" i="49"/>
  <c r="Y189" i="49"/>
  <c r="Q252" i="33"/>
  <c r="R33" i="33"/>
  <c r="Y82" i="50"/>
  <c r="AB31" i="48"/>
  <c r="F18" i="39"/>
  <c r="AB84" i="53"/>
  <c r="K13" i="33"/>
  <c r="J11" i="49"/>
  <c r="Q254" i="33"/>
  <c r="S240" i="39"/>
  <c r="R133" i="38"/>
  <c r="AB66" i="49"/>
  <c r="Y76" i="47"/>
  <c r="X53" i="47"/>
  <c r="N351" i="49"/>
  <c r="S205" i="38"/>
  <c r="N346" i="49"/>
  <c r="R205" i="37"/>
  <c r="G32" i="24"/>
  <c r="F4" i="39"/>
  <c r="AG70" i="43"/>
  <c r="X98" i="50"/>
  <c r="Y139" i="49"/>
  <c r="T58" i="50"/>
  <c r="AG35" i="42"/>
  <c r="S111" i="49"/>
  <c r="M57" i="51"/>
  <c r="X202" i="49"/>
  <c r="R401" i="33"/>
  <c r="Q64" i="33"/>
  <c r="M36" i="41"/>
  <c r="Z220" i="49"/>
  <c r="D9" i="35"/>
  <c r="X377" i="49"/>
  <c r="S86" i="38"/>
  <c r="R39" i="39"/>
  <c r="S143" i="37"/>
  <c r="E29" i="41"/>
  <c r="Z46" i="51"/>
  <c r="G27" i="34"/>
  <c r="AF19" i="50"/>
  <c r="S5" i="47"/>
  <c r="S53" i="49"/>
  <c r="Y211" i="49"/>
  <c r="N6" i="39"/>
  <c r="AG14" i="42"/>
  <c r="G28" i="24"/>
  <c r="N183" i="49"/>
  <c r="Q25" i="51"/>
  <c r="O82" i="48"/>
  <c r="Q30" i="33"/>
  <c r="K19" i="44"/>
  <c r="AG83" i="43"/>
  <c r="R24" i="37"/>
  <c r="F3" i="37"/>
  <c r="Q23" i="33"/>
  <c r="D2" i="6"/>
  <c r="I7" i="25"/>
  <c r="AF101" i="43"/>
  <c r="O45" i="49"/>
  <c r="L7" i="40"/>
  <c r="T11" i="53"/>
  <c r="N7" i="50"/>
  <c r="AF192" i="42"/>
  <c r="R221" i="33"/>
  <c r="S59" i="53"/>
  <c r="J29" i="49"/>
  <c r="R164" i="37"/>
  <c r="AF111" i="42"/>
  <c r="J23" i="11"/>
  <c r="AF20" i="42"/>
  <c r="J64" i="53"/>
  <c r="S246" i="39"/>
  <c r="R21" i="39"/>
  <c r="R127" i="37"/>
  <c r="X23" i="51"/>
  <c r="R157" i="33"/>
  <c r="AG66" i="43"/>
  <c r="T73" i="48"/>
  <c r="R153" i="38"/>
  <c r="R134" i="39"/>
  <c r="Q115" i="33"/>
  <c r="E28" i="41"/>
  <c r="M18" i="41"/>
  <c r="E31" i="41"/>
  <c r="G4" i="39"/>
  <c r="S40" i="38"/>
  <c r="J4" i="34" a="1"/>
  <c r="Z72" i="49"/>
  <c r="S92" i="50"/>
  <c r="AA72" i="49"/>
  <c r="S206" i="37"/>
  <c r="R155" i="33"/>
  <c r="AG57" i="42"/>
  <c r="X89" i="49"/>
  <c r="AG67" i="43"/>
  <c r="O282" i="49"/>
  <c r="AF16" i="48"/>
  <c r="Y52" i="51"/>
  <c r="AA25" i="47"/>
  <c r="O25" i="49"/>
  <c r="V52" i="51"/>
  <c r="J81" i="53"/>
  <c r="AB69" i="50"/>
  <c r="J12" i="37"/>
  <c r="Q46" i="51"/>
  <c r="J33" i="8"/>
  <c r="J27" i="24"/>
  <c r="AB56" i="49"/>
  <c r="F11" i="38"/>
  <c r="Z85" i="53"/>
  <c r="AF58" i="43"/>
  <c r="Y358" i="49"/>
  <c r="X83" i="49"/>
  <c r="N338" i="49"/>
  <c r="S221" i="37"/>
  <c r="H17" i="45"/>
  <c r="O30" i="50"/>
  <c r="AF43" i="43"/>
  <c r="R150" i="38"/>
  <c r="R215" i="38"/>
  <c r="G5" i="24"/>
  <c r="S84" i="37"/>
  <c r="Y329" i="49"/>
  <c r="AF176" i="42"/>
  <c r="V29" i="51"/>
  <c r="S23" i="38"/>
  <c r="N79" i="47"/>
  <c r="R112" i="37"/>
  <c r="R214" i="37"/>
  <c r="AA84" i="53"/>
  <c r="Z22" i="50"/>
  <c r="T196" i="49"/>
  <c r="J6" i="7"/>
  <c r="AD14" i="51"/>
  <c r="J36" i="24"/>
  <c r="J17" i="43"/>
  <c r="AF66" i="42"/>
  <c r="N280" i="49"/>
  <c r="AB171" i="49"/>
  <c r="B34" i="34"/>
  <c r="AA374" i="49"/>
  <c r="R262" i="33"/>
  <c r="AG15" i="51"/>
  <c r="T271" i="49"/>
  <c r="Q409" i="33"/>
  <c r="V45" i="51"/>
  <c r="AB20" i="53"/>
  <c r="AF118" i="43"/>
  <c r="AB30" i="50"/>
  <c r="Z339" i="49"/>
  <c r="S257" i="38"/>
  <c r="AG207" i="42"/>
  <c r="N17" i="38"/>
  <c r="AA79" i="50"/>
  <c r="G37" i="34"/>
  <c r="Y13" i="43" a="1"/>
  <c r="AG243" i="42"/>
  <c r="Q253" i="33"/>
  <c r="W3" i="49" a="1"/>
  <c r="Y289" i="49"/>
  <c r="AB243" i="49"/>
  <c r="Y41" i="48"/>
  <c r="N128" i="49"/>
  <c r="X336" i="49"/>
  <c r="S86" i="48"/>
  <c r="J34" i="24"/>
  <c r="Q50" i="51"/>
  <c r="S126" i="37"/>
  <c r="X81" i="53"/>
  <c r="D35" i="34"/>
  <c r="S132" i="39"/>
  <c r="S252" i="38"/>
  <c r="O13" i="53"/>
  <c r="Y186" i="49"/>
  <c r="T250" i="49"/>
  <c r="C78" i="34"/>
  <c r="Q357" i="33"/>
  <c r="Q118" i="33"/>
  <c r="F14" i="37"/>
  <c r="N62" i="49"/>
  <c r="Q428" i="33"/>
  <c r="C39" i="53"/>
  <c r="I7" i="37"/>
  <c r="Y342" i="49"/>
  <c r="AA16" i="50"/>
  <c r="Q449" i="33"/>
  <c r="Q33" i="33"/>
  <c r="Y219" i="49"/>
  <c r="R204" i="39"/>
  <c r="N49" i="48"/>
  <c r="N26" i="59"/>
  <c r="AF171" i="42"/>
  <c r="AG40" i="43"/>
  <c r="I5" i="38"/>
  <c r="C35" i="50"/>
  <c r="AG108" i="43"/>
  <c r="X143" i="49"/>
  <c r="AN3" i="50"/>
  <c r="S192" i="38"/>
  <c r="N79" i="53"/>
  <c r="B29" i="34"/>
  <c r="Z202" i="49"/>
  <c r="S177" i="49"/>
  <c r="J24" i="10"/>
  <c r="AA77" i="47"/>
  <c r="N93" i="50"/>
  <c r="S187" i="37"/>
  <c r="R85" i="38"/>
  <c r="O172" i="49"/>
  <c r="S211" i="39"/>
  <c r="Y331" i="49"/>
  <c r="AA19" i="50"/>
  <c r="J27" i="42"/>
  <c r="R4" i="40"/>
  <c r="AA23" i="47"/>
  <c r="AG101" i="43"/>
  <c r="Y57" i="48"/>
  <c r="S249" i="39"/>
  <c r="AG63" i="42"/>
  <c r="N16" i="38"/>
  <c r="AF127" i="42"/>
  <c r="Q114" i="33"/>
  <c r="R490" i="33"/>
  <c r="AF259" i="42"/>
  <c r="J65" i="53"/>
  <c r="K22" i="42"/>
  <c r="E27" i="41"/>
  <c r="F4" i="44"/>
  <c r="R190" i="38"/>
  <c r="Q159" i="33"/>
  <c r="R86" i="38"/>
  <c r="N72" i="47"/>
  <c r="O366" i="49"/>
  <c r="AB71" i="50"/>
  <c r="R63" i="38"/>
  <c r="AG179" i="42"/>
  <c r="S21" i="53"/>
  <c r="Z43" i="51"/>
  <c r="U3" i="33"/>
  <c r="N122" i="49"/>
  <c r="T333" i="49"/>
  <c r="T81" i="48"/>
  <c r="AB31" i="53"/>
  <c r="AB352" i="49"/>
  <c r="R241" i="38"/>
  <c r="G21" i="34"/>
  <c r="T391" i="49"/>
  <c r="R258" i="38"/>
  <c r="N114" i="50"/>
  <c r="C122" i="34"/>
  <c r="S17" i="39"/>
  <c r="AF78" i="43"/>
  <c r="O22" i="49"/>
  <c r="J7" i="9"/>
  <c r="S204" i="49"/>
  <c r="S185" i="37"/>
  <c r="AA67" i="53"/>
  <c r="AA16" i="49"/>
  <c r="R207" i="38"/>
  <c r="S250" i="39"/>
  <c r="N277" i="49"/>
  <c r="R186" i="38"/>
  <c r="B54" i="34"/>
  <c r="B125" i="34"/>
  <c r="Q96" i="33"/>
  <c r="AA122" i="49"/>
  <c r="R199" i="38"/>
  <c r="AF29" i="44"/>
  <c r="AF11" i="43"/>
  <c r="AG159" i="42"/>
  <c r="AG171" i="42"/>
  <c r="S339" i="49"/>
  <c r="AB3" i="48"/>
  <c r="N286" i="49"/>
  <c r="N53" i="50"/>
  <c r="AA99" i="49"/>
  <c r="AF12" i="42"/>
  <c r="O76" i="48"/>
  <c r="Q2" i="41"/>
  <c r="N13" i="39"/>
  <c r="R97" i="39"/>
  <c r="Q292" i="33"/>
  <c r="AB255" i="49"/>
  <c r="Z199" i="49"/>
  <c r="R290" i="33"/>
  <c r="S75" i="37"/>
  <c r="X366" i="49"/>
  <c r="T315" i="49"/>
  <c r="AB120" i="49"/>
  <c r="AF97" i="42"/>
  <c r="AG12" i="44"/>
  <c r="S157" i="39"/>
  <c r="AG25" i="42"/>
  <c r="R264" i="33"/>
  <c r="AG32" i="42"/>
  <c r="O104" i="50"/>
  <c r="AB32" i="49"/>
  <c r="Q512" i="33"/>
  <c r="G14" i="34"/>
  <c r="AB246" i="49"/>
  <c r="J87" i="53"/>
  <c r="S252" i="37"/>
  <c r="E4" i="43"/>
  <c r="R191" i="38"/>
  <c r="Q83" i="33"/>
  <c r="R441" i="33"/>
  <c r="Q10" i="33"/>
  <c r="R129" i="39"/>
  <c r="O51" i="50"/>
  <c r="AA12" i="50"/>
  <c r="S99" i="38"/>
  <c r="C51" i="52"/>
  <c r="Q147" i="33"/>
  <c r="B100" i="34"/>
  <c r="R205" i="33"/>
  <c r="I14" i="39"/>
  <c r="O25" i="48"/>
  <c r="S42" i="38"/>
  <c r="O9" i="49"/>
  <c r="N380" i="49"/>
  <c r="AF91" i="43"/>
  <c r="R227" i="39"/>
  <c r="X51" i="47"/>
  <c r="AB193" i="49"/>
  <c r="R115" i="37"/>
  <c r="Q255" i="33"/>
  <c r="M16" i="51"/>
  <c r="S127" i="37"/>
  <c r="Z31" i="48"/>
  <c r="Q453" i="33"/>
  <c r="R210" i="39"/>
  <c r="AB376" i="49"/>
  <c r="Q155" i="33"/>
  <c r="R205" i="38"/>
  <c r="N8" i="38"/>
  <c r="S64" i="39"/>
  <c r="T69" i="50"/>
  <c r="O7" i="47"/>
  <c r="AB190" i="49"/>
  <c r="S103" i="39"/>
  <c r="S250" i="38"/>
  <c r="AF110" i="42"/>
  <c r="S132" i="37"/>
  <c r="AB137" i="49"/>
  <c r="D95" i="34"/>
  <c r="D54" i="34"/>
  <c r="R244" i="37"/>
  <c r="R15" i="37"/>
  <c r="S126" i="38"/>
  <c r="Y27" i="50"/>
  <c r="R450" i="33"/>
  <c r="Z247" i="49"/>
  <c r="S240" i="38"/>
  <c r="AF232" i="42"/>
  <c r="K19" i="43"/>
  <c r="Z4" i="40"/>
  <c r="S74" i="38"/>
  <c r="AB181" i="49"/>
  <c r="AG11" i="42"/>
  <c r="L25" i="42"/>
  <c r="G117" i="34"/>
  <c r="E10" i="37"/>
  <c r="S224" i="39"/>
  <c r="AA29" i="53"/>
  <c r="Q217" i="33"/>
  <c r="N9" i="50"/>
  <c r="S11" i="53"/>
  <c r="I13" i="39"/>
  <c r="K18" i="43"/>
  <c r="R123" i="39"/>
  <c r="M20" i="51"/>
  <c r="Z65" i="53"/>
  <c r="T307" i="49"/>
  <c r="R218" i="37"/>
  <c r="Z82" i="49"/>
  <c r="H7" i="42"/>
  <c r="G47" i="34"/>
  <c r="I15" i="36"/>
  <c r="O270" i="49"/>
  <c r="AF165" i="42"/>
  <c r="Y242" i="49"/>
  <c r="AA70" i="48"/>
  <c r="N30" i="47"/>
  <c r="AC2" i="34"/>
  <c r="N378" i="49"/>
  <c r="N244" i="49"/>
  <c r="Q353" i="33"/>
  <c r="N67" i="49"/>
  <c r="X102" i="49"/>
  <c r="AG247" i="42"/>
  <c r="Q7" i="33"/>
  <c r="C82" i="34"/>
  <c r="AB194" i="49"/>
  <c r="T108" i="50"/>
  <c r="Y105" i="50"/>
  <c r="B43" i="34"/>
  <c r="S155" i="38"/>
  <c r="AA33" i="53"/>
  <c r="AA252" i="49"/>
  <c r="K25" i="42"/>
  <c r="S141" i="37"/>
  <c r="R311" i="33"/>
  <c r="AA121" i="49"/>
  <c r="Q75" i="33"/>
  <c r="X78" i="49"/>
  <c r="H50" i="51"/>
  <c r="R8" i="39"/>
  <c r="Z51" i="50"/>
  <c r="AG101" i="42"/>
  <c r="S216" i="37"/>
  <c r="X24" i="49"/>
  <c r="AF158" i="42"/>
  <c r="O88" i="53"/>
  <c r="Z3" i="53"/>
  <c r="X205" i="49"/>
  <c r="X252" i="49"/>
  <c r="D107" i="34"/>
  <c r="S214" i="38"/>
  <c r="S5" i="39"/>
  <c r="V20" i="51"/>
  <c r="O267" i="49"/>
  <c r="O234" i="49"/>
  <c r="N379" i="49"/>
  <c r="AB99" i="49"/>
  <c r="Z120" i="49"/>
  <c r="O227" i="49"/>
  <c r="X36" i="50"/>
  <c r="X36" i="51"/>
  <c r="J15" i="47"/>
  <c r="Y171" i="49"/>
  <c r="C61" i="34"/>
  <c r="AG45" i="43"/>
  <c r="R9" i="33"/>
  <c r="S71" i="48"/>
  <c r="C39" i="34"/>
  <c r="R123" i="33"/>
  <c r="Q188" i="33"/>
  <c r="AA33" i="47"/>
  <c r="O23" i="48"/>
  <c r="S347" i="49"/>
  <c r="R512" i="33"/>
  <c r="R5" i="39"/>
  <c r="AI15" i="48"/>
  <c r="X116" i="49"/>
  <c r="T209" i="49"/>
  <c r="S114" i="39"/>
  <c r="AA382" i="49"/>
  <c r="Z329" i="49"/>
  <c r="Y50" i="50"/>
  <c r="AB83" i="53"/>
  <c r="R130" i="38"/>
  <c r="T244" i="49"/>
  <c r="O216" i="49"/>
  <c r="AG47" i="43"/>
  <c r="H43" i="51"/>
  <c r="Q373" i="33"/>
  <c r="T75" i="48"/>
  <c r="X123" i="49"/>
  <c r="AB131" i="49"/>
  <c r="O22" i="53"/>
  <c r="AB6" i="49"/>
  <c r="Y70" i="49"/>
  <c r="AG26" i="43"/>
  <c r="Q423" i="33"/>
  <c r="Q307" i="33"/>
  <c r="N25" i="50"/>
  <c r="Z282" i="49"/>
  <c r="Y8" i="53"/>
  <c r="AB72" i="50"/>
  <c r="B118" i="34"/>
  <c r="X22" i="51"/>
  <c r="AB25" i="49"/>
  <c r="X283" i="49"/>
  <c r="F5" i="42"/>
  <c r="Y19" i="48"/>
  <c r="J27" i="9"/>
  <c r="E20" i="43"/>
  <c r="R169" i="37"/>
  <c r="N59" i="48"/>
  <c r="R261" i="33"/>
  <c r="N21" i="39"/>
  <c r="I4" i="52"/>
  <c r="AF213" i="42"/>
  <c r="Q224" i="33"/>
  <c r="J25" i="11"/>
  <c r="R358" i="33"/>
  <c r="X44" i="47"/>
  <c r="AA14" i="47"/>
  <c r="L29" i="42"/>
  <c r="T226" i="49"/>
  <c r="Z355" i="49"/>
  <c r="Q34" i="33"/>
  <c r="R183" i="38"/>
  <c r="N331" i="49"/>
  <c r="T3" i="50"/>
  <c r="S37" i="49"/>
  <c r="Q267" i="33"/>
  <c r="AF20" i="43"/>
  <c r="C109" i="34"/>
  <c r="J4" i="39"/>
  <c r="J15" i="48"/>
  <c r="H2" i="60"/>
  <c r="R165" i="38"/>
  <c r="O190" i="49"/>
  <c r="R216" i="33"/>
  <c r="R130" i="39"/>
  <c r="R36" i="33"/>
  <c r="R165" i="39"/>
  <c r="N237" i="49"/>
  <c r="Q342" i="33"/>
  <c r="R442" i="33"/>
  <c r="R221" i="39"/>
  <c r="R20" i="39"/>
  <c r="R25" i="51"/>
  <c r="R239" i="39"/>
  <c r="X163" i="49"/>
  <c r="AA77" i="50"/>
  <c r="J4" i="38"/>
  <c r="S192" i="49"/>
  <c r="Y7" i="53"/>
  <c r="R422" i="33"/>
  <c r="G90" i="34"/>
  <c r="Q9" i="51"/>
  <c r="R438" i="33"/>
  <c r="S9" i="53"/>
  <c r="Z151" i="49"/>
  <c r="Z88" i="53"/>
  <c r="AF17" i="50"/>
  <c r="O40" i="53"/>
  <c r="J30" i="48"/>
  <c r="V4" i="39"/>
  <c r="S126" i="39"/>
  <c r="S44" i="50"/>
  <c r="X34" i="53"/>
  <c r="AG76" i="42"/>
  <c r="Z71" i="48"/>
  <c r="J15" i="44"/>
  <c r="U7" i="40"/>
  <c r="T387" i="49"/>
  <c r="R199" i="39"/>
  <c r="G92" i="34"/>
  <c r="Y58" i="48"/>
  <c r="D6" i="44"/>
  <c r="AB42" i="53"/>
  <c r="Y68" i="49"/>
  <c r="Q381" i="33"/>
  <c r="AF59" i="43"/>
  <c r="R95" i="39"/>
  <c r="AF38" i="44"/>
  <c r="S358" i="49"/>
  <c r="S49" i="39"/>
  <c r="X50" i="50"/>
  <c r="R113" i="33"/>
  <c r="AA60" i="48"/>
  <c r="R81" i="37"/>
  <c r="T269" i="49"/>
  <c r="R20" i="38"/>
  <c r="X63" i="49"/>
  <c r="N152" i="49"/>
  <c r="D19" i="54"/>
  <c r="S107" i="39"/>
  <c r="R102" i="39"/>
  <c r="S58" i="47"/>
  <c r="L4" i="42"/>
  <c r="AG231" i="42"/>
  <c r="O23" i="50"/>
  <c r="B9" i="34"/>
  <c r="N263" i="49"/>
  <c r="S150" i="38"/>
  <c r="T309" i="49"/>
  <c r="AA27" i="49"/>
  <c r="G19" i="45"/>
  <c r="S4" i="38"/>
  <c r="S142" i="39"/>
  <c r="N284" i="49"/>
  <c r="AB11" i="48"/>
  <c r="N108" i="49"/>
  <c r="H31" i="51"/>
  <c r="Z228" i="49"/>
  <c r="O34" i="49"/>
  <c r="AA307" i="49"/>
  <c r="R140" i="39"/>
  <c r="O85" i="53"/>
  <c r="AF16" i="51"/>
  <c r="S73" i="39"/>
  <c r="AG5" i="42"/>
  <c r="Q18" i="51"/>
  <c r="R417" i="33"/>
  <c r="E25" i="42"/>
  <c r="Y67" i="47"/>
  <c r="G24" i="34"/>
  <c r="B91" i="34"/>
  <c r="O65" i="53"/>
  <c r="T68" i="50"/>
  <c r="S98" i="39"/>
  <c r="O72" i="53"/>
  <c r="L16" i="43"/>
  <c r="O89" i="49"/>
  <c r="L46" i="51"/>
  <c r="AF113" i="42"/>
  <c r="S155" i="37"/>
  <c r="Q212" i="33"/>
  <c r="J7" i="7"/>
  <c r="O49" i="47"/>
  <c r="N325" i="49"/>
  <c r="N206" i="49"/>
  <c r="G10" i="34"/>
  <c r="N216" i="49"/>
  <c r="S156" i="49"/>
  <c r="D15" i="34"/>
  <c r="N37" i="49"/>
  <c r="W17" i="51"/>
  <c r="Y51" i="49"/>
  <c r="AA69" i="48"/>
  <c r="Y56" i="49"/>
  <c r="T64" i="47"/>
  <c r="P8" i="40"/>
  <c r="AG23" i="43"/>
  <c r="G16" i="24"/>
  <c r="Z54" i="49"/>
  <c r="O21" i="47"/>
  <c r="X206" i="49"/>
  <c r="X241" i="49"/>
  <c r="C14" i="61" a="1"/>
  <c r="E6" i="38"/>
  <c r="R221" i="38"/>
  <c r="D3" i="4"/>
  <c r="T245" i="49"/>
  <c r="Z112" i="49"/>
  <c r="S383" i="49"/>
  <c r="AG182" i="42"/>
  <c r="AG95" i="42"/>
  <c r="F34" i="35"/>
  <c r="M10" i="33"/>
  <c r="Q246" i="33"/>
  <c r="R384" i="33"/>
  <c r="AB87" i="49"/>
  <c r="J15" i="11"/>
  <c r="T85" i="50"/>
  <c r="G84" i="34"/>
  <c r="R218" i="38"/>
  <c r="AA20" i="47"/>
  <c r="D29" i="41"/>
  <c r="U3" i="43" a="1"/>
  <c r="Q112" i="33"/>
  <c r="Z4" i="50"/>
  <c r="S29" i="37"/>
  <c r="T45" i="50"/>
  <c r="R13" i="51"/>
  <c r="S231" i="38"/>
  <c r="H11" i="39"/>
  <c r="L5" i="40"/>
  <c r="R66" i="39"/>
  <c r="D126" i="34"/>
  <c r="AA254" i="49"/>
  <c r="S160" i="39"/>
  <c r="Z42" i="48"/>
  <c r="R96" i="37"/>
  <c r="T87" i="49"/>
  <c r="X107" i="49"/>
  <c r="AA66" i="47"/>
  <c r="O229" i="49"/>
  <c r="J26" i="9"/>
  <c r="J11" i="35"/>
  <c r="AA168" i="49"/>
  <c r="Z45" i="47"/>
  <c r="J10" i="37"/>
  <c r="Z33" i="47"/>
  <c r="R41" i="39"/>
  <c r="W20" i="51"/>
  <c r="S196" i="38"/>
  <c r="Q9" i="40"/>
  <c r="Q492" i="33"/>
  <c r="N3" i="47"/>
  <c r="AA44" i="53"/>
  <c r="AG44" i="44"/>
  <c r="O275" i="49"/>
  <c r="AB29" i="50"/>
  <c r="N104" i="49"/>
  <c r="I16" i="39"/>
  <c r="Q248" i="33"/>
  <c r="X53" i="53"/>
  <c r="AD18" i="51"/>
  <c r="S117" i="38"/>
  <c r="D99" i="34"/>
  <c r="N7" i="49"/>
  <c r="J29" i="35"/>
  <c r="M4" i="33"/>
  <c r="AF234" i="42"/>
  <c r="O153" i="49"/>
  <c r="S4" i="49"/>
  <c r="R82" i="37"/>
  <c r="Q194" i="33"/>
  <c r="J10" i="11"/>
  <c r="AG46" i="44"/>
  <c r="N58" i="48"/>
  <c r="S210" i="38"/>
  <c r="R173" i="37"/>
  <c r="G39" i="34"/>
  <c r="AB64" i="53"/>
  <c r="S237" i="49"/>
  <c r="K4" i="43"/>
  <c r="X33" i="49"/>
  <c r="J39" i="10"/>
  <c r="S186" i="37"/>
  <c r="AF244" i="42"/>
  <c r="R239" i="37"/>
  <c r="I16" i="36"/>
  <c r="AF210" i="42"/>
  <c r="AG12" i="43"/>
  <c r="AG43" i="42"/>
  <c r="AF241" i="42"/>
  <c r="B48" i="34"/>
  <c r="U9" i="40"/>
  <c r="Q508" i="33"/>
  <c r="Y85" i="48"/>
  <c r="AB13" i="49"/>
  <c r="W27" i="40"/>
  <c r="AH22" i="49"/>
  <c r="M28" i="41"/>
  <c r="X76" i="50"/>
  <c r="AB169" i="49"/>
  <c r="N113" i="50"/>
  <c r="R328" i="33"/>
  <c r="AB82" i="50"/>
  <c r="N72" i="50"/>
  <c r="J28" i="53"/>
  <c r="C10" i="51"/>
  <c r="T37" i="53"/>
  <c r="S120" i="37"/>
  <c r="L20" i="42"/>
  <c r="J30" i="11"/>
  <c r="AC13" i="45"/>
  <c r="S163" i="39"/>
  <c r="AA31" i="50"/>
  <c r="N3" i="50"/>
  <c r="S45" i="37"/>
  <c r="N199" i="49"/>
  <c r="R136" i="39"/>
  <c r="Y343" i="49"/>
  <c r="T144" i="49"/>
  <c r="S248" i="37"/>
  <c r="J23" i="35"/>
  <c r="J58" i="47"/>
  <c r="AF80" i="42"/>
  <c r="AF42" i="43"/>
  <c r="R12" i="38"/>
  <c r="AC7" i="45"/>
  <c r="R140" i="37"/>
  <c r="D112" i="34"/>
  <c r="J15" i="35"/>
  <c r="S105" i="49"/>
  <c r="N81" i="49"/>
  <c r="R120" i="39"/>
  <c r="R271" i="33"/>
  <c r="R95" i="38"/>
  <c r="Z58" i="48"/>
  <c r="AG48" i="43"/>
  <c r="Y188" i="49"/>
  <c r="Q180" i="33"/>
  <c r="Y24" i="48"/>
  <c r="R68" i="39"/>
  <c r="T20" i="49"/>
  <c r="R235" i="38"/>
  <c r="Z6" i="50"/>
  <c r="AF28" i="43"/>
  <c r="C27" i="50"/>
  <c r="C40" i="50"/>
  <c r="S20" i="38"/>
  <c r="D127" i="34"/>
  <c r="AB9" i="49"/>
  <c r="Q450" i="33"/>
  <c r="R145" i="37"/>
  <c r="N69" i="48"/>
  <c r="N84" i="53"/>
  <c r="T11" i="50"/>
  <c r="O73" i="47"/>
  <c r="AF74" i="43"/>
  <c r="D20" i="41"/>
  <c r="R191" i="39"/>
  <c r="B9" i="51"/>
  <c r="J19" i="39"/>
  <c r="E19" i="42"/>
  <c r="Z223" i="49"/>
  <c r="H12" i="37"/>
  <c r="J26" i="35"/>
  <c r="S190" i="38"/>
  <c r="Z55" i="51"/>
  <c r="B15" i="34"/>
  <c r="M3" i="41"/>
  <c r="M9" i="41"/>
  <c r="H3" i="45"/>
  <c r="AF174" i="42"/>
  <c r="AB63" i="53"/>
  <c r="R256" i="38"/>
  <c r="R267" i="33"/>
  <c r="X49" i="49"/>
  <c r="H33" i="51"/>
  <c r="D30" i="34"/>
  <c r="Y41" i="49"/>
  <c r="AB8" i="48"/>
  <c r="Z54" i="47"/>
  <c r="Z93" i="49"/>
  <c r="AF57" i="44"/>
  <c r="O328" i="49"/>
  <c r="AF125" i="43"/>
  <c r="S152" i="49"/>
  <c r="S119" i="39"/>
  <c r="AB140" i="49"/>
  <c r="R212" i="39"/>
  <c r="AB250" i="49"/>
  <c r="Y288" i="49"/>
  <c r="R144" i="38"/>
  <c r="Z72" i="48"/>
  <c r="X125" i="49"/>
  <c r="AB271" i="49"/>
  <c r="C9" i="34"/>
  <c r="D65" i="34"/>
  <c r="V46" i="51"/>
  <c r="Z76" i="53"/>
  <c r="AA28" i="47"/>
  <c r="M13" i="61"/>
  <c r="R249" i="33"/>
  <c r="E6" i="43"/>
  <c r="V27" i="51"/>
  <c r="O6" i="49"/>
  <c r="S188" i="39"/>
  <c r="S213" i="38"/>
  <c r="AF52" i="44"/>
  <c r="G63" i="34"/>
  <c r="J75" i="53"/>
  <c r="T90" i="48"/>
  <c r="T65" i="48"/>
  <c r="R209" i="39"/>
  <c r="S143" i="39"/>
  <c r="R76" i="38"/>
  <c r="G19" i="34"/>
  <c r="H12" i="38"/>
  <c r="X108" i="49"/>
  <c r="Y89" i="53"/>
  <c r="Y87" i="53"/>
  <c r="N374" i="49"/>
  <c r="D42" i="34"/>
  <c r="R45" i="38"/>
  <c r="Z41" i="47"/>
  <c r="AF81" i="43"/>
  <c r="N29" i="50"/>
  <c r="Z76" i="48"/>
  <c r="AB53" i="49"/>
  <c r="R58" i="37"/>
  <c r="AG52" i="43"/>
  <c r="L4" i="40"/>
  <c r="AA64" i="48"/>
  <c r="W10" i="51"/>
  <c r="B6" i="34"/>
  <c r="AF56" i="42"/>
  <c r="S42" i="47"/>
  <c r="S83" i="49"/>
  <c r="Y25" i="47"/>
  <c r="N29" i="53"/>
  <c r="Q166" i="33"/>
  <c r="R349" i="33"/>
  <c r="S372" i="49"/>
  <c r="AA88" i="49"/>
  <c r="Y12" i="48"/>
  <c r="Q284" i="33"/>
  <c r="J6" i="35"/>
  <c r="Q24" i="33"/>
  <c r="AG75" i="43"/>
  <c r="Y39" i="51"/>
  <c r="Y90" i="49"/>
  <c r="T354" i="49"/>
  <c r="AA183" i="49"/>
  <c r="S36" i="48"/>
  <c r="R45" i="33"/>
  <c r="G43" i="34"/>
  <c r="R94" i="33"/>
  <c r="J23" i="42"/>
  <c r="N143" i="49"/>
  <c r="S51" i="37"/>
  <c r="AA267" i="49"/>
  <c r="AB65" i="50"/>
  <c r="T160" i="49"/>
  <c r="R234" i="38"/>
  <c r="Z38" i="53"/>
  <c r="M22" i="41"/>
  <c r="O122" i="50"/>
  <c r="N328" i="49"/>
  <c r="R211" i="37"/>
  <c r="Y243" i="49"/>
  <c r="Y2" i="34"/>
  <c r="O118" i="49"/>
  <c r="AA188" i="49"/>
  <c r="O112" i="50"/>
  <c r="R171" i="39"/>
  <c r="Z10" i="48"/>
  <c r="R212" i="38"/>
  <c r="J5" i="35"/>
  <c r="Y369" i="49"/>
  <c r="O158" i="49"/>
  <c r="R54" i="39"/>
  <c r="R191" i="33"/>
  <c r="AA59" i="48"/>
  <c r="Q389" i="33"/>
  <c r="Y332" i="49"/>
  <c r="S156" i="39"/>
  <c r="AG25" i="43"/>
  <c r="T116" i="50"/>
  <c r="N177" i="49"/>
  <c r="T100" i="49"/>
  <c r="S211" i="37"/>
  <c r="J14" i="24"/>
  <c r="F36" i="35"/>
  <c r="K16" i="42"/>
  <c r="Q23" i="51"/>
  <c r="J25" i="35"/>
  <c r="N173" i="49"/>
  <c r="N285" i="49"/>
  <c r="R346" i="33"/>
  <c r="R483" i="33"/>
  <c r="R27" i="40"/>
  <c r="S118" i="50"/>
  <c r="Z56" i="51"/>
  <c r="Z40" i="53"/>
  <c r="G17" i="45"/>
  <c r="R99" i="33"/>
  <c r="Q46" i="33"/>
  <c r="R245" i="39"/>
  <c r="S168" i="38"/>
  <c r="C8" i="51"/>
  <c r="R293" i="33"/>
  <c r="T20" i="50"/>
  <c r="AB93" i="49"/>
  <c r="X10" i="53"/>
  <c r="Q363" i="33"/>
  <c r="AB122" i="50"/>
  <c r="AA256" i="49"/>
  <c r="Q218" i="33"/>
  <c r="X107" i="50"/>
  <c r="AB314" i="49"/>
  <c r="R174" i="39"/>
  <c r="X112" i="49"/>
  <c r="Z246" i="49"/>
  <c r="J15" i="38"/>
  <c r="B21" i="34"/>
  <c r="S76" i="50"/>
  <c r="T58" i="47"/>
  <c r="K3" i="33"/>
  <c r="Y23" i="51"/>
  <c r="D12" i="35"/>
  <c r="R55" i="38"/>
  <c r="D13" i="34"/>
  <c r="Y58" i="47"/>
  <c r="S124" i="37"/>
  <c r="AG102" i="43"/>
  <c r="AF82" i="43"/>
  <c r="R4" i="33"/>
  <c r="S313" i="49"/>
  <c r="T125" i="49"/>
  <c r="N25" i="41"/>
  <c r="R331" i="33"/>
  <c r="J31" i="10"/>
  <c r="Y262" i="49"/>
  <c r="S32" i="37"/>
  <c r="X42" i="48"/>
  <c r="AA28" i="49"/>
  <c r="R147" i="37"/>
  <c r="Y118" i="49"/>
  <c r="S243" i="49"/>
  <c r="Y136" i="49"/>
  <c r="D57" i="34"/>
  <c r="AB23" i="49"/>
  <c r="R120" i="33"/>
  <c r="J16" i="38"/>
  <c r="D24" i="34"/>
  <c r="N83" i="53"/>
  <c r="AF32" i="42"/>
  <c r="Q183" i="33"/>
  <c r="Q479" i="33"/>
  <c r="AA57" i="48"/>
  <c r="E21" i="42"/>
  <c r="Q403" i="33"/>
  <c r="J12" i="38"/>
  <c r="S34" i="38"/>
  <c r="T52" i="49"/>
  <c r="F16" i="39"/>
  <c r="AB90" i="49"/>
  <c r="J29" i="42"/>
  <c r="O94" i="49"/>
  <c r="G54" i="34"/>
  <c r="X326" i="49"/>
  <c r="O298" i="49"/>
  <c r="T57" i="50"/>
  <c r="S87" i="49"/>
  <c r="R246" i="39"/>
  <c r="AF24" i="44"/>
  <c r="J23" i="49"/>
  <c r="R167" i="38"/>
  <c r="AA166" i="49"/>
  <c r="N44" i="53"/>
  <c r="Q80" i="33"/>
  <c r="J3" i="38"/>
  <c r="S8" i="38"/>
  <c r="N22" i="53"/>
  <c r="AB21" i="47"/>
  <c r="X10" i="51"/>
  <c r="H19" i="45"/>
  <c r="S247" i="39"/>
  <c r="N115" i="49"/>
  <c r="S93" i="49"/>
  <c r="U13" i="44" a="1"/>
  <c r="J15" i="24"/>
  <c r="N75" i="47"/>
  <c r="R444" i="33"/>
  <c r="T330" i="49"/>
  <c r="R41" i="33"/>
  <c r="AB89" i="49"/>
  <c r="R228" i="39"/>
  <c r="N41" i="53"/>
  <c r="T25" i="47"/>
  <c r="R254" i="39"/>
  <c r="S216" i="49"/>
  <c r="AF117" i="43"/>
  <c r="R31" i="37"/>
  <c r="U2" i="34"/>
  <c r="O14" i="50"/>
  <c r="AA138" i="49"/>
  <c r="D111" i="34"/>
  <c r="S70" i="38"/>
  <c r="Z229" i="49"/>
  <c r="R125" i="33"/>
  <c r="M4" i="41"/>
  <c r="S72" i="37"/>
  <c r="AF28" i="42"/>
  <c r="AB93" i="50"/>
  <c r="S115" i="38"/>
  <c r="AG116" i="42"/>
  <c r="E6" i="42"/>
  <c r="AG21" i="43"/>
  <c r="R47" i="39"/>
  <c r="X52" i="49"/>
  <c r="T63" i="49"/>
  <c r="R177" i="33"/>
  <c r="S189" i="39"/>
  <c r="O71" i="50"/>
  <c r="O6" i="47"/>
  <c r="S8" i="37"/>
  <c r="T16" i="47"/>
  <c r="AA148" i="49"/>
  <c r="AA52" i="50"/>
  <c r="AA192" i="49"/>
  <c r="X169" i="49"/>
  <c r="C49" i="53"/>
  <c r="R189" i="39"/>
  <c r="AB106" i="49"/>
  <c r="R226" i="38"/>
  <c r="AA62" i="50"/>
  <c r="S233" i="49"/>
  <c r="I12" i="37"/>
  <c r="X67" i="49"/>
  <c r="R394" i="33"/>
  <c r="AG63" i="43"/>
  <c r="Z110" i="49"/>
  <c r="AG224" i="42"/>
  <c r="AB111" i="50"/>
  <c r="S273" i="49"/>
  <c r="R200" i="37"/>
  <c r="X33" i="51"/>
  <c r="X92" i="48"/>
  <c r="Y11" i="50"/>
  <c r="J12" i="8"/>
  <c r="BG2" i="34"/>
  <c r="J30" i="10"/>
  <c r="S200" i="39"/>
  <c r="R199" i="33"/>
  <c r="N52" i="48"/>
  <c r="S168" i="37"/>
  <c r="Q199" i="33"/>
  <c r="C120" i="34"/>
  <c r="S45" i="53"/>
  <c r="Z118" i="50"/>
  <c r="N189" i="49"/>
  <c r="I5" i="39"/>
  <c r="AF18" i="49"/>
  <c r="E20" i="38"/>
  <c r="Z23" i="48"/>
  <c r="F14" i="39"/>
  <c r="Y46" i="48"/>
  <c r="AG246" i="42"/>
  <c r="R68" i="37"/>
  <c r="Q510" i="33"/>
  <c r="R477" i="33"/>
  <c r="I9" i="25"/>
  <c r="J18" i="9"/>
  <c r="AF37" i="44"/>
  <c r="Z32" i="47"/>
  <c r="V16" i="51"/>
  <c r="X354" i="49"/>
  <c r="J13" i="8"/>
  <c r="Q117" i="33"/>
  <c r="AB294" i="49"/>
  <c r="Z73" i="53"/>
  <c r="AA58" i="49"/>
  <c r="Y25" i="51"/>
  <c r="R230" i="37"/>
  <c r="C53" i="53"/>
  <c r="T279" i="49"/>
  <c r="Y321" i="49"/>
  <c r="AB319" i="49"/>
  <c r="T57" i="53"/>
  <c r="B119" i="34"/>
  <c r="S86" i="37"/>
  <c r="Z236" i="49"/>
  <c r="Y61" i="47"/>
  <c r="T268" i="49"/>
  <c r="AA2" i="34"/>
  <c r="Z170" i="49"/>
  <c r="X344" i="49"/>
  <c r="D30" i="41"/>
  <c r="Q258" i="33"/>
  <c r="S45" i="39"/>
  <c r="X92" i="50"/>
  <c r="X359" i="49"/>
  <c r="Z353" i="49"/>
  <c r="AB24" i="45"/>
  <c r="R254" i="38"/>
  <c r="Q10" i="51"/>
  <c r="Q430" i="33"/>
  <c r="J13" i="9"/>
  <c r="S49" i="49"/>
  <c r="R204" i="37"/>
  <c r="AF143" i="42"/>
  <c r="R192" i="39"/>
  <c r="T85" i="48"/>
  <c r="B111" i="34"/>
  <c r="AA29" i="47"/>
  <c r="AG57" i="43"/>
  <c r="AA19" i="49"/>
  <c r="J20" i="9"/>
  <c r="R227" i="38"/>
  <c r="R173" i="39"/>
  <c r="N348" i="49"/>
  <c r="Y391" i="49"/>
  <c r="AB48" i="50"/>
  <c r="AB20" i="47"/>
  <c r="Y151" i="49"/>
  <c r="R176" i="33"/>
  <c r="Y9" i="48"/>
  <c r="S23" i="48"/>
  <c r="O75" i="48"/>
  <c r="T71" i="47"/>
  <c r="Y49" i="49"/>
  <c r="X52" i="53"/>
  <c r="X62" i="50"/>
  <c r="N201" i="49"/>
  <c r="S220" i="49"/>
  <c r="AG5" i="44"/>
  <c r="S59" i="50"/>
  <c r="M45" i="51"/>
  <c r="T166" i="49"/>
  <c r="S34" i="49"/>
  <c r="M4" i="40"/>
  <c r="AA250" i="49"/>
  <c r="B94" i="34"/>
  <c r="S173" i="38"/>
  <c r="N18" i="59"/>
  <c r="N30" i="50"/>
  <c r="T51" i="50"/>
  <c r="T33" i="47"/>
  <c r="S28" i="47"/>
  <c r="AB329" i="49"/>
  <c r="S178" i="38"/>
  <c r="Z341" i="49"/>
  <c r="AB253" i="49"/>
  <c r="T3" i="43" a="1"/>
  <c r="S345" i="49"/>
  <c r="S101" i="39"/>
  <c r="X134" i="49"/>
  <c r="G124" i="34"/>
  <c r="AA218" i="49"/>
  <c r="I8" i="25"/>
  <c r="T107" i="50"/>
  <c r="S353" i="49"/>
  <c r="Q209" i="33"/>
  <c r="I4" i="38"/>
  <c r="R49" i="51"/>
  <c r="S219" i="37"/>
  <c r="N290" i="49"/>
  <c r="AA282" i="49"/>
  <c r="J69" i="47"/>
  <c r="R62" i="33"/>
  <c r="S55" i="38"/>
  <c r="R51" i="33"/>
  <c r="O21" i="49"/>
  <c r="AG32" i="43"/>
  <c r="T71" i="49"/>
  <c r="S258" i="39"/>
  <c r="Q431" i="33"/>
  <c r="G8" i="24"/>
  <c r="G38" i="34"/>
  <c r="Y115" i="50"/>
  <c r="T183" i="49"/>
  <c r="Z387" i="49"/>
  <c r="S250" i="37"/>
  <c r="AA86" i="50"/>
  <c r="Z85" i="48"/>
  <c r="O39" i="47"/>
  <c r="O160" i="49"/>
  <c r="AG89" i="42"/>
  <c r="AA66" i="49"/>
  <c r="Q125" i="33"/>
  <c r="Q333" i="33"/>
  <c r="Y305" i="49"/>
  <c r="X75" i="48"/>
  <c r="F35" i="35"/>
  <c r="O68" i="47"/>
  <c r="I9" i="39"/>
  <c r="S36" i="39"/>
  <c r="T375" i="49"/>
  <c r="AF164" i="42"/>
  <c r="AA383" i="49"/>
  <c r="R119" i="38"/>
  <c r="Q161" i="33"/>
  <c r="S12" i="47"/>
  <c r="O340" i="49"/>
  <c r="AB15" i="47"/>
  <c r="D29" i="34"/>
  <c r="Y45" i="49"/>
  <c r="R175" i="39"/>
  <c r="AA173" i="49"/>
  <c r="T116" i="49"/>
  <c r="S360" i="49"/>
  <c r="R131" i="33"/>
  <c r="Q87" i="33"/>
  <c r="G13" i="34"/>
  <c r="S138" i="49"/>
  <c r="AA233" i="49"/>
  <c r="Z3" i="40"/>
  <c r="S254" i="37"/>
  <c r="S46" i="47"/>
  <c r="R140" i="38"/>
  <c r="AF6" i="43"/>
  <c r="N230" i="49"/>
  <c r="B16" i="51"/>
  <c r="N253" i="49"/>
  <c r="AA315" i="49"/>
  <c r="B116" i="34"/>
  <c r="AA85" i="50"/>
  <c r="AU2" i="34"/>
  <c r="AB22" i="50"/>
  <c r="R287" i="33"/>
  <c r="Y255" i="49"/>
  <c r="T12" i="49"/>
  <c r="K38" i="35"/>
  <c r="X86" i="49"/>
  <c r="O17" i="50"/>
  <c r="G34" i="24"/>
  <c r="G6" i="47"/>
  <c r="T282" i="49"/>
  <c r="Y161" i="49"/>
  <c r="R27" i="33"/>
  <c r="AF18" i="50"/>
  <c r="R77" i="33"/>
  <c r="R208" i="37"/>
  <c r="R137" i="37"/>
  <c r="J34" i="8"/>
  <c r="B14" i="34"/>
  <c r="N293" i="49"/>
  <c r="Q276" i="33"/>
  <c r="J18" i="8"/>
  <c r="C56" i="34"/>
  <c r="J4" i="9"/>
  <c r="Z90" i="50"/>
  <c r="T28" i="40"/>
  <c r="R448" i="33"/>
  <c r="S8" i="39"/>
  <c r="N178" i="49"/>
  <c r="AF225" i="42"/>
  <c r="AB51" i="49"/>
  <c r="AA69" i="49"/>
  <c r="T343" i="49"/>
  <c r="AF34" i="42"/>
  <c r="J92" i="53"/>
  <c r="X357" i="49"/>
  <c r="R192" i="37"/>
  <c r="Y19" i="53"/>
  <c r="Y78" i="50"/>
  <c r="AF67" i="42"/>
  <c r="O65" i="49"/>
  <c r="N40" i="47"/>
  <c r="S113" i="39"/>
  <c r="AB105" i="49"/>
  <c r="O149" i="49"/>
  <c r="R159" i="39"/>
  <c r="N142" i="49"/>
  <c r="AG13" i="51"/>
  <c r="S193" i="49"/>
  <c r="Z209" i="49"/>
  <c r="X118" i="50"/>
  <c r="AA41" i="49"/>
  <c r="R135" i="33"/>
  <c r="AA7" i="48"/>
  <c r="X105" i="49"/>
  <c r="D6" i="45"/>
  <c r="N63" i="48"/>
  <c r="F25" i="35"/>
  <c r="Z360" i="49"/>
  <c r="Z32" i="49"/>
  <c r="R130" i="37"/>
  <c r="S311" i="49"/>
  <c r="G95" i="34"/>
  <c r="AH18" i="48"/>
  <c r="M14" i="61"/>
  <c r="D38" i="41"/>
  <c r="S6" i="53"/>
  <c r="X9" i="53"/>
  <c r="Q38" i="33"/>
  <c r="S137" i="39"/>
  <c r="AB92" i="48"/>
  <c r="S74" i="47"/>
  <c r="AF42" i="42"/>
  <c r="K4" i="44"/>
  <c r="R5" i="38"/>
  <c r="Y112" i="49"/>
  <c r="R25" i="38"/>
  <c r="S159" i="39"/>
  <c r="Z59" i="49"/>
  <c r="Q395" i="33"/>
  <c r="O4" i="50"/>
  <c r="R13" i="39"/>
  <c r="Y176" i="49"/>
  <c r="G48" i="34"/>
  <c r="AG60" i="42"/>
  <c r="G35" i="34"/>
  <c r="Z162" i="49"/>
  <c r="AH21" i="48"/>
  <c r="Y64" i="49"/>
  <c r="O3" i="50"/>
  <c r="AB3" i="53"/>
  <c r="T23" i="48"/>
  <c r="S17" i="37"/>
  <c r="AA71" i="48"/>
  <c r="AG151" i="42"/>
  <c r="I9" i="36"/>
  <c r="Z191" i="49"/>
  <c r="T167" i="49"/>
  <c r="Q433" i="33"/>
  <c r="D38" i="34"/>
  <c r="Y18" i="53"/>
  <c r="S102" i="38"/>
  <c r="N50" i="50"/>
  <c r="D72" i="34"/>
  <c r="S95" i="37"/>
  <c r="J21" i="8"/>
  <c r="Z139" i="49"/>
  <c r="T11" i="49"/>
  <c r="X50" i="49"/>
  <c r="D78" i="34"/>
  <c r="R35" i="39"/>
  <c r="O31" i="50"/>
  <c r="C18" i="34"/>
  <c r="I19" i="38"/>
  <c r="AA306" i="49"/>
  <c r="C42" i="34"/>
  <c r="L15" i="61"/>
  <c r="S59" i="47"/>
  <c r="R167" i="37"/>
  <c r="B68" i="34"/>
  <c r="S85" i="50"/>
  <c r="R87" i="38"/>
  <c r="AG77" i="42"/>
  <c r="O19" i="53"/>
  <c r="Z65" i="50"/>
  <c r="T26" i="53"/>
  <c r="AA113" i="49"/>
  <c r="M8" i="40"/>
  <c r="Q375" i="33"/>
  <c r="D117" i="34"/>
  <c r="N43" i="53"/>
  <c r="AC11" i="45"/>
  <c r="S48" i="49"/>
  <c r="R44" i="39"/>
  <c r="AA2" i="25"/>
  <c r="Y33" i="48"/>
  <c r="O124" i="49"/>
  <c r="N75" i="53"/>
  <c r="R36" i="37"/>
  <c r="N11" i="38"/>
  <c r="R162" i="37"/>
  <c r="AG93" i="42"/>
  <c r="Y65" i="48"/>
  <c r="Z270" i="49"/>
  <c r="R386" i="33"/>
  <c r="Z391" i="49"/>
  <c r="R126" i="39"/>
  <c r="N1" i="37"/>
  <c r="AA10" i="49"/>
  <c r="R90" i="33"/>
  <c r="R260" i="33"/>
  <c r="X73" i="47"/>
  <c r="G78" i="34"/>
  <c r="S117" i="37"/>
  <c r="N12" i="47"/>
  <c r="S68" i="38"/>
  <c r="Z281" i="49"/>
  <c r="F28" i="35"/>
  <c r="AB109" i="49"/>
  <c r="Z45" i="50"/>
  <c r="AA265" i="49"/>
  <c r="T61" i="49"/>
  <c r="R42" i="33"/>
  <c r="R117" i="38"/>
  <c r="X40" i="48"/>
  <c r="M40" i="51"/>
  <c r="AF114" i="42"/>
  <c r="X201" i="49"/>
  <c r="AI3" i="45"/>
  <c r="AB263" i="49"/>
  <c r="Y22" i="49"/>
  <c r="AB187" i="49"/>
  <c r="R388" i="33"/>
  <c r="X349" i="49"/>
  <c r="R50" i="39"/>
  <c r="Y78" i="49"/>
  <c r="T371" i="49"/>
  <c r="S46" i="37"/>
  <c r="T336" i="49"/>
  <c r="R214" i="33"/>
  <c r="AA362" i="49"/>
  <c r="O81" i="53"/>
  <c r="H10" i="39"/>
  <c r="Z65" i="48"/>
  <c r="R142" i="38"/>
  <c r="AA338" i="49"/>
  <c r="R88" i="38"/>
  <c r="AB61" i="53"/>
  <c r="R352" i="33"/>
  <c r="R159" i="33"/>
  <c r="AB151" i="49"/>
  <c r="S208" i="49"/>
  <c r="Z46" i="47"/>
  <c r="AB86" i="53"/>
  <c r="T4" i="48"/>
  <c r="W37" i="51"/>
  <c r="S37" i="38"/>
  <c r="T273" i="49"/>
  <c r="S166" i="49"/>
  <c r="D38" i="52"/>
  <c r="R251" i="33"/>
  <c r="X66" i="53"/>
  <c r="AA214" i="49"/>
  <c r="S155" i="39"/>
  <c r="AH23" i="50"/>
  <c r="X251" i="49"/>
  <c r="J38" i="7"/>
  <c r="Y165" i="49"/>
  <c r="N87" i="50"/>
  <c r="W28" i="40"/>
  <c r="T223" i="49"/>
  <c r="N33" i="48"/>
  <c r="Y69" i="47"/>
  <c r="AG55" i="44"/>
  <c r="S61" i="53"/>
  <c r="D13" i="51"/>
  <c r="D7" i="34"/>
  <c r="S154" i="49"/>
  <c r="O16" i="49"/>
  <c r="X37" i="50"/>
  <c r="R126" i="38"/>
  <c r="AG253" i="42"/>
  <c r="N370" i="49"/>
  <c r="X284" i="49"/>
  <c r="AF36" i="44"/>
  <c r="AB261" i="49"/>
  <c r="X52" i="51"/>
  <c r="R171" i="37"/>
  <c r="AA286" i="49"/>
  <c r="N41" i="50"/>
  <c r="AF141" i="42"/>
  <c r="R173" i="33"/>
  <c r="S37" i="37"/>
  <c r="T252" i="49"/>
  <c r="AA378" i="49"/>
  <c r="S144" i="39"/>
  <c r="AF236" i="42"/>
  <c r="T81" i="53"/>
  <c r="Q429" i="33"/>
  <c r="S62" i="49"/>
  <c r="AB26" i="53"/>
  <c r="S109" i="38"/>
  <c r="N16" i="49"/>
  <c r="N120" i="49"/>
  <c r="S36" i="50"/>
  <c r="X175" i="49"/>
  <c r="AI12" i="49"/>
  <c r="L9" i="40"/>
  <c r="R46" i="39"/>
  <c r="S102" i="39"/>
  <c r="X237" i="49"/>
  <c r="Z55" i="47"/>
  <c r="C47" i="34"/>
  <c r="C19" i="34"/>
  <c r="AB81" i="50"/>
  <c r="Q49" i="33"/>
  <c r="AA273" i="49"/>
  <c r="H20" i="38"/>
  <c r="AG163" i="42"/>
  <c r="Q245" i="33"/>
  <c r="X12" i="51"/>
  <c r="N235" i="49"/>
  <c r="S52" i="37"/>
  <c r="Z78" i="50"/>
  <c r="N377" i="49"/>
  <c r="C71" i="34"/>
  <c r="R56" i="33"/>
  <c r="S94" i="50"/>
  <c r="S207" i="39"/>
  <c r="O89" i="53"/>
  <c r="T89" i="50"/>
  <c r="L6" i="40"/>
  <c r="S10" i="49"/>
  <c r="S82" i="53"/>
  <c r="Y73" i="48"/>
  <c r="G19" i="39"/>
  <c r="N9" i="48"/>
  <c r="AB58" i="50"/>
  <c r="D49" i="34"/>
  <c r="O383" i="49"/>
  <c r="T68" i="47"/>
  <c r="Y79" i="53"/>
  <c r="Y227" i="49"/>
  <c r="R106" i="37"/>
  <c r="Z73" i="47"/>
  <c r="B28" i="34"/>
  <c r="N21" i="50"/>
  <c r="O342" i="49"/>
  <c r="AF109" i="43"/>
  <c r="AA13" i="49"/>
  <c r="C34" i="34"/>
  <c r="S66" i="49"/>
  <c r="N25" i="53"/>
  <c r="Y284" i="49"/>
  <c r="O45" i="53"/>
  <c r="AG184" i="42"/>
  <c r="AG140" i="42"/>
  <c r="S31" i="53"/>
  <c r="G12" i="39"/>
  <c r="X167" i="49"/>
  <c r="Z9" i="51"/>
  <c r="T45" i="49"/>
  <c r="AG217" i="42"/>
  <c r="Q210" i="33"/>
  <c r="N141" i="49"/>
  <c r="Z146" i="49"/>
  <c r="S124" i="39"/>
  <c r="J20" i="24"/>
  <c r="T9" i="43" a="1"/>
  <c r="J7" i="10"/>
  <c r="C6" i="34"/>
  <c r="AA271" i="49"/>
  <c r="D106" i="34"/>
  <c r="R241" i="39"/>
  <c r="Q387" i="33"/>
  <c r="Y352" i="49"/>
  <c r="Y357" i="49"/>
  <c r="T64" i="50"/>
  <c r="AB14" i="47"/>
  <c r="Q344" i="33"/>
  <c r="S25" i="37"/>
  <c r="S161" i="39"/>
  <c r="S104" i="39"/>
  <c r="S70" i="39"/>
  <c r="AF107" i="42"/>
  <c r="N99" i="49"/>
  <c r="S93" i="37"/>
  <c r="N3" i="48"/>
  <c r="S9" i="47"/>
  <c r="S68" i="50"/>
  <c r="R4" i="39"/>
  <c r="AB74" i="50"/>
  <c r="S173" i="49"/>
  <c r="Y77" i="48"/>
  <c r="AB123" i="49"/>
  <c r="AG74" i="42"/>
  <c r="AF182" i="42"/>
  <c r="AF203" i="42"/>
  <c r="AB36" i="53"/>
  <c r="AB21" i="49"/>
  <c r="AG142" i="42"/>
  <c r="E18" i="38"/>
  <c r="R30" i="38"/>
  <c r="T212" i="49"/>
  <c r="BA2" i="34"/>
  <c r="Z331" i="49"/>
  <c r="N224" i="49"/>
  <c r="D47" i="34"/>
  <c r="S195" i="37"/>
  <c r="T306" i="49"/>
  <c r="S122" i="38"/>
  <c r="Q361" i="33"/>
  <c r="R210" i="33"/>
  <c r="R211" i="38"/>
  <c r="R15" i="38"/>
  <c r="S92" i="37"/>
  <c r="N4" i="36"/>
  <c r="R111" i="39"/>
  <c r="T388" i="49"/>
  <c r="O67" i="53"/>
  <c r="Z92" i="49"/>
  <c r="O54" i="48"/>
  <c r="D44" i="34"/>
  <c r="AB68" i="50"/>
  <c r="AB35" i="53"/>
  <c r="Z238" i="49"/>
  <c r="R194" i="37"/>
  <c r="K24" i="42"/>
  <c r="C64" i="34"/>
  <c r="X90" i="48"/>
  <c r="N28" i="48"/>
  <c r="Q299" i="33"/>
  <c r="S31" i="47"/>
  <c r="O179" i="49"/>
  <c r="S180" i="37"/>
  <c r="C5" i="34"/>
  <c r="R225" i="33"/>
  <c r="AA46" i="53"/>
  <c r="Q345" i="33"/>
  <c r="S6" i="38"/>
  <c r="Q350" i="33"/>
  <c r="S242" i="49"/>
  <c r="G19" i="24"/>
  <c r="J8" i="38"/>
  <c r="N64" i="53"/>
  <c r="N245" i="49"/>
  <c r="Y63" i="48"/>
  <c r="R139" i="33"/>
  <c r="AF105" i="42"/>
  <c r="T15" i="47"/>
  <c r="R22" i="38"/>
  <c r="S121" i="37"/>
  <c r="D124" i="34"/>
  <c r="Y9" i="49"/>
  <c r="S89" i="50"/>
  <c r="N91" i="50"/>
  <c r="N366" i="49"/>
  <c r="Y81" i="53"/>
  <c r="E31" i="59"/>
  <c r="R356" i="33"/>
  <c r="X198" i="49"/>
  <c r="X89" i="50"/>
  <c r="AF23" i="43"/>
  <c r="R248" i="33"/>
  <c r="Q360" i="33"/>
  <c r="J30" i="24"/>
  <c r="S36" i="37"/>
  <c r="P9" i="45" a="1"/>
  <c r="D26" i="41"/>
  <c r="G5" i="42"/>
  <c r="AA33" i="48"/>
  <c r="O324" i="49"/>
  <c r="R10" i="39"/>
  <c r="J28" i="9"/>
  <c r="AB361" i="49"/>
  <c r="AF31" i="43"/>
  <c r="C100" i="34"/>
  <c r="S64" i="48"/>
  <c r="S65" i="38"/>
  <c r="S366" i="49"/>
  <c r="N352" i="49"/>
  <c r="R20" i="37"/>
  <c r="X311" i="49"/>
  <c r="S137" i="49"/>
  <c r="N334" i="49"/>
  <c r="R109" i="38"/>
  <c r="T294" i="49"/>
  <c r="I21" i="59"/>
  <c r="J6" i="11"/>
  <c r="N72" i="53"/>
  <c r="AF38" i="42"/>
  <c r="AA35" i="49"/>
  <c r="I17" i="39"/>
  <c r="R246" i="38"/>
  <c r="AF6" i="44"/>
  <c r="S53" i="48"/>
  <c r="S98" i="49"/>
  <c r="S7" i="38"/>
  <c r="AG155" i="42"/>
  <c r="Y382" i="49"/>
  <c r="AB336" i="49"/>
  <c r="AB266" i="49"/>
  <c r="N4" i="59"/>
  <c r="AA80" i="53"/>
  <c r="Q328" i="33"/>
  <c r="T22" i="48"/>
  <c r="G46" i="24"/>
  <c r="S85" i="38"/>
  <c r="AB80" i="48"/>
  <c r="R353" i="33"/>
  <c r="Z6" i="51"/>
  <c r="AG43" i="44"/>
  <c r="T9" i="53"/>
  <c r="N34" i="47"/>
  <c r="J13" i="37"/>
  <c r="Q184" i="33"/>
  <c r="N87" i="49"/>
  <c r="X87" i="50"/>
  <c r="E34" i="41"/>
  <c r="Y53" i="48"/>
  <c r="N8" i="53"/>
  <c r="V5" i="51"/>
  <c r="N3" i="49"/>
  <c r="X58" i="53"/>
  <c r="Z107" i="50"/>
  <c r="S63" i="53"/>
  <c r="I38" i="35"/>
  <c r="S56" i="50"/>
  <c r="X82" i="53"/>
  <c r="AA57" i="47"/>
  <c r="Z222" i="49"/>
  <c r="Q50" i="33"/>
  <c r="N257" i="49"/>
  <c r="J5" i="7"/>
  <c r="AA190" i="49"/>
  <c r="G8" i="37"/>
  <c r="C34" i="50"/>
  <c r="R160" i="38"/>
  <c r="Z308" i="49"/>
  <c r="T76" i="47"/>
  <c r="O26" i="47"/>
  <c r="O81" i="49"/>
  <c r="S38" i="50"/>
  <c r="AA110" i="49"/>
  <c r="Y237" i="49"/>
  <c r="Y59" i="49"/>
  <c r="X216" i="49"/>
  <c r="R180" i="38"/>
  <c r="G29" i="34"/>
  <c r="Q123" i="33"/>
  <c r="Q406" i="33"/>
  <c r="C24" i="34"/>
  <c r="AH19" i="48"/>
  <c r="X76" i="47"/>
  <c r="E8" i="59"/>
  <c r="X29" i="53"/>
  <c r="AF88" i="43"/>
  <c r="X37" i="48"/>
  <c r="AB71" i="49"/>
  <c r="S183" i="38"/>
  <c r="C90" i="34"/>
  <c r="Q274" i="33"/>
  <c r="AM3" i="42"/>
  <c r="S168" i="49"/>
  <c r="W48" i="51"/>
  <c r="AB40" i="50"/>
  <c r="R109" i="39"/>
  <c r="Q193" i="33"/>
  <c r="J15" i="42"/>
  <c r="R73" i="39"/>
  <c r="D18" i="51"/>
  <c r="V39" i="51"/>
  <c r="R26" i="51"/>
  <c r="X94" i="49"/>
  <c r="Z244" i="49"/>
  <c r="Q269" i="33"/>
  <c r="Y212" i="49"/>
  <c r="E7" i="41"/>
  <c r="AA269" i="49"/>
  <c r="C99" i="34"/>
  <c r="G6" i="48"/>
  <c r="AA106" i="50"/>
  <c r="O68" i="49"/>
  <c r="Z90" i="48"/>
  <c r="T33" i="53"/>
  <c r="D118" i="34"/>
  <c r="Z86" i="53"/>
  <c r="O2" i="34"/>
  <c r="AB162" i="49"/>
  <c r="O20" i="49"/>
  <c r="S58" i="37"/>
  <c r="O115" i="50"/>
  <c r="Q56" i="33"/>
  <c r="R13" i="40" a="1"/>
  <c r="R17" i="33"/>
  <c r="T204" i="49"/>
  <c r="Q382" i="33"/>
  <c r="O240" i="49"/>
  <c r="R421" i="33"/>
  <c r="Q247" i="33"/>
  <c r="Q234" i="33"/>
  <c r="J20" i="11"/>
  <c r="N195" i="49"/>
  <c r="Q385" i="33"/>
  <c r="AH22" i="48"/>
  <c r="O57" i="47"/>
  <c r="R181" i="38"/>
  <c r="S225" i="39"/>
  <c r="G6" i="12"/>
  <c r="Y162" i="49"/>
  <c r="G5" i="34"/>
  <c r="O88" i="50"/>
  <c r="R150" i="37"/>
  <c r="Z201" i="49"/>
  <c r="M4" i="51"/>
  <c r="S71" i="38"/>
  <c r="H15" i="45"/>
  <c r="AF251" i="42"/>
  <c r="AA228" i="49"/>
  <c r="N179" i="49"/>
  <c r="M7" i="33"/>
  <c r="S336" i="49"/>
  <c r="S260" i="49"/>
  <c r="X307" i="49"/>
  <c r="Z33" i="49"/>
  <c r="X66" i="47"/>
  <c r="J5" i="24"/>
  <c r="J44" i="24"/>
  <c r="F6" i="44"/>
  <c r="AB99" i="50"/>
  <c r="R185" i="33"/>
  <c r="F3" i="39"/>
  <c r="Q402" i="33"/>
  <c r="AA184" i="49"/>
  <c r="Y86" i="48"/>
  <c r="T73" i="53"/>
  <c r="AA98" i="49"/>
  <c r="S41" i="49"/>
  <c r="J7" i="48"/>
  <c r="AG232" i="42"/>
  <c r="AB55" i="53"/>
  <c r="T25" i="48"/>
  <c r="W56" i="51"/>
  <c r="O251" i="49"/>
  <c r="AF46" i="43"/>
  <c r="T305" i="49"/>
  <c r="S226" i="37"/>
  <c r="AC15" i="45"/>
  <c r="Z49" i="51"/>
  <c r="AG69" i="43"/>
  <c r="AA36" i="47"/>
  <c r="N137" i="49"/>
  <c r="J49" i="49"/>
  <c r="S186" i="38"/>
  <c r="Z111" i="49"/>
  <c r="R257" i="39"/>
  <c r="M13" i="33"/>
  <c r="R454" i="33"/>
  <c r="AA243" i="49"/>
  <c r="AA280" i="49"/>
  <c r="W26" i="51"/>
  <c r="S4" i="47"/>
  <c r="O79" i="47"/>
  <c r="R449" i="33"/>
  <c r="Y68" i="47"/>
  <c r="S231" i="37"/>
  <c r="J79" i="53"/>
  <c r="R252" i="38"/>
  <c r="J30" i="50"/>
  <c r="T41" i="47"/>
  <c r="R97" i="37"/>
  <c r="S100" i="38"/>
  <c r="R480" i="33"/>
  <c r="N56" i="50"/>
  <c r="S50" i="47"/>
  <c r="E30" i="41"/>
  <c r="S219" i="38"/>
  <c r="Q66" i="33"/>
  <c r="Z327" i="49"/>
  <c r="AB61" i="49"/>
  <c r="S2" i="34"/>
  <c r="R213" i="39"/>
  <c r="Z15" i="47"/>
  <c r="B59" i="34"/>
  <c r="S3" i="38"/>
  <c r="AB335" i="49"/>
  <c r="Z35" i="48"/>
  <c r="S230" i="37"/>
  <c r="L26" i="51"/>
  <c r="S224" i="49"/>
  <c r="AB52" i="48"/>
  <c r="R219" i="38"/>
  <c r="T29" i="49"/>
  <c r="S167" i="49"/>
  <c r="AF62" i="44"/>
  <c r="L17" i="51"/>
  <c r="Q485" i="33"/>
  <c r="T40" i="47"/>
  <c r="Q256" i="33"/>
  <c r="R50" i="33"/>
  <c r="A11" i="35"/>
  <c r="R150" i="33"/>
  <c r="D27" i="54"/>
  <c r="S127" i="39"/>
  <c r="J4" i="37"/>
  <c r="AA59" i="53"/>
  <c r="AA34" i="53"/>
  <c r="AW2" i="34"/>
  <c r="Y213" i="49"/>
  <c r="J7" i="37"/>
  <c r="N27" i="53"/>
  <c r="Y33" i="50"/>
  <c r="R260" i="37"/>
  <c r="R219" i="37"/>
  <c r="Y28" i="53"/>
  <c r="X61" i="49"/>
  <c r="S177" i="39"/>
  <c r="O24" i="47"/>
  <c r="V54" i="51"/>
  <c r="Q244" i="33"/>
  <c r="N297" i="49"/>
  <c r="O88" i="49"/>
  <c r="R339" i="33"/>
  <c r="Q3" i="41"/>
  <c r="Z369" i="49"/>
  <c r="X327" i="49"/>
  <c r="Y47" i="50"/>
  <c r="AA174" i="49"/>
  <c r="S108" i="50"/>
  <c r="O374" i="49"/>
  <c r="S227" i="39"/>
  <c r="S71" i="49"/>
  <c r="N60" i="50"/>
  <c r="T118" i="50"/>
  <c r="R253" i="33"/>
  <c r="AA12" i="48"/>
  <c r="Q506" i="33"/>
  <c r="R445" i="33"/>
  <c r="R31" i="51"/>
  <c r="X229" i="49"/>
  <c r="J10" i="38"/>
  <c r="AA21" i="47"/>
  <c r="Y10" i="48"/>
  <c r="R187" i="38"/>
  <c r="S123" i="50"/>
  <c r="AA137" i="49"/>
  <c r="D23" i="34"/>
  <c r="AB313" i="49"/>
  <c r="E14" i="38"/>
  <c r="Z96" i="50"/>
  <c r="Q341" i="33"/>
  <c r="X75" i="47"/>
  <c r="Y12" i="50"/>
  <c r="R185" i="39"/>
  <c r="Q279" i="33"/>
  <c r="S384" i="49"/>
  <c r="J18" i="48"/>
  <c r="R404" i="33"/>
  <c r="J59" i="47"/>
  <c r="AB287" i="49"/>
  <c r="S82" i="50"/>
  <c r="AA80" i="49"/>
  <c r="AA344" i="49"/>
  <c r="D5" i="35"/>
  <c r="R121" i="39"/>
  <c r="N291" i="49"/>
  <c r="Z59" i="48"/>
  <c r="Q142" i="33"/>
  <c r="AI11" i="48"/>
  <c r="AB214" i="49"/>
  <c r="J20" i="39"/>
  <c r="Z24" i="48"/>
  <c r="L23" i="43"/>
  <c r="N190" i="49"/>
  <c r="G4" i="43"/>
  <c r="R180" i="33"/>
  <c r="E7" i="37"/>
  <c r="AF37" i="42"/>
  <c r="J26" i="50"/>
  <c r="R42" i="39"/>
  <c r="H15" i="38"/>
  <c r="Z312" i="49"/>
  <c r="C12" i="51"/>
  <c r="AB7" i="50"/>
  <c r="S259" i="38"/>
  <c r="AA54" i="53"/>
  <c r="J11" i="7"/>
  <c r="AB291" i="49"/>
  <c r="AG22" i="43"/>
  <c r="R117" i="37"/>
  <c r="AF19" i="43"/>
  <c r="Q352" i="33"/>
  <c r="O376" i="49"/>
  <c r="R25" i="39"/>
  <c r="X331" i="49"/>
  <c r="Z153" i="49"/>
  <c r="J4" i="35"/>
  <c r="X68" i="47"/>
  <c r="AF15" i="50"/>
  <c r="Y27" i="51"/>
  <c r="N31" i="49"/>
  <c r="AA75" i="50"/>
  <c r="R47" i="51"/>
  <c r="Q349" i="33"/>
  <c r="AB16" i="45"/>
  <c r="R301" i="33"/>
  <c r="S163" i="38"/>
  <c r="AF19" i="51"/>
  <c r="AB37" i="48"/>
  <c r="T62" i="53"/>
  <c r="AD19" i="51"/>
  <c r="AF44" i="44"/>
  <c r="Z8" i="49"/>
  <c r="X38" i="51"/>
  <c r="S193" i="37"/>
  <c r="AB29" i="49"/>
  <c r="J21" i="38"/>
  <c r="B82" i="34"/>
  <c r="Q293" i="33"/>
  <c r="R156" i="37"/>
  <c r="AA79" i="47"/>
  <c r="AF55" i="42"/>
  <c r="R171" i="33"/>
  <c r="S102" i="49"/>
  <c r="T355" i="49"/>
  <c r="R505" i="33"/>
  <c r="C27" i="54"/>
  <c r="Y12" i="53"/>
  <c r="Y368" i="49"/>
  <c r="AG64" i="44"/>
  <c r="S28" i="40"/>
  <c r="J14" i="37"/>
  <c r="Y73" i="47"/>
  <c r="G121" i="34"/>
  <c r="Z40" i="47"/>
  <c r="D51" i="34"/>
  <c r="Z79" i="53"/>
  <c r="R183" i="33"/>
  <c r="Z58" i="53"/>
  <c r="O300" i="49"/>
  <c r="Z179" i="49"/>
  <c r="T217" i="49"/>
  <c r="R200" i="38"/>
  <c r="Z227" i="49"/>
  <c r="AA225" i="49"/>
  <c r="AB318" i="49"/>
  <c r="AB26" i="45"/>
  <c r="S369" i="49"/>
  <c r="B86" i="34"/>
  <c r="G44" i="34"/>
  <c r="T154" i="49"/>
  <c r="R219" i="33"/>
  <c r="R177" i="38"/>
  <c r="X264" i="49"/>
  <c r="AB100" i="50"/>
  <c r="X52" i="50"/>
  <c r="AA57" i="50"/>
  <c r="AA76" i="48"/>
  <c r="R245" i="33"/>
  <c r="X22" i="49"/>
  <c r="Z33" i="48"/>
  <c r="I5" i="36"/>
  <c r="G17" i="38"/>
  <c r="S200" i="38"/>
  <c r="S8" i="49"/>
  <c r="S42" i="53"/>
  <c r="Y31" i="48"/>
  <c r="D52" i="52"/>
  <c r="G14" i="37"/>
  <c r="R140" i="33"/>
  <c r="AB226" i="49"/>
  <c r="S61" i="37"/>
  <c r="S225" i="37"/>
  <c r="AA27" i="53"/>
  <c r="S22" i="47"/>
  <c r="AB31" i="47"/>
  <c r="T7" i="47"/>
  <c r="R213" i="33"/>
  <c r="Z82" i="50"/>
  <c r="Y40" i="53"/>
  <c r="O283" i="49"/>
  <c r="T94" i="49"/>
  <c r="AB312" i="49"/>
  <c r="W31" i="51"/>
  <c r="H18" i="38"/>
  <c r="T13" i="48"/>
  <c r="S16" i="39"/>
  <c r="D19" i="36"/>
  <c r="X132" i="49"/>
  <c r="X27" i="50"/>
  <c r="X33" i="48"/>
  <c r="Y25" i="53"/>
  <c r="N164" i="49"/>
  <c r="AB37" i="53"/>
  <c r="J11" i="11"/>
  <c r="R239" i="33"/>
  <c r="R214" i="38"/>
  <c r="J22" i="35"/>
  <c r="AI21" i="48"/>
  <c r="T362" i="49"/>
  <c r="K23" i="42"/>
  <c r="J86" i="50"/>
  <c r="N8" i="59"/>
  <c r="Q198" i="33"/>
  <c r="S242" i="37"/>
  <c r="O83" i="49"/>
  <c r="S243" i="39"/>
  <c r="Q62" i="33"/>
  <c r="Y37" i="51"/>
  <c r="Z39" i="51"/>
  <c r="AC4" i="45"/>
  <c r="O348" i="49"/>
  <c r="Q91" i="33"/>
  <c r="AA221" i="49"/>
  <c r="Z171" i="49"/>
  <c r="Z50" i="50"/>
  <c r="R143" i="38"/>
  <c r="AH15" i="49"/>
  <c r="Y103" i="50"/>
  <c r="O62" i="49"/>
  <c r="T96" i="49"/>
  <c r="O51" i="53"/>
  <c r="X76" i="48"/>
  <c r="J34" i="9"/>
  <c r="D103" i="34"/>
  <c r="Z352" i="49"/>
  <c r="AF65" i="44"/>
  <c r="L34" i="51"/>
  <c r="S49" i="50"/>
  <c r="T114" i="49"/>
  <c r="X187" i="49"/>
  <c r="T353" i="49"/>
  <c r="D84" i="34"/>
  <c r="E26" i="42"/>
  <c r="X76" i="49"/>
  <c r="S245" i="37"/>
  <c r="D7" i="44"/>
  <c r="L21" i="42"/>
  <c r="X358" i="49"/>
  <c r="AG19" i="44"/>
  <c r="G105" i="34"/>
  <c r="T49" i="47"/>
  <c r="Y118" i="50"/>
  <c r="Q502" i="33"/>
  <c r="M3" i="51"/>
  <c r="R46" i="33"/>
  <c r="D6" i="43"/>
  <c r="O146" i="49"/>
  <c r="T304" i="49"/>
  <c r="Z72" i="53"/>
  <c r="X113" i="49"/>
  <c r="S78" i="37"/>
  <c r="X250" i="49"/>
  <c r="T56" i="48"/>
  <c r="X24" i="53"/>
  <c r="S21" i="37"/>
  <c r="AG113" i="42"/>
  <c r="J22" i="39"/>
  <c r="X9" i="51"/>
  <c r="N145" i="49"/>
  <c r="X260" i="49"/>
  <c r="Y56" i="53"/>
  <c r="R124" i="37"/>
  <c r="B18" i="34"/>
  <c r="AF73" i="42"/>
  <c r="Q61" i="33"/>
  <c r="AF41" i="44"/>
  <c r="S161" i="37"/>
  <c r="S245" i="38"/>
  <c r="AA274" i="49"/>
  <c r="R198" i="39"/>
  <c r="T35" i="53"/>
  <c r="R185" i="38"/>
  <c r="M10" i="51"/>
  <c r="AF152" i="42"/>
  <c r="Z269" i="49"/>
  <c r="S162" i="49"/>
  <c r="R3" i="51"/>
  <c r="AB85" i="49"/>
  <c r="T283" i="49"/>
  <c r="Z316" i="49"/>
  <c r="R163" i="37"/>
  <c r="T11" i="48"/>
  <c r="X85" i="50"/>
  <c r="AF12" i="51"/>
  <c r="S235" i="37"/>
  <c r="N95" i="49"/>
  <c r="Z123" i="50"/>
  <c r="R423" i="33"/>
  <c r="Q377" i="33"/>
  <c r="G49" i="34"/>
  <c r="Q63" i="33"/>
  <c r="Q271" i="33"/>
  <c r="X10" i="50"/>
  <c r="Z89" i="49"/>
  <c r="V26" i="40"/>
  <c r="R157" i="38"/>
  <c r="AB118" i="50"/>
  <c r="S194" i="49"/>
  <c r="T14" i="50"/>
  <c r="X120" i="50"/>
  <c r="AB222" i="49"/>
  <c r="AF30" i="43"/>
  <c r="J66" i="53"/>
  <c r="AB331" i="49"/>
  <c r="AG112" i="43"/>
  <c r="X40" i="51"/>
  <c r="S56" i="37"/>
  <c r="T346" i="49"/>
  <c r="O90" i="48"/>
  <c r="AG106" i="42"/>
  <c r="R25" i="37"/>
  <c r="S34" i="48"/>
  <c r="T74" i="53"/>
  <c r="Q441" i="33"/>
  <c r="D40" i="41"/>
  <c r="S182" i="49"/>
  <c r="N5" i="47"/>
  <c r="R103" i="37"/>
  <c r="AA21" i="50"/>
  <c r="Q273" i="33"/>
  <c r="AH23" i="49"/>
  <c r="H4" i="38"/>
  <c r="Y356" i="49"/>
  <c r="J19" i="7"/>
  <c r="S136" i="49"/>
  <c r="AA92" i="50"/>
  <c r="T23" i="53"/>
  <c r="N238" i="49"/>
  <c r="Z36" i="51"/>
  <c r="R250" i="38"/>
  <c r="AA73" i="53"/>
  <c r="AA24" i="47"/>
  <c r="J47" i="49"/>
  <c r="T60" i="50"/>
  <c r="Z338" i="49"/>
  <c r="AF45" i="42"/>
  <c r="E4" i="38"/>
  <c r="R220" i="33"/>
  <c r="T178" i="49"/>
  <c r="Q179" i="33"/>
  <c r="N21" i="53"/>
  <c r="G31" i="34"/>
  <c r="O40" i="50"/>
  <c r="T360" i="49"/>
  <c r="S22" i="38"/>
  <c r="Z205" i="49"/>
  <c r="AF24" i="42"/>
  <c r="O73" i="48"/>
  <c r="Z44" i="49"/>
  <c r="AA79" i="49"/>
  <c r="X147" i="49"/>
  <c r="B74" i="34"/>
  <c r="X385" i="49"/>
  <c r="R243" i="37"/>
  <c r="O67" i="49"/>
  <c r="AG85" i="43"/>
  <c r="Z109" i="49"/>
  <c r="AB17" i="50"/>
  <c r="Y58" i="50"/>
  <c r="T73" i="49"/>
  <c r="Y70" i="50"/>
  <c r="X23" i="50"/>
  <c r="H10" i="38"/>
  <c r="F7" i="44"/>
  <c r="S108" i="37"/>
  <c r="AA92" i="49"/>
  <c r="G12" i="34"/>
  <c r="S8" i="50"/>
  <c r="R226" i="37"/>
  <c r="O32" i="53"/>
  <c r="N97" i="50"/>
  <c r="AA322" i="49"/>
  <c r="J33" i="35"/>
  <c r="S133" i="38"/>
  <c r="R260" i="38"/>
  <c r="R369" i="33"/>
  <c r="R59" i="37"/>
  <c r="Q116" i="33"/>
  <c r="D23" i="52"/>
  <c r="AB9" i="50"/>
  <c r="T38" i="49"/>
  <c r="S167" i="39"/>
  <c r="B104" i="34"/>
  <c r="AB6" i="53"/>
  <c r="AB8" i="45"/>
  <c r="R142" i="39"/>
  <c r="O69" i="49"/>
  <c r="J4" i="48"/>
  <c r="AG256" i="42"/>
  <c r="N390" i="49"/>
  <c r="AB37" i="49"/>
  <c r="AG45" i="44"/>
  <c r="J32" i="8"/>
  <c r="C14" i="34"/>
  <c r="X192" i="49"/>
  <c r="X17" i="47"/>
  <c r="T6" i="50"/>
  <c r="S18" i="53"/>
  <c r="D15" i="41"/>
  <c r="Z77" i="49"/>
  <c r="Y5" i="49"/>
  <c r="T275" i="49"/>
  <c r="C17" i="51"/>
  <c r="M6" i="33"/>
  <c r="C15" i="34"/>
  <c r="N85" i="48"/>
  <c r="Z64" i="53"/>
  <c r="R462" i="33"/>
  <c r="AF43" i="42"/>
  <c r="Y25" i="49"/>
  <c r="O38" i="49"/>
  <c r="T54" i="50"/>
  <c r="O209" i="49"/>
  <c r="Y16" i="49"/>
  <c r="D37" i="41"/>
  <c r="AF32" i="44"/>
  <c r="F4" i="43"/>
  <c r="Z51" i="51"/>
  <c r="X273" i="49"/>
  <c r="R158" i="39"/>
  <c r="AG14" i="51"/>
  <c r="J91" i="53"/>
  <c r="T106" i="50"/>
  <c r="X361" i="49"/>
  <c r="Q315" i="33"/>
  <c r="AF35" i="42"/>
  <c r="S3" i="42" a="1"/>
  <c r="S49" i="47"/>
  <c r="R27" i="38"/>
  <c r="Z138" i="49"/>
  <c r="AF132" i="43"/>
  <c r="R225" i="38"/>
  <c r="AA112" i="50"/>
  <c r="Q356" i="33"/>
  <c r="Q13" i="45" a="1"/>
  <c r="Z46" i="53"/>
  <c r="Y330" i="49"/>
  <c r="Y335" i="49"/>
  <c r="K3" i="43"/>
  <c r="AC25" i="45"/>
  <c r="S262" i="38"/>
  <c r="Y183" i="49"/>
  <c r="J30" i="47"/>
  <c r="N4" i="53"/>
  <c r="T124" i="49"/>
  <c r="Z332" i="49"/>
  <c r="O115" i="49"/>
  <c r="Q76" i="33"/>
  <c r="X67" i="48"/>
  <c r="R207" i="33"/>
  <c r="AA98" i="50"/>
  <c r="AG62" i="42"/>
  <c r="AB25" i="45"/>
  <c r="N38" i="47"/>
  <c r="S19" i="39"/>
  <c r="S57" i="47"/>
  <c r="AG90" i="43"/>
  <c r="AF22" i="50"/>
  <c r="D35" i="41"/>
  <c r="N16" i="39"/>
  <c r="R292" i="33"/>
  <c r="O97" i="50"/>
  <c r="S98" i="50"/>
  <c r="R77" i="39"/>
  <c r="Q309" i="33"/>
  <c r="Z88" i="48"/>
  <c r="O71" i="49"/>
  <c r="D22" i="34"/>
  <c r="X10" i="47"/>
  <c r="R259" i="38"/>
  <c r="Q488" i="33"/>
  <c r="S65" i="53"/>
  <c r="X95" i="49"/>
  <c r="B70" i="34"/>
  <c r="J33" i="9"/>
  <c r="D129" i="34"/>
  <c r="AA363" i="49"/>
  <c r="N69" i="49"/>
  <c r="X28" i="53"/>
  <c r="N71" i="47"/>
  <c r="AA272" i="49"/>
  <c r="R313" i="33"/>
  <c r="J45" i="50"/>
  <c r="AG3" i="42"/>
  <c r="AA68" i="47"/>
  <c r="Y39" i="53"/>
  <c r="S41" i="53"/>
  <c r="O235" i="49"/>
  <c r="J15" i="43"/>
  <c r="C77" i="34"/>
  <c r="Q72" i="33"/>
  <c r="S156" i="38"/>
  <c r="I18" i="39"/>
  <c r="J61" i="50"/>
  <c r="AF128" i="42"/>
  <c r="Q6" i="33"/>
  <c r="AA229" i="49"/>
  <c r="AG197" i="42"/>
  <c r="AB375" i="49"/>
  <c r="I4" i="37"/>
  <c r="X39" i="49"/>
  <c r="AA65" i="47"/>
  <c r="R7" i="37"/>
  <c r="AF64" i="42"/>
  <c r="AF108" i="43"/>
  <c r="AG117" i="43"/>
  <c r="N147" i="49"/>
  <c r="R305" i="33"/>
  <c r="AA41" i="53"/>
  <c r="R206" i="38"/>
  <c r="T312" i="49"/>
  <c r="Q241" i="33"/>
  <c r="X54" i="48"/>
  <c r="G11" i="39"/>
  <c r="E6" i="39"/>
  <c r="N87" i="48"/>
  <c r="AA116" i="49"/>
  <c r="AI11" i="50"/>
  <c r="T86" i="49"/>
  <c r="S64" i="49"/>
  <c r="T6" i="40"/>
  <c r="O52" i="49"/>
  <c r="B50" i="34"/>
  <c r="Z79" i="49"/>
  <c r="Q55" i="33"/>
  <c r="Q370" i="33"/>
  <c r="AA81" i="50"/>
  <c r="B110" i="34"/>
  <c r="T363" i="49"/>
  <c r="N258" i="49"/>
  <c r="AF193" i="42"/>
  <c r="AF105" i="43"/>
  <c r="R255" i="39"/>
  <c r="Z260" i="49"/>
  <c r="T15" i="50"/>
  <c r="Q461" i="33"/>
  <c r="R106" i="33"/>
  <c r="AA14" i="53"/>
  <c r="B113" i="34"/>
  <c r="Q36" i="51"/>
  <c r="R93" i="33"/>
  <c r="Y56" i="47"/>
  <c r="M12" i="41"/>
  <c r="AA123" i="49"/>
  <c r="R257" i="33"/>
  <c r="N361" i="49"/>
  <c r="D12" i="51"/>
  <c r="R12" i="39"/>
  <c r="S352" i="49"/>
  <c r="J18" i="49"/>
  <c r="J33" i="7"/>
  <c r="O116" i="49"/>
  <c r="M15" i="41"/>
  <c r="O250" i="49"/>
  <c r="Y320" i="49"/>
  <c r="Y34" i="53"/>
  <c r="Y111" i="49"/>
  <c r="Z152" i="49"/>
  <c r="S228" i="38"/>
  <c r="R111" i="37"/>
  <c r="X180" i="49"/>
  <c r="Q35" i="33"/>
  <c r="S69" i="37"/>
  <c r="Q503" i="33"/>
  <c r="R138" i="39"/>
  <c r="B65" i="34"/>
  <c r="O292" i="49"/>
  <c r="Z159" i="49"/>
  <c r="O44" i="48"/>
  <c r="S46" i="38"/>
  <c r="X315" i="49"/>
  <c r="R229" i="33"/>
  <c r="Z44" i="48"/>
  <c r="D80" i="34"/>
  <c r="Z129" i="49"/>
  <c r="G5" i="38"/>
  <c r="Q105" i="33"/>
  <c r="C119" i="34"/>
  <c r="N221" i="49"/>
  <c r="AB20" i="48"/>
  <c r="AB308" i="49"/>
  <c r="AG39" i="43"/>
  <c r="Q141" i="33"/>
  <c r="N52" i="49"/>
  <c r="AG96" i="42"/>
  <c r="R161" i="33"/>
  <c r="O54" i="50"/>
  <c r="AB43" i="47"/>
  <c r="AA13" i="53"/>
  <c r="AF157" i="42"/>
  <c r="T97" i="50"/>
  <c r="AA135" i="49"/>
  <c r="R195" i="37"/>
  <c r="I13" i="52"/>
  <c r="S19" i="47"/>
  <c r="L10" i="51"/>
  <c r="X39" i="51"/>
  <c r="J34" i="35"/>
  <c r="O48" i="50"/>
  <c r="Z22" i="49"/>
  <c r="B33" i="34"/>
  <c r="AB17" i="47"/>
  <c r="N103" i="50"/>
  <c r="Q249" i="33"/>
  <c r="W39" i="51"/>
  <c r="N41" i="49"/>
  <c r="X148" i="49"/>
  <c r="X85" i="53"/>
  <c r="AB65" i="48"/>
  <c r="Z14" i="51"/>
  <c r="I5" i="25"/>
  <c r="R195" i="33"/>
  <c r="X301" i="49"/>
  <c r="O36" i="47"/>
  <c r="S152" i="38"/>
  <c r="AF15" i="44"/>
  <c r="S66" i="48"/>
  <c r="N35" i="49"/>
  <c r="Y17" i="50"/>
  <c r="R110" i="39"/>
  <c r="S285" i="49"/>
  <c r="AA30" i="47"/>
  <c r="AG234" i="42"/>
  <c r="AF99" i="43"/>
  <c r="R127" i="33"/>
  <c r="S248" i="38"/>
  <c r="AB96" i="49"/>
  <c r="Z16" i="51"/>
  <c r="E22" i="39"/>
  <c r="D31" i="41"/>
  <c r="Y389" i="49"/>
  <c r="O167" i="49"/>
  <c r="R33" i="37"/>
  <c r="N37" i="48"/>
  <c r="AF214" i="42"/>
  <c r="S44" i="48"/>
  <c r="Q250" i="33"/>
  <c r="C128" i="34"/>
  <c r="R304" i="33"/>
  <c r="Q280" i="33"/>
  <c r="X294" i="49"/>
  <c r="R225" i="39"/>
  <c r="J3" i="37"/>
  <c r="AF222" i="42"/>
  <c r="R451" i="33"/>
  <c r="F8" i="39"/>
  <c r="R426" i="33"/>
  <c r="S241" i="39"/>
  <c r="R215" i="39"/>
  <c r="R244" i="38"/>
  <c r="N51" i="47"/>
  <c r="R33" i="51"/>
  <c r="Z303" i="49"/>
  <c r="N105" i="50"/>
  <c r="Z266" i="49"/>
  <c r="G4" i="37"/>
  <c r="E20" i="41"/>
  <c r="R28" i="51"/>
  <c r="AC10" i="45"/>
  <c r="N10" i="59"/>
  <c r="S229" i="38"/>
  <c r="AB188" i="49"/>
  <c r="R24" i="38"/>
  <c r="AB163" i="49"/>
  <c r="J28" i="48"/>
  <c r="K7" i="42"/>
  <c r="Y116" i="50"/>
  <c r="S58" i="50"/>
  <c r="S39" i="37"/>
  <c r="R88" i="39"/>
  <c r="L28" i="42"/>
  <c r="C104" i="34"/>
  <c r="R95" i="37"/>
  <c r="J9" i="11"/>
  <c r="AA27" i="47"/>
  <c r="O46" i="48"/>
  <c r="AB67" i="47"/>
  <c r="AC12" i="45"/>
  <c r="R503" i="33"/>
  <c r="AF178" i="42"/>
  <c r="M39" i="41"/>
  <c r="Y296" i="49"/>
  <c r="N318" i="49"/>
  <c r="AA37" i="47"/>
  <c r="X328" i="49"/>
  <c r="AF58" i="44"/>
  <c r="Y25" i="48"/>
  <c r="R216" i="38"/>
  <c r="AB109" i="50"/>
  <c r="R126" i="37"/>
  <c r="N308" i="49"/>
  <c r="O387" i="49"/>
  <c r="AB30" i="49"/>
  <c r="X274" i="49"/>
  <c r="H6" i="39"/>
  <c r="T14" i="48"/>
  <c r="Q5" i="51"/>
  <c r="R54" i="33"/>
  <c r="AE2" i="34"/>
  <c r="R13" i="33"/>
  <c r="O368" i="49"/>
  <c r="G3" i="42"/>
  <c r="T117" i="49"/>
  <c r="R116" i="39"/>
  <c r="AG208" i="42"/>
  <c r="Z348" i="49"/>
  <c r="T384" i="49"/>
  <c r="T11" i="47"/>
  <c r="Z64" i="49"/>
  <c r="AB81" i="53"/>
  <c r="J27" i="47"/>
  <c r="G15" i="38"/>
  <c r="R197" i="33"/>
  <c r="AF219" i="42"/>
  <c r="S47" i="38"/>
  <c r="S54" i="47"/>
  <c r="Q264" i="33"/>
  <c r="O47" i="49"/>
  <c r="Y39" i="49"/>
  <c r="AF54" i="44"/>
  <c r="J19" i="10"/>
  <c r="I11" i="59"/>
  <c r="AA169" i="49"/>
  <c r="AB100" i="49"/>
  <c r="H40" i="51"/>
  <c r="R45" i="51"/>
  <c r="X79" i="49"/>
  <c r="L9" i="51"/>
  <c r="S169" i="37"/>
  <c r="R91" i="33"/>
  <c r="S32" i="38"/>
  <c r="AG170" i="42"/>
  <c r="AB353" i="49"/>
  <c r="T128" i="49"/>
  <c r="S53" i="37"/>
  <c r="O91" i="48"/>
  <c r="Y196" i="49"/>
  <c r="J18" i="7"/>
  <c r="N38" i="53"/>
  <c r="R71" i="33"/>
  <c r="O30" i="53"/>
  <c r="R223" i="38"/>
  <c r="Q109" i="33"/>
  <c r="X33" i="50"/>
  <c r="S188" i="38"/>
  <c r="AA297" i="49"/>
  <c r="S239" i="49"/>
  <c r="Z116" i="49"/>
  <c r="X44" i="53"/>
  <c r="I9" i="37"/>
  <c r="AA361" i="49"/>
  <c r="J38" i="9"/>
  <c r="O320" i="49"/>
  <c r="D18" i="41"/>
  <c r="AF45" i="44"/>
  <c r="AA28" i="48"/>
  <c r="X368" i="49"/>
  <c r="R350" i="33"/>
  <c r="J21" i="42"/>
  <c r="T80" i="49"/>
  <c r="AB3" i="50"/>
  <c r="AF21" i="51"/>
  <c r="F5" i="38"/>
  <c r="S138" i="37"/>
  <c r="Z49" i="47"/>
  <c r="AA49" i="49"/>
  <c r="T14" i="47"/>
  <c r="Q8" i="51"/>
  <c r="R128" i="33"/>
  <c r="AA88" i="48"/>
  <c r="R97" i="38"/>
  <c r="J71" i="53"/>
  <c r="O14" i="53"/>
  <c r="V23" i="51"/>
  <c r="L24" i="42"/>
  <c r="B12" i="34"/>
  <c r="AB85" i="53"/>
  <c r="S375" i="49"/>
  <c r="E7" i="42"/>
  <c r="N241" i="49"/>
  <c r="O379" i="49"/>
  <c r="S169" i="49"/>
  <c r="AF151" i="42"/>
  <c r="X109" i="50"/>
  <c r="S134" i="39"/>
  <c r="C94" i="34"/>
  <c r="AA226" i="49"/>
  <c r="AA9" i="53"/>
  <c r="G33" i="34"/>
  <c r="AB239" i="49"/>
  <c r="R50" i="51"/>
  <c r="Y264" i="49"/>
  <c r="G46" i="34"/>
  <c r="Q150" i="33"/>
  <c r="X27" i="48"/>
  <c r="AC2" i="50" a="1"/>
  <c r="R83" i="37"/>
  <c r="AG27" i="44"/>
  <c r="Q229" i="33"/>
  <c r="T21" i="48"/>
  <c r="Q98" i="33"/>
  <c r="N9" i="38"/>
  <c r="AF96" i="43"/>
  <c r="N92" i="49"/>
  <c r="S390" i="49"/>
  <c r="AA48" i="47"/>
  <c r="T30" i="50"/>
  <c r="AB45" i="48"/>
  <c r="N14" i="49"/>
  <c r="F8" i="37"/>
  <c r="B92" i="34"/>
  <c r="AF177" i="42"/>
  <c r="N9" i="37"/>
  <c r="AB19" i="48"/>
  <c r="R256" i="39"/>
  <c r="AB106" i="50"/>
  <c r="AA63" i="53"/>
  <c r="Z117" i="49"/>
  <c r="T34" i="47"/>
  <c r="AA27" i="50"/>
  <c r="O86" i="50"/>
  <c r="S99" i="50"/>
  <c r="Y107" i="49"/>
  <c r="R205" i="39"/>
  <c r="T137" i="49"/>
  <c r="F23" i="35"/>
  <c r="T14" i="53"/>
  <c r="AB12" i="49"/>
  <c r="E21" i="44"/>
  <c r="Z272" i="49"/>
  <c r="R48" i="38"/>
  <c r="X82" i="48"/>
  <c r="G30" i="34"/>
  <c r="Q206" i="33"/>
  <c r="Q266" i="33"/>
  <c r="Y181" i="49"/>
  <c r="S101" i="49"/>
  <c r="X386" i="49"/>
  <c r="O78" i="50"/>
  <c r="J12" i="10"/>
  <c r="Y12" i="47"/>
  <c r="Q149" i="33"/>
  <c r="AW3" i="34"/>
  <c r="AB368" i="49"/>
  <c r="M7" i="40"/>
  <c r="AG60" i="44"/>
  <c r="N70" i="47"/>
  <c r="Y5" i="53"/>
  <c r="J35" i="9"/>
  <c r="T4" i="49"/>
  <c r="O278" i="49"/>
  <c r="Y14" i="49"/>
  <c r="K24" i="43"/>
  <c r="T113" i="49"/>
  <c r="Z5" i="50"/>
  <c r="T70" i="50"/>
  <c r="AA343" i="49"/>
  <c r="X9" i="49"/>
  <c r="S23" i="37"/>
  <c r="N20" i="47"/>
  <c r="R238" i="38"/>
  <c r="S97" i="38"/>
  <c r="O30" i="48"/>
  <c r="J12" i="39"/>
  <c r="I3" i="39"/>
  <c r="R153" i="39"/>
  <c r="J18" i="38"/>
  <c r="S183" i="39"/>
  <c r="G55" i="34"/>
  <c r="S31" i="37"/>
  <c r="T105" i="49"/>
  <c r="Q163" i="33"/>
  <c r="Q425" i="33"/>
  <c r="R223" i="33"/>
  <c r="AB108" i="49"/>
  <c r="T10" i="48"/>
  <c r="T46" i="47"/>
  <c r="S39" i="39"/>
  <c r="Q135" i="33"/>
  <c r="X85" i="48"/>
  <c r="Y14" i="48"/>
  <c r="S70" i="50"/>
  <c r="N81" i="53"/>
  <c r="S62" i="53"/>
  <c r="AB77" i="53"/>
  <c r="S7" i="53"/>
  <c r="Z67" i="47"/>
  <c r="S61" i="47"/>
  <c r="R466" i="33"/>
  <c r="S374" i="49"/>
  <c r="V9" i="51"/>
  <c r="D8" i="32"/>
  <c r="AB215" i="49"/>
  <c r="AF122" i="43"/>
  <c r="AB290" i="49"/>
  <c r="N169" i="49"/>
  <c r="T81" i="49"/>
  <c r="T291" i="49"/>
  <c r="S258" i="38"/>
  <c r="AA40" i="49"/>
  <c r="AF22" i="48"/>
  <c r="O3" i="48"/>
  <c r="AB132" i="49"/>
  <c r="S102" i="50"/>
  <c r="N24" i="49"/>
  <c r="AA346" i="49"/>
  <c r="AI12" i="50"/>
  <c r="N7" i="47"/>
  <c r="AI20" i="48"/>
  <c r="N8" i="37"/>
  <c r="Z65" i="49"/>
  <c r="N295" i="49"/>
  <c r="V30" i="51"/>
  <c r="Y56" i="48"/>
  <c r="AF168" i="42"/>
  <c r="R17" i="38"/>
  <c r="R48" i="37"/>
  <c r="J38" i="8"/>
  <c r="AB69" i="47"/>
  <c r="Q404" i="33"/>
  <c r="Z78" i="48"/>
  <c r="AF117" i="42"/>
  <c r="Q7" i="40"/>
  <c r="S259" i="37"/>
  <c r="G15" i="34"/>
  <c r="B2" i="57" a="1"/>
  <c r="R434" i="33"/>
  <c r="R411" i="33"/>
  <c r="S74" i="49"/>
  <c r="X71" i="48"/>
  <c r="S62" i="47"/>
  <c r="X44" i="51"/>
  <c r="R215" i="33"/>
  <c r="S216" i="39"/>
  <c r="Q475" i="33"/>
  <c r="AA64" i="47"/>
  <c r="J59" i="50"/>
  <c r="J25" i="49"/>
  <c r="C37" i="53"/>
  <c r="D5" i="45"/>
  <c r="S75" i="49"/>
  <c r="D37" i="52"/>
  <c r="N228" i="49"/>
  <c r="G6" i="39"/>
  <c r="AG188" i="42"/>
  <c r="D6" i="41"/>
  <c r="AG129" i="43"/>
  <c r="T254" i="49"/>
  <c r="AG236" i="42"/>
  <c r="Z189" i="49"/>
  <c r="Y230" i="49"/>
  <c r="W30" i="51"/>
  <c r="AF70" i="43"/>
  <c r="AB9" i="45"/>
  <c r="R497" i="33"/>
  <c r="O96" i="49"/>
  <c r="R193" i="39"/>
  <c r="G42" i="34"/>
  <c r="X168" i="49"/>
  <c r="AA23" i="53"/>
  <c r="S209" i="49"/>
  <c r="Q93" i="33"/>
  <c r="AA27" i="48"/>
  <c r="T240" i="49"/>
  <c r="B77" i="34"/>
  <c r="Y22" i="50"/>
  <c r="T155" i="49"/>
  <c r="AG28" i="44"/>
  <c r="AI19" i="50"/>
  <c r="O78" i="48"/>
  <c r="T262" i="49"/>
  <c r="AA379" i="49"/>
  <c r="O145" i="49"/>
  <c r="Q81" i="33"/>
  <c r="Q71" i="33"/>
  <c r="Z15" i="49"/>
  <c r="J34" i="48"/>
  <c r="N385" i="49"/>
  <c r="D87" i="34"/>
  <c r="D121" i="34"/>
  <c r="M3" i="34"/>
  <c r="F21" i="39"/>
  <c r="T27" i="40"/>
  <c r="J10" i="39"/>
  <c r="Y206" i="49"/>
  <c r="G81" i="34"/>
  <c r="F17" i="38"/>
  <c r="R507" i="33"/>
  <c r="S256" i="38"/>
  <c r="R120" i="37"/>
  <c r="J54" i="47"/>
  <c r="S112" i="49"/>
  <c r="R93" i="39"/>
  <c r="N79" i="48"/>
  <c r="X111" i="50"/>
  <c r="Y350" i="49"/>
  <c r="AF26" i="44"/>
  <c r="D64" i="34"/>
  <c r="Z47" i="53"/>
  <c r="O29" i="47"/>
  <c r="Y67" i="48"/>
  <c r="S256" i="39"/>
  <c r="O74" i="48"/>
  <c r="O48" i="48"/>
  <c r="Z55" i="49"/>
  <c r="R108" i="33"/>
  <c r="W16" i="51"/>
  <c r="S85" i="37"/>
  <c r="AA375" i="49"/>
  <c r="AF25" i="43"/>
  <c r="R226" i="33"/>
  <c r="T76" i="50"/>
  <c r="Y3" i="49"/>
  <c r="AA67" i="49"/>
  <c r="J41" i="24"/>
  <c r="R128" i="39"/>
  <c r="R78" i="39"/>
  <c r="AG46" i="43"/>
  <c r="G14" i="24"/>
  <c r="Y39" i="50"/>
  <c r="T7" i="48"/>
  <c r="S74" i="37"/>
  <c r="S198" i="38"/>
  <c r="AG99" i="43"/>
  <c r="N17" i="50"/>
  <c r="AG210" i="42"/>
  <c r="S50" i="50"/>
  <c r="T230" i="49"/>
  <c r="AB33" i="53"/>
  <c r="W7" i="51"/>
  <c r="AB10" i="47"/>
  <c r="S191" i="37"/>
  <c r="H33" i="59"/>
  <c r="O78" i="53"/>
  <c r="O42" i="53"/>
  <c r="D6" i="34"/>
  <c r="S341" i="49"/>
  <c r="Z177" i="49"/>
  <c r="Q464" i="33"/>
  <c r="T80" i="50"/>
  <c r="AG49" i="44"/>
  <c r="Z173" i="49"/>
  <c r="O316" i="49"/>
  <c r="R43" i="37"/>
  <c r="H34" i="59"/>
  <c r="S90" i="39"/>
  <c r="Q481" i="33"/>
  <c r="O8" i="48"/>
  <c r="X12" i="49"/>
  <c r="X38" i="49"/>
  <c r="G31" i="24"/>
  <c r="N289" i="49"/>
  <c r="C45" i="34"/>
  <c r="R40" i="37"/>
  <c r="T59" i="50"/>
  <c r="AG250" i="42"/>
  <c r="Y26" i="48"/>
  <c r="AG79" i="42"/>
  <c r="AF27" i="42"/>
  <c r="N242" i="49"/>
  <c r="AF191" i="42"/>
  <c r="S35" i="47"/>
  <c r="Q57" i="33"/>
  <c r="J8" i="53"/>
  <c r="S88" i="37"/>
  <c r="D10" i="51"/>
  <c r="AA240" i="49"/>
  <c r="N158" i="49"/>
  <c r="D25" i="34"/>
  <c r="G125" i="34"/>
  <c r="J24" i="8"/>
  <c r="R71" i="39"/>
  <c r="AG139" i="42"/>
  <c r="AA316" i="49"/>
  <c r="R28" i="39"/>
  <c r="AB79" i="49"/>
  <c r="C57" i="34"/>
  <c r="AA303" i="49"/>
  <c r="R10" i="33"/>
  <c r="T374" i="49"/>
  <c r="S75" i="47"/>
  <c r="R34" i="51"/>
  <c r="AB66" i="50"/>
  <c r="C115" i="34"/>
  <c r="S153" i="39"/>
  <c r="Q9" i="45" a="1"/>
  <c r="Q3" i="34"/>
  <c r="S221" i="39"/>
  <c r="AA264" i="49"/>
  <c r="S19" i="37"/>
  <c r="AB324" i="49"/>
  <c r="Y193" i="49"/>
  <c r="F3" i="38"/>
  <c r="R72" i="33"/>
  <c r="H13" i="37"/>
  <c r="T323" i="49"/>
  <c r="B44" i="34"/>
  <c r="Z2" i="26"/>
  <c r="M4" i="46"/>
  <c r="S25" i="49"/>
  <c r="R177" i="37"/>
  <c r="Y123" i="49"/>
  <c r="N43" i="50"/>
  <c r="O30" i="47"/>
  <c r="G3" i="50"/>
  <c r="R380" i="33"/>
  <c r="R126" i="33"/>
  <c r="AA288" i="49"/>
  <c r="V6" i="51"/>
  <c r="J31" i="8"/>
  <c r="O104" i="49"/>
  <c r="X55" i="48"/>
  <c r="Q511" i="33"/>
  <c r="X23" i="48"/>
  <c r="C18" i="36"/>
  <c r="T263" i="49"/>
  <c r="AB227" i="49"/>
  <c r="AB34" i="47"/>
  <c r="N108" i="50"/>
  <c r="N332" i="49"/>
  <c r="R385" i="33"/>
  <c r="AF17" i="43"/>
  <c r="C26" i="34"/>
  <c r="R95" i="33"/>
  <c r="Z26" i="49"/>
  <c r="Z194" i="49"/>
  <c r="J25" i="42"/>
  <c r="Y3" i="51"/>
  <c r="R66" i="37"/>
  <c r="AF106" i="43"/>
  <c r="O176" i="49"/>
  <c r="T356" i="49"/>
  <c r="Z59" i="53"/>
  <c r="R189" i="38"/>
  <c r="X118" i="49"/>
  <c r="J23" i="47"/>
  <c r="R74" i="39"/>
  <c r="O52" i="48"/>
  <c r="AB75" i="48"/>
  <c r="AA203" i="49"/>
  <c r="Q106" i="33"/>
  <c r="Q261" i="33"/>
  <c r="S151" i="39"/>
  <c r="Y109" i="50"/>
  <c r="AG16" i="43"/>
  <c r="L14" i="61"/>
  <c r="R237" i="37"/>
  <c r="R272" i="33"/>
  <c r="O355" i="49"/>
  <c r="Y37" i="53"/>
  <c r="Q190" i="33"/>
  <c r="O204" i="49"/>
  <c r="AB355" i="49"/>
  <c r="T110" i="50"/>
  <c r="AG6" i="43"/>
  <c r="S163" i="37"/>
  <c r="AF111" i="43"/>
  <c r="J4" i="53"/>
  <c r="O66" i="50"/>
  <c r="S291" i="49"/>
  <c r="S16" i="48"/>
  <c r="X141" i="49"/>
  <c r="AA91" i="48"/>
  <c r="X65" i="53"/>
  <c r="R244" i="39"/>
  <c r="Y11" i="47"/>
  <c r="Y191" i="49"/>
  <c r="T99" i="50"/>
  <c r="C113" i="34"/>
  <c r="Z182" i="49"/>
  <c r="Z12" i="51"/>
  <c r="Z140" i="49"/>
  <c r="S159" i="49"/>
  <c r="C30" i="50"/>
  <c r="I8" i="59"/>
  <c r="Z128" i="49"/>
  <c r="AA42" i="49"/>
  <c r="AA87" i="50"/>
  <c r="R190" i="39"/>
  <c r="AG50" i="43"/>
  <c r="K17" i="44"/>
  <c r="S89" i="38"/>
  <c r="Q414" i="33"/>
  <c r="N15" i="49"/>
  <c r="S147" i="38"/>
  <c r="AG109" i="42"/>
  <c r="G100" i="34"/>
  <c r="R91" i="38"/>
  <c r="C16" i="39"/>
  <c r="J16" i="7"/>
  <c r="AB48" i="47"/>
  <c r="J39" i="11"/>
  <c r="Y385" i="49"/>
  <c r="O385" i="49"/>
  <c r="Q458" i="33"/>
  <c r="AF46" i="42"/>
  <c r="Y271" i="49"/>
  <c r="Q139" i="33"/>
  <c r="T101" i="50"/>
  <c r="O87" i="48"/>
  <c r="N86" i="48"/>
  <c r="X35" i="49"/>
  <c r="O301" i="49"/>
  <c r="X302" i="49"/>
  <c r="R110" i="38"/>
  <c r="AA42" i="48"/>
  <c r="AA330" i="49"/>
  <c r="R17" i="51"/>
  <c r="R73" i="37"/>
  <c r="R45" i="39"/>
  <c r="S165" i="38"/>
  <c r="AB4" i="50"/>
  <c r="G38" i="24"/>
  <c r="G10" i="37"/>
  <c r="AA11" i="47"/>
  <c r="AG9" i="42"/>
  <c r="Y333" i="49"/>
  <c r="S99" i="39"/>
  <c r="D9" i="34"/>
  <c r="G3" i="39"/>
  <c r="T15" i="53"/>
  <c r="Z18" i="50"/>
  <c r="K6" i="33"/>
  <c r="O152" i="49"/>
  <c r="AA325" i="49"/>
  <c r="AC20" i="45"/>
  <c r="AA371" i="49"/>
  <c r="AG174" i="42"/>
  <c r="J34" i="10"/>
  <c r="D13" i="41"/>
  <c r="Y236" i="49"/>
  <c r="X343" i="49"/>
  <c r="AA335" i="49"/>
  <c r="S15" i="53"/>
  <c r="AB297" i="49"/>
  <c r="R79" i="33"/>
  <c r="S310" i="49"/>
  <c r="N14" i="38"/>
  <c r="T63" i="48"/>
  <c r="AG157" i="42"/>
  <c r="R67" i="37"/>
  <c r="T157" i="49"/>
  <c r="R213" i="38"/>
  <c r="AA41" i="48"/>
  <c r="R201" i="37"/>
  <c r="B8" i="34"/>
  <c r="P6" i="40"/>
  <c r="AG77" i="43"/>
  <c r="N62" i="53"/>
  <c r="Z64" i="48"/>
  <c r="S389" i="49"/>
  <c r="S141" i="49"/>
  <c r="S48" i="39"/>
  <c r="X10" i="48"/>
  <c r="T148" i="49"/>
  <c r="AG84" i="42"/>
  <c r="Z324" i="49"/>
  <c r="X84" i="53"/>
  <c r="AA327" i="49"/>
  <c r="AA259" i="49"/>
  <c r="K5" i="33"/>
  <c r="Z29" i="49"/>
  <c r="S90" i="37"/>
  <c r="X77" i="50"/>
  <c r="Q220" i="33"/>
  <c r="Q446" i="33"/>
  <c r="AF115" i="43"/>
  <c r="X100" i="49"/>
  <c r="AA108" i="49"/>
  <c r="Z98" i="49"/>
  <c r="AA115" i="49"/>
  <c r="N388" i="49"/>
  <c r="Y29" i="50"/>
  <c r="O11" i="48"/>
  <c r="N326" i="49"/>
  <c r="S385" i="49"/>
  <c r="Z389" i="49"/>
  <c r="Y282" i="49"/>
  <c r="Y18" i="49"/>
  <c r="S205" i="37"/>
  <c r="AF100" i="43"/>
  <c r="R320" i="33"/>
  <c r="Q101" i="33"/>
  <c r="R220" i="37"/>
  <c r="T81" i="50"/>
  <c r="O87" i="50"/>
  <c r="Y140" i="49"/>
  <c r="AF21" i="49"/>
  <c r="R96" i="38"/>
  <c r="J5" i="38"/>
  <c r="AB72" i="53"/>
  <c r="O171" i="49"/>
  <c r="N157" i="49"/>
  <c r="AF235" i="42"/>
  <c r="X16" i="53"/>
  <c r="E16" i="42"/>
  <c r="S62" i="50"/>
  <c r="N96" i="50"/>
  <c r="AA186" i="49"/>
  <c r="T87" i="53"/>
  <c r="I5" i="46"/>
  <c r="T124" i="50"/>
  <c r="AA2" i="51" a="1"/>
  <c r="Y96" i="49"/>
  <c r="Q287" i="33"/>
  <c r="R334" i="33"/>
  <c r="S248" i="39"/>
  <c r="R131" i="37"/>
  <c r="R236" i="38"/>
  <c r="AB86" i="49"/>
  <c r="R170" i="39"/>
  <c r="AA88" i="50"/>
  <c r="AA34" i="49"/>
  <c r="AF4" i="42"/>
  <c r="F3" i="42"/>
  <c r="Q340" i="33"/>
  <c r="X76" i="53"/>
  <c r="T367" i="49"/>
  <c r="Y76" i="50"/>
  <c r="R64" i="38"/>
  <c r="R154" i="37"/>
  <c r="J24" i="39"/>
  <c r="R33" i="39"/>
  <c r="R8" i="33"/>
  <c r="S252" i="39"/>
  <c r="Q134" i="33"/>
  <c r="X353" i="49"/>
  <c r="AA61" i="47"/>
  <c r="Q122" i="33"/>
  <c r="J17" i="8"/>
  <c r="Y345" i="49"/>
  <c r="Q129" i="33"/>
  <c r="J39" i="8"/>
  <c r="S132" i="38"/>
  <c r="I1" i="56"/>
  <c r="Q443" i="33"/>
  <c r="S35" i="38"/>
  <c r="J23" i="9"/>
  <c r="S175" i="38"/>
  <c r="Y316" i="49"/>
  <c r="AF106" i="42"/>
  <c r="F22" i="35"/>
  <c r="R116" i="37"/>
  <c r="AA62" i="47"/>
  <c r="R23" i="37"/>
  <c r="AB49" i="47"/>
  <c r="S255" i="39"/>
  <c r="S12" i="50"/>
  <c r="AG20" i="44"/>
  <c r="T24" i="47"/>
  <c r="O55" i="47"/>
  <c r="O12" i="50"/>
  <c r="S101" i="38"/>
  <c r="E37" i="41"/>
  <c r="N68" i="48"/>
  <c r="M41" i="51"/>
  <c r="S9" i="39"/>
  <c r="AG216" i="42"/>
  <c r="N17" i="39"/>
  <c r="D6" i="42"/>
  <c r="S287" i="49"/>
  <c r="Y13" i="53"/>
  <c r="AB16" i="50"/>
  <c r="N24" i="59"/>
  <c r="Z38" i="51"/>
  <c r="R182" i="33"/>
  <c r="R196" i="39"/>
  <c r="X115" i="49"/>
  <c r="AF72" i="43"/>
  <c r="I8" i="39"/>
  <c r="X43" i="49"/>
  <c r="Z375" i="49"/>
  <c r="Q486" i="33"/>
  <c r="C68" i="34"/>
  <c r="X2" i="28"/>
  <c r="Y64" i="47"/>
  <c r="T270" i="49"/>
  <c r="AA55" i="53"/>
  <c r="T35" i="50"/>
  <c r="S80" i="38"/>
  <c r="Q58" i="33"/>
  <c r="R14" i="33"/>
  <c r="R97" i="33"/>
  <c r="AA117" i="50"/>
  <c r="AF250" i="42"/>
  <c r="R75" i="33"/>
  <c r="Y362" i="49"/>
  <c r="S112" i="38"/>
  <c r="S146" i="49"/>
  <c r="O114" i="50"/>
  <c r="AA283" i="49"/>
  <c r="Z82" i="53"/>
  <c r="R428" i="33"/>
  <c r="AA11" i="49"/>
  <c r="R91" i="39"/>
  <c r="R181" i="37"/>
  <c r="D11" i="34"/>
  <c r="R24" i="39"/>
  <c r="X39" i="50"/>
  <c r="S342" i="49"/>
  <c r="AG180" i="42"/>
  <c r="S320" i="49"/>
  <c r="Y60" i="50"/>
  <c r="S41" i="47"/>
  <c r="Z7" i="47"/>
  <c r="R71" i="37"/>
  <c r="N306" i="49"/>
  <c r="T78" i="50"/>
  <c r="G6" i="50"/>
  <c r="AC3" i="45"/>
  <c r="AA35" i="47"/>
  <c r="R68" i="38"/>
  <c r="G110" i="34"/>
  <c r="T8" i="50"/>
  <c r="AF62" i="43"/>
  <c r="AF47" i="42"/>
  <c r="AM3" i="43"/>
  <c r="S78" i="38"/>
  <c r="S30" i="49"/>
  <c r="Y15" i="51"/>
  <c r="AB62" i="47"/>
  <c r="R37" i="33"/>
  <c r="T130" i="49"/>
  <c r="AB161" i="49"/>
  <c r="AF123" i="43"/>
  <c r="R15" i="51"/>
  <c r="Z54" i="50"/>
  <c r="X219" i="49"/>
  <c r="S40" i="47"/>
  <c r="X4" i="51"/>
  <c r="S257" i="39"/>
  <c r="N17" i="49"/>
  <c r="G79" i="34"/>
  <c r="D18" i="34"/>
  <c r="AA32" i="53"/>
  <c r="Z48" i="53"/>
  <c r="Q412" i="33"/>
  <c r="R175" i="37"/>
  <c r="Q487" i="33"/>
  <c r="S31" i="38"/>
  <c r="O53" i="49"/>
  <c r="AA43" i="53"/>
  <c r="V12" i="51"/>
  <c r="AA101" i="50"/>
  <c r="N273" i="49"/>
  <c r="X5" i="47"/>
  <c r="AB65" i="53"/>
  <c r="T17" i="48"/>
  <c r="AF93" i="43"/>
  <c r="R60" i="33"/>
  <c r="AB26" i="48"/>
  <c r="Q235" i="33"/>
  <c r="Q28" i="51"/>
  <c r="E4" i="44"/>
  <c r="S319" i="49"/>
  <c r="Y79" i="48"/>
  <c r="N67" i="48"/>
  <c r="R52" i="39"/>
  <c r="T59" i="49"/>
  <c r="R246" i="37"/>
  <c r="AA45" i="47"/>
  <c r="T197" i="49"/>
  <c r="AB12" i="45"/>
  <c r="S160" i="38"/>
  <c r="G6" i="44"/>
  <c r="T91" i="48"/>
  <c r="X130" i="49"/>
  <c r="T89" i="49"/>
  <c r="G6" i="37"/>
  <c r="V32" i="51"/>
  <c r="G23" i="34"/>
  <c r="AA49" i="47"/>
  <c r="O134" i="49"/>
  <c r="AA109" i="49"/>
  <c r="AB82" i="53"/>
  <c r="N73" i="47"/>
  <c r="Y10" i="49"/>
  <c r="AB41" i="53"/>
  <c r="N321" i="49"/>
  <c r="X72" i="48"/>
  <c r="J42" i="50"/>
  <c r="Y31" i="47"/>
  <c r="Q336" i="33"/>
  <c r="X29" i="51"/>
  <c r="S191" i="39"/>
  <c r="Y51" i="47"/>
  <c r="R225" i="37"/>
  <c r="AA109" i="50"/>
  <c r="S307" i="49"/>
  <c r="S25" i="50"/>
  <c r="Q405" i="33"/>
  <c r="R30" i="37"/>
  <c r="G7" i="42"/>
  <c r="C63" i="34"/>
  <c r="S209" i="39"/>
  <c r="E7" i="45"/>
  <c r="B67" i="34"/>
  <c r="X44" i="49"/>
  <c r="S114" i="38"/>
  <c r="J28" i="10"/>
  <c r="M7" i="51"/>
  <c r="G114" i="34"/>
  <c r="K28" i="42"/>
  <c r="Y179" i="49"/>
  <c r="X391" i="49"/>
  <c r="S6" i="49"/>
  <c r="C9" i="51"/>
  <c r="AG87" i="42"/>
  <c r="J42" i="49"/>
  <c r="J16" i="49"/>
  <c r="Q445" i="33"/>
  <c r="S133" i="37"/>
  <c r="AA32" i="48"/>
  <c r="AA317" i="49"/>
  <c r="N180" i="49"/>
  <c r="N6" i="59"/>
  <c r="N11" i="37"/>
  <c r="X11" i="51"/>
  <c r="N27" i="48"/>
  <c r="N24" i="53"/>
  <c r="AB88" i="49"/>
  <c r="J24" i="35"/>
  <c r="X32" i="51"/>
  <c r="AG156" i="42"/>
  <c r="R10" i="51"/>
  <c r="D12" i="41"/>
  <c r="AB182" i="49"/>
  <c r="H4" i="42"/>
  <c r="AA56" i="53"/>
  <c r="R288" i="33"/>
  <c r="O201" i="49"/>
  <c r="Y141" i="49"/>
  <c r="AA24" i="49"/>
  <c r="B115" i="34"/>
  <c r="AF118" i="42"/>
  <c r="T26" i="40"/>
  <c r="Y79" i="49"/>
  <c r="AG173" i="42"/>
  <c r="Z4" i="48"/>
  <c r="AA244" i="49"/>
  <c r="H6" i="37"/>
  <c r="AB86" i="50"/>
  <c r="T165" i="49"/>
  <c r="T302" i="49"/>
  <c r="R165" i="37"/>
  <c r="D86" i="34"/>
  <c r="J5" i="9"/>
  <c r="S284" i="49"/>
  <c r="H5" i="39"/>
  <c r="N315" i="49"/>
  <c r="R26" i="38"/>
  <c r="AI17" i="49"/>
  <c r="AF42" i="44"/>
  <c r="R208" i="39"/>
  <c r="R43" i="39"/>
  <c r="O10" i="48"/>
  <c r="Q215" i="33"/>
  <c r="Z251" i="49"/>
  <c r="H61" i="51"/>
  <c r="S64" i="38"/>
  <c r="Y83" i="48"/>
  <c r="X72" i="49"/>
  <c r="AA6" i="50"/>
  <c r="D3" i="35"/>
  <c r="S110" i="39"/>
  <c r="S179" i="49"/>
  <c r="R286" i="33"/>
  <c r="T8" i="47"/>
  <c r="S116" i="38"/>
  <c r="R9" i="37"/>
  <c r="N52" i="47"/>
  <c r="T7" i="49"/>
  <c r="S47" i="39"/>
  <c r="T51" i="48"/>
  <c r="AG120" i="42"/>
  <c r="S28" i="37"/>
  <c r="S125" i="38"/>
  <c r="O17" i="47"/>
  <c r="L38" i="51"/>
  <c r="Q14" i="51"/>
  <c r="Z135" i="49"/>
  <c r="AF116" i="42"/>
  <c r="X324" i="49"/>
  <c r="X48" i="47"/>
  <c r="Z382" i="49"/>
  <c r="Y32" i="51"/>
  <c r="T43" i="53"/>
  <c r="X160" i="49"/>
  <c r="R7" i="51"/>
  <c r="S17" i="49"/>
  <c r="S98" i="37"/>
  <c r="X265" i="49"/>
  <c r="Z43" i="49"/>
  <c r="X360" i="49"/>
  <c r="AG147" i="42"/>
  <c r="AF29" i="43"/>
  <c r="X35" i="48"/>
  <c r="H15" i="51"/>
  <c r="U13" i="42" a="1"/>
  <c r="AF131" i="42"/>
  <c r="AF246" i="42"/>
  <c r="N303" i="49"/>
  <c r="AB289" i="49"/>
  <c r="X51" i="50"/>
  <c r="R360" i="33"/>
  <c r="R155" i="37"/>
  <c r="Q338" i="33"/>
  <c r="S270" i="49"/>
  <c r="Z286" i="49"/>
  <c r="C127" i="34"/>
  <c r="S24" i="37"/>
  <c r="J8" i="8"/>
  <c r="Y47" i="51"/>
  <c r="X15" i="47"/>
  <c r="AB12" i="53"/>
  <c r="T16" i="49"/>
  <c r="R11" i="37"/>
  <c r="N1" i="39"/>
  <c r="H4" i="37"/>
  <c r="R390" i="33"/>
  <c r="N68" i="53"/>
  <c r="J9" i="49"/>
  <c r="N78" i="48"/>
  <c r="C110" i="34"/>
  <c r="AA318" i="49"/>
  <c r="S115" i="49"/>
  <c r="L7" i="44"/>
  <c r="R23" i="39"/>
  <c r="Z74" i="53"/>
  <c r="T319" i="49"/>
  <c r="T100" i="50"/>
  <c r="S21" i="38"/>
  <c r="O73" i="53"/>
  <c r="O27" i="49"/>
  <c r="J62" i="49"/>
  <c r="R52" i="38"/>
  <c r="T3" i="47"/>
  <c r="S244" i="38"/>
  <c r="N5" i="53"/>
  <c r="W26" i="40"/>
  <c r="E21" i="43"/>
  <c r="R49" i="39"/>
  <c r="D39" i="34"/>
  <c r="I11" i="37"/>
  <c r="R40" i="38"/>
  <c r="N386" i="49"/>
  <c r="S67" i="53"/>
  <c r="W12" i="51"/>
  <c r="R114" i="39"/>
  <c r="Z66" i="50"/>
  <c r="O35" i="53"/>
  <c r="AA323" i="49"/>
  <c r="B126" i="34"/>
  <c r="S146" i="37"/>
  <c r="Y10" i="50"/>
  <c r="T281" i="49"/>
  <c r="S10" i="47"/>
  <c r="S54" i="37"/>
  <c r="N197" i="49"/>
  <c r="N8" i="39"/>
  <c r="AB273" i="49"/>
  <c r="J22" i="11"/>
  <c r="Y6" i="51"/>
  <c r="O5" i="53"/>
  <c r="Y84" i="50"/>
  <c r="N101" i="50"/>
  <c r="T49" i="50"/>
  <c r="T369" i="49"/>
  <c r="AF14" i="51"/>
  <c r="S176" i="37"/>
  <c r="O8" i="47"/>
  <c r="Q477" i="33"/>
  <c r="Q416" i="33"/>
  <c r="R60" i="38"/>
  <c r="Q16" i="33"/>
  <c r="AA82" i="50"/>
  <c r="R184" i="39"/>
  <c r="J23" i="43"/>
  <c r="D50" i="34"/>
  <c r="Q501" i="33"/>
  <c r="S78" i="49"/>
  <c r="Z8" i="50"/>
  <c r="T87" i="50"/>
  <c r="O32" i="47"/>
  <c r="Z30" i="50"/>
  <c r="AF226" i="42"/>
  <c r="Z63" i="47"/>
  <c r="R50" i="38"/>
  <c r="AB72" i="47"/>
  <c r="D21" i="41"/>
  <c r="Z335" i="49"/>
  <c r="R424" i="33"/>
  <c r="S106" i="50"/>
  <c r="R79" i="39"/>
  <c r="AG31" i="43"/>
  <c r="Q34" i="51"/>
  <c r="J73" i="53"/>
  <c r="Y88" i="48"/>
  <c r="N24" i="47"/>
  <c r="AA37" i="48"/>
  <c r="G108" i="34"/>
  <c r="O290" i="49"/>
  <c r="R361" i="33"/>
  <c r="M8" i="51"/>
  <c r="S259" i="39"/>
  <c r="S3" i="44" a="1"/>
  <c r="I6" i="39"/>
  <c r="I16" i="38"/>
  <c r="Z79" i="47"/>
  <c r="O19" i="48"/>
  <c r="S79" i="39"/>
  <c r="J70" i="49"/>
  <c r="Z8" i="53"/>
  <c r="AB267" i="49"/>
  <c r="T20" i="47"/>
  <c r="AA22" i="50"/>
  <c r="F30" i="35"/>
  <c r="AB7" i="53"/>
  <c r="Z77" i="48"/>
  <c r="T65" i="47"/>
  <c r="J21" i="24"/>
  <c r="J19" i="35"/>
  <c r="S180" i="49"/>
  <c r="Z33" i="51"/>
  <c r="O7" i="50"/>
  <c r="Z54" i="53"/>
  <c r="AB79" i="47"/>
  <c r="N117" i="49"/>
  <c r="AA106" i="49"/>
  <c r="O48" i="47"/>
  <c r="S223" i="38"/>
  <c r="Z52" i="49"/>
  <c r="AB320" i="49"/>
  <c r="Z20" i="50"/>
  <c r="R38" i="51"/>
  <c r="O85" i="50"/>
  <c r="C13" i="51"/>
  <c r="O162" i="49"/>
  <c r="H22" i="52"/>
  <c r="G6" i="49"/>
  <c r="E22" i="41"/>
  <c r="Z84" i="49"/>
  <c r="X289" i="49"/>
  <c r="O222" i="49"/>
  <c r="R207" i="39"/>
  <c r="Y46" i="51"/>
  <c r="J38" i="10"/>
  <c r="S6" i="39"/>
  <c r="T26" i="47"/>
  <c r="L50" i="51"/>
  <c r="R297" i="33"/>
  <c r="O135" i="49"/>
  <c r="G76" i="34"/>
  <c r="S348" i="49"/>
  <c r="C51" i="53"/>
  <c r="Y29" i="53"/>
  <c r="AF205" i="42"/>
  <c r="O4" i="49"/>
  <c r="T5" i="49"/>
  <c r="Z174" i="49"/>
  <c r="AF71" i="42"/>
  <c r="R72" i="39"/>
  <c r="AB159" i="49"/>
  <c r="Z31" i="49"/>
  <c r="S174" i="37"/>
  <c r="X60" i="49"/>
  <c r="D10" i="34"/>
  <c r="Z217" i="49"/>
  <c r="T4" i="50"/>
  <c r="B120" i="34"/>
  <c r="AG23" i="44"/>
  <c r="AB64" i="48"/>
  <c r="R414" i="33"/>
  <c r="AB388" i="49"/>
  <c r="T73" i="50"/>
  <c r="X7" i="48"/>
  <c r="AA62" i="49"/>
  <c r="AF187" i="42"/>
  <c r="W32" i="51"/>
  <c r="R219" i="39"/>
  <c r="AA331" i="49"/>
  <c r="O35" i="48"/>
  <c r="S169" i="39"/>
  <c r="AA62" i="48"/>
  <c r="N37" i="50"/>
  <c r="O4" i="53"/>
  <c r="Z57" i="47"/>
  <c r="R161" i="39"/>
  <c r="Y32" i="49"/>
  <c r="Z206" i="49"/>
  <c r="J6" i="48"/>
  <c r="O47" i="48"/>
  <c r="S44" i="39"/>
  <c r="N47" i="49"/>
  <c r="Z13" i="47"/>
  <c r="M38" i="51"/>
  <c r="N154" i="49"/>
  <c r="T331" i="49"/>
  <c r="J86" i="53"/>
  <c r="R113" i="37"/>
  <c r="D29" i="52"/>
  <c r="Q86" i="33"/>
  <c r="G7" i="39"/>
  <c r="J32" i="11"/>
  <c r="Q29" i="33"/>
  <c r="N23" i="50"/>
  <c r="AG119" i="43"/>
  <c r="Z14" i="50"/>
  <c r="AA43" i="48"/>
  <c r="AA391" i="49"/>
  <c r="N4" i="49"/>
  <c r="AF112" i="42"/>
  <c r="L27" i="42"/>
  <c r="T74" i="48"/>
  <c r="AB264" i="49"/>
  <c r="J10" i="49"/>
  <c r="R103" i="39"/>
  <c r="X29" i="48"/>
  <c r="X2" i="15"/>
  <c r="H38" i="51"/>
  <c r="G11" i="34"/>
  <c r="U4" i="33"/>
  <c r="R325" i="33"/>
  <c r="N24" i="50"/>
  <c r="R58" i="38"/>
  <c r="O155" i="49"/>
  <c r="AG134" i="42"/>
  <c r="AF90" i="42"/>
  <c r="AI16" i="50"/>
  <c r="R34" i="37"/>
  <c r="AB59" i="49"/>
  <c r="X253" i="49"/>
  <c r="J17" i="9"/>
  <c r="O47" i="47"/>
  <c r="S18" i="49"/>
  <c r="Z257" i="49"/>
  <c r="S259" i="49"/>
  <c r="X233" i="49"/>
  <c r="Z83" i="49"/>
  <c r="T77" i="53"/>
  <c r="H6" i="43"/>
  <c r="S15" i="39"/>
  <c r="L2" i="58"/>
  <c r="S331" i="49"/>
  <c r="Q131" i="33"/>
  <c r="S136" i="37"/>
  <c r="R232" i="39"/>
  <c r="J74" i="47"/>
  <c r="X199" i="49"/>
  <c r="Q27" i="51"/>
  <c r="D33" i="41"/>
  <c r="S86" i="50"/>
  <c r="Y198" i="49"/>
  <c r="S42" i="50"/>
  <c r="N25" i="49"/>
  <c r="AB77" i="50"/>
  <c r="S191" i="49"/>
  <c r="X8" i="53"/>
  <c r="N7" i="51"/>
  <c r="R102" i="37"/>
  <c r="M30" i="41"/>
  <c r="AG17" i="44"/>
  <c r="S125" i="39"/>
  <c r="N18" i="53"/>
  <c r="AB299" i="49"/>
  <c r="Z9" i="50"/>
  <c r="AF179" i="42"/>
  <c r="AB136" i="49"/>
  <c r="N205" i="49"/>
  <c r="S361" i="49"/>
  <c r="X36" i="48"/>
  <c r="X69" i="50"/>
  <c r="T22" i="47"/>
  <c r="X179" i="49"/>
  <c r="X18" i="47"/>
  <c r="S60" i="47"/>
  <c r="S50" i="48"/>
  <c r="Q347" i="33"/>
  <c r="AB265" i="49"/>
  <c r="O24" i="50"/>
  <c r="E23" i="43"/>
  <c r="Z349" i="49"/>
  <c r="J35" i="11"/>
  <c r="Q330" i="33"/>
  <c r="X220" i="49"/>
  <c r="Z243" i="49"/>
  <c r="S305" i="49"/>
  <c r="H6" i="45"/>
  <c r="AA50" i="48"/>
  <c r="C80" i="34"/>
  <c r="D60" i="34"/>
  <c r="B30" i="34"/>
  <c r="X174" i="49"/>
  <c r="R207" i="37"/>
  <c r="S182" i="37"/>
  <c r="AF17" i="48"/>
  <c r="Z75" i="48"/>
  <c r="S175" i="39"/>
  <c r="Q397" i="33"/>
  <c r="F18" i="35"/>
  <c r="Y4" i="51"/>
  <c r="T231" i="49"/>
  <c r="E20" i="44"/>
  <c r="F6" i="39"/>
  <c r="X4" i="53"/>
  <c r="AF64" i="44"/>
  <c r="J83" i="53"/>
  <c r="S38" i="37"/>
  <c r="R168" i="37"/>
  <c r="S63" i="37"/>
  <c r="J3" i="8"/>
  <c r="AG214" i="42"/>
  <c r="T222" i="49"/>
  <c r="T74" i="47"/>
  <c r="AA144" i="49"/>
  <c r="X383" i="49"/>
  <c r="AF13" i="44"/>
  <c r="Q49" i="51"/>
  <c r="AA74" i="47"/>
  <c r="AG107" i="42"/>
  <c r="AG115" i="42"/>
  <c r="N387" i="49"/>
  <c r="J3" i="35"/>
  <c r="N261" i="49"/>
  <c r="Y69" i="53"/>
  <c r="S45" i="50"/>
  <c r="S42" i="37"/>
  <c r="Q4" i="40"/>
  <c r="Y50" i="49"/>
  <c r="AB302" i="49"/>
  <c r="O315" i="49"/>
  <c r="R222" i="33"/>
  <c r="Q418" i="33"/>
  <c r="S74" i="39"/>
  <c r="Z373" i="49"/>
  <c r="AB357" i="49"/>
  <c r="AB55" i="48"/>
  <c r="N7" i="59"/>
  <c r="S222" i="38"/>
  <c r="E19" i="43"/>
  <c r="Y46" i="49"/>
  <c r="O123" i="50"/>
  <c r="AC8" i="45"/>
  <c r="Q337" i="33"/>
  <c r="AA15" i="50"/>
  <c r="AB105" i="50"/>
  <c r="Z276" i="49"/>
  <c r="AB103" i="50"/>
  <c r="O242" i="49"/>
  <c r="AB89" i="50"/>
  <c r="S185" i="38"/>
  <c r="K30" i="42"/>
  <c r="J18" i="24"/>
  <c r="X193" i="49"/>
  <c r="Y69" i="48"/>
  <c r="N16" i="50"/>
  <c r="AB19" i="49"/>
  <c r="S179" i="37"/>
  <c r="X46" i="51"/>
  <c r="S91" i="37"/>
  <c r="T132" i="49"/>
  <c r="Z285" i="49"/>
  <c r="Y46" i="53"/>
  <c r="W5" i="51"/>
  <c r="Z88" i="49"/>
  <c r="Z262" i="49"/>
  <c r="AC22" i="45"/>
  <c r="Y16" i="50"/>
  <c r="AF53" i="44"/>
  <c r="D76" i="34"/>
  <c r="O304" i="49"/>
  <c r="N312" i="49"/>
  <c r="AB301" i="49"/>
  <c r="AH16" i="49"/>
  <c r="C23" i="39"/>
  <c r="X380" i="49"/>
  <c r="T133" i="49"/>
  <c r="Y16" i="53"/>
  <c r="Z19" i="47"/>
  <c r="R306" i="33"/>
  <c r="M55" i="51"/>
  <c r="AG98" i="43"/>
  <c r="S48" i="50"/>
  <c r="D36" i="41"/>
  <c r="S48" i="53"/>
  <c r="J34" i="11"/>
  <c r="O56" i="49"/>
  <c r="AG248" i="42"/>
  <c r="O186" i="49"/>
  <c r="X86" i="50"/>
  <c r="R55" i="37"/>
  <c r="O110" i="49"/>
  <c r="W3" i="51"/>
  <c r="R190" i="33"/>
  <c r="N227" i="49"/>
  <c r="X32" i="47"/>
  <c r="X73" i="49"/>
  <c r="C22" i="34"/>
  <c r="Y53" i="51"/>
  <c r="R36" i="39"/>
  <c r="AA284" i="49"/>
  <c r="X73" i="50"/>
  <c r="S65" i="47"/>
  <c r="T54" i="48"/>
  <c r="J9" i="39"/>
  <c r="C125" i="34"/>
  <c r="Y240" i="49"/>
  <c r="G11" i="38"/>
  <c r="Z15" i="53"/>
  <c r="S244" i="39"/>
  <c r="G40" i="24"/>
  <c r="S54" i="38"/>
  <c r="N337" i="49"/>
  <c r="T338" i="49"/>
  <c r="Y22" i="48"/>
  <c r="S300" i="49"/>
  <c r="Q13" i="33"/>
  <c r="B61" i="34"/>
  <c r="S15" i="50"/>
  <c r="G9" i="37"/>
  <c r="K8" i="33"/>
  <c r="AA63" i="47"/>
  <c r="J8" i="24"/>
  <c r="Z126" i="49"/>
  <c r="T38" i="50"/>
  <c r="X103" i="49"/>
  <c r="O211" i="49"/>
  <c r="S12" i="53"/>
  <c r="R37" i="38"/>
  <c r="R107" i="37"/>
  <c r="B109" i="34"/>
  <c r="U3" i="34"/>
  <c r="Q493" i="33"/>
  <c r="Q232" i="33"/>
  <c r="AF21" i="43"/>
  <c r="S29" i="49"/>
  <c r="Q113" i="33"/>
  <c r="R156" i="39"/>
  <c r="AB369" i="49"/>
  <c r="AF9" i="44"/>
  <c r="R280" i="33"/>
  <c r="R48" i="33"/>
  <c r="Z97" i="49"/>
  <c r="AF13" i="42"/>
  <c r="Q22" i="33"/>
  <c r="O82" i="50"/>
  <c r="Z4" i="53"/>
  <c r="R195" i="38"/>
  <c r="G61" i="34"/>
  <c r="J23" i="53"/>
  <c r="AA385" i="49"/>
  <c r="S125" i="37"/>
  <c r="T35" i="49"/>
  <c r="AF59" i="44"/>
  <c r="J21" i="44"/>
  <c r="Q60" i="33"/>
  <c r="E19" i="39"/>
  <c r="Y7" i="48"/>
  <c r="Z49" i="49"/>
  <c r="Q59" i="33"/>
  <c r="Y37" i="48"/>
  <c r="O131" i="49"/>
  <c r="F24" i="39"/>
  <c r="X34" i="48"/>
  <c r="T70" i="49"/>
  <c r="Y44" i="53"/>
  <c r="F15" i="39"/>
  <c r="S218" i="37"/>
  <c r="R114" i="37"/>
  <c r="I21" i="38"/>
  <c r="O361" i="49"/>
  <c r="AG69" i="42"/>
  <c r="T188" i="49"/>
  <c r="AF87" i="42"/>
  <c r="S194" i="39"/>
  <c r="AB17" i="45"/>
  <c r="S7" i="47"/>
  <c r="R91" i="37"/>
  <c r="R222" i="38"/>
  <c r="Q196" i="33"/>
  <c r="G5" i="12"/>
  <c r="B52" i="34"/>
  <c r="Y53" i="50"/>
  <c r="E4" i="41"/>
  <c r="N94" i="50"/>
  <c r="S32" i="47"/>
  <c r="Q371" i="33"/>
  <c r="AF23" i="44"/>
  <c r="J15" i="39"/>
  <c r="J20" i="7"/>
  <c r="R21" i="38"/>
  <c r="R101" i="37"/>
  <c r="N288" i="49"/>
  <c r="AA200" i="49"/>
  <c r="X13" i="53"/>
  <c r="K18" i="44"/>
  <c r="Z326" i="49"/>
  <c r="O367" i="49"/>
  <c r="S257" i="49"/>
  <c r="F10" i="39"/>
  <c r="N18" i="50"/>
  <c r="Y66" i="49"/>
  <c r="Q30" i="51"/>
  <c r="T48" i="50"/>
  <c r="R362" i="33"/>
  <c r="T85" i="53"/>
  <c r="R222" i="39"/>
  <c r="R83" i="33"/>
  <c r="S25" i="39"/>
  <c r="N9" i="39"/>
  <c r="AB164" i="49"/>
  <c r="X133" i="49"/>
  <c r="X246" i="49"/>
  <c r="J10" i="35"/>
  <c r="Q137" i="33"/>
  <c r="Y220" i="49"/>
  <c r="S236" i="38"/>
  <c r="Y34" i="48"/>
  <c r="G35" i="24"/>
  <c r="O43" i="53"/>
  <c r="T44" i="47"/>
  <c r="AD20" i="51"/>
  <c r="O33" i="53"/>
  <c r="S10" i="53"/>
  <c r="Q392" i="33"/>
  <c r="X15" i="48"/>
  <c r="S335" i="49"/>
  <c r="Q408" i="33"/>
  <c r="Q399" i="33"/>
  <c r="R327" i="33"/>
  <c r="X226" i="49"/>
  <c r="T37" i="48"/>
  <c r="N149" i="49"/>
  <c r="Q11" i="33"/>
  <c r="L42" i="51"/>
  <c r="AB259" i="49"/>
  <c r="O54" i="49"/>
  <c r="S56" i="47"/>
  <c r="R203" i="37"/>
  <c r="G5" i="45"/>
  <c r="AF215" i="42"/>
  <c r="R303" i="33"/>
  <c r="N182" i="49"/>
  <c r="Z6" i="49"/>
  <c r="AF258" i="42"/>
  <c r="AA41" i="50"/>
  <c r="R9" i="39"/>
  <c r="N77" i="47"/>
  <c r="T158" i="49"/>
  <c r="R20" i="51"/>
  <c r="R348" i="33"/>
  <c r="AB60" i="50"/>
  <c r="S309" i="49"/>
  <c r="M5" i="40"/>
  <c r="S52" i="53"/>
  <c r="H18" i="51"/>
  <c r="AA85" i="48"/>
  <c r="Y11" i="49"/>
  <c r="N17" i="47"/>
  <c r="T104" i="49"/>
  <c r="J27" i="49"/>
  <c r="J26" i="42"/>
  <c r="Q483" i="33"/>
  <c r="J11" i="10"/>
  <c r="AG228" i="42"/>
  <c r="S181" i="39"/>
  <c r="AA78" i="50"/>
  <c r="K10" i="33"/>
  <c r="C37" i="52"/>
  <c r="AA20" i="48"/>
  <c r="O70" i="49"/>
  <c r="R9" i="40"/>
  <c r="R59" i="38"/>
  <c r="T122" i="50"/>
  <c r="Y63" i="53"/>
  <c r="AB46" i="48"/>
  <c r="Z121" i="50"/>
  <c r="T30" i="53"/>
  <c r="O74" i="47"/>
  <c r="N75" i="50"/>
  <c r="R124" i="39"/>
  <c r="J37" i="24"/>
  <c r="Q288" i="33"/>
  <c r="J16" i="43"/>
  <c r="D32" i="34"/>
  <c r="AB23" i="50"/>
  <c r="V35" i="51"/>
  <c r="T93" i="49"/>
  <c r="Z10" i="47"/>
  <c r="Z80" i="49"/>
  <c r="AG100" i="43"/>
  <c r="Y249" i="49"/>
  <c r="Z103" i="49"/>
  <c r="S147" i="49"/>
  <c r="AG3" i="43"/>
  <c r="Y107" i="50"/>
  <c r="R62" i="39"/>
  <c r="J52" i="49"/>
  <c r="AA339" i="49"/>
  <c r="N8" i="47"/>
  <c r="N8" i="51"/>
  <c r="Z149" i="49"/>
  <c r="AF159" i="42"/>
  <c r="AB50" i="47"/>
  <c r="T134" i="49"/>
  <c r="Y85" i="53"/>
  <c r="Y195" i="49"/>
  <c r="Y265" i="49"/>
  <c r="R107" i="33"/>
  <c r="W11" i="51"/>
  <c r="S47" i="50"/>
  <c r="J14" i="48"/>
  <c r="AA35" i="53"/>
  <c r="Q204" i="33"/>
  <c r="AF88" i="42"/>
  <c r="T146" i="49"/>
  <c r="N193" i="49"/>
  <c r="R26" i="33"/>
  <c r="S84" i="38"/>
  <c r="J37" i="11"/>
  <c r="Q165" i="33"/>
  <c r="X50" i="51"/>
  <c r="G4" i="44"/>
  <c r="Y64" i="50"/>
  <c r="N342" i="49"/>
  <c r="AB98" i="49"/>
  <c r="N69" i="47"/>
  <c r="AF41" i="43"/>
  <c r="Q413" i="33"/>
  <c r="AA195" i="49"/>
  <c r="D34" i="41"/>
  <c r="T6" i="53"/>
  <c r="J7" i="24"/>
  <c r="N34" i="49"/>
  <c r="S34" i="37"/>
  <c r="T203" i="49"/>
  <c r="S84" i="49"/>
  <c r="AA270" i="49"/>
  <c r="B23" i="34"/>
  <c r="O108" i="50"/>
  <c r="R179" i="39"/>
  <c r="Z204" i="49"/>
  <c r="M44" i="51"/>
  <c r="Y21" i="48"/>
  <c r="L6" i="59"/>
  <c r="H14" i="59"/>
  <c r="Y7" i="47"/>
  <c r="AG144" i="42"/>
  <c r="S39" i="48"/>
  <c r="AA52" i="49"/>
  <c r="L6" i="43"/>
  <c r="Z18" i="51"/>
  <c r="AA29" i="50"/>
  <c r="R108" i="37"/>
  <c r="S166" i="37"/>
  <c r="N32" i="53"/>
  <c r="AB54" i="48"/>
  <c r="S71" i="37"/>
  <c r="N294" i="49"/>
  <c r="S67" i="50"/>
  <c r="X105" i="50"/>
  <c r="T79" i="48"/>
  <c r="J29" i="9"/>
  <c r="S15" i="37"/>
  <c r="O7" i="49"/>
  <c r="N1" i="38"/>
  <c r="R437" i="33"/>
  <c r="O351" i="49"/>
  <c r="Z307" i="49"/>
  <c r="S149" i="38"/>
  <c r="J15" i="9"/>
  <c r="S6" i="50"/>
  <c r="K21" i="42"/>
  <c r="S78" i="39"/>
  <c r="T43" i="47"/>
  <c r="Y109" i="49"/>
  <c r="S161" i="38"/>
  <c r="N66" i="47"/>
  <c r="AB50" i="48"/>
  <c r="AF126" i="43"/>
  <c r="S250" i="49"/>
  <c r="Y57" i="50"/>
  <c r="AB58" i="49"/>
  <c r="AF130" i="42"/>
  <c r="AG112" i="42"/>
  <c r="R371" i="33"/>
  <c r="R101" i="33"/>
  <c r="T340" i="49"/>
  <c r="T43" i="50"/>
  <c r="AA365" i="49"/>
  <c r="M19" i="51"/>
  <c r="Y65" i="50"/>
  <c r="C33" i="34"/>
  <c r="AB203" i="49"/>
  <c r="N53" i="49"/>
  <c r="X58" i="49"/>
  <c r="S141" i="38"/>
  <c r="AA4" i="48"/>
  <c r="AB202" i="49"/>
  <c r="Z57" i="53"/>
  <c r="X285" i="49"/>
  <c r="AG195" i="42"/>
  <c r="T9" i="44" a="1"/>
  <c r="Z115" i="50"/>
  <c r="Z55" i="48"/>
  <c r="Q4" i="33"/>
  <c r="Q272" i="33"/>
  <c r="O33" i="49"/>
  <c r="J36" i="11"/>
  <c r="T82" i="48"/>
  <c r="H11" i="51"/>
  <c r="AB62" i="49"/>
  <c r="R322" i="33"/>
  <c r="E12" i="37"/>
  <c r="R7" i="38"/>
  <c r="S61" i="50"/>
  <c r="B41" i="34"/>
  <c r="AB76" i="53"/>
  <c r="AA76" i="47"/>
  <c r="X31" i="53"/>
  <c r="N80" i="50"/>
  <c r="AF17" i="44"/>
  <c r="O53" i="50"/>
  <c r="S32" i="39"/>
  <c r="Y76" i="53"/>
  <c r="O280" i="49"/>
  <c r="S119" i="37"/>
  <c r="I28" i="52"/>
  <c r="AB366" i="49"/>
  <c r="J4" i="8"/>
  <c r="J29" i="7"/>
  <c r="Z95" i="50"/>
  <c r="T74" i="50"/>
  <c r="X35" i="47"/>
  <c r="O360" i="49"/>
  <c r="AG90" i="42"/>
  <c r="AB198" i="49"/>
  <c r="Z46" i="50"/>
  <c r="AF84" i="42"/>
  <c r="C38" i="53"/>
  <c r="N3" i="39"/>
  <c r="H21" i="38"/>
  <c r="AB168" i="49"/>
  <c r="Y359" i="49"/>
  <c r="Y175" i="49"/>
  <c r="S63" i="49"/>
  <c r="AA6" i="49"/>
  <c r="Y55" i="49"/>
  <c r="AB344" i="49"/>
  <c r="X312" i="49"/>
  <c r="Q317" i="33"/>
  <c r="AF52" i="42"/>
  <c r="L40" i="51"/>
  <c r="AA114" i="49"/>
  <c r="Z231" i="49"/>
  <c r="Q504" i="33"/>
  <c r="AF153" i="42"/>
  <c r="AG167" i="42"/>
  <c r="N17" i="53"/>
  <c r="V48" i="51"/>
  <c r="N47" i="50"/>
  <c r="AG244" i="42"/>
  <c r="S201" i="39"/>
  <c r="M37" i="41"/>
  <c r="G11" i="37"/>
  <c r="C116" i="34"/>
  <c r="AA81" i="53"/>
  <c r="AF50" i="42"/>
  <c r="Z20" i="47"/>
  <c r="N42" i="49"/>
  <c r="G21" i="39"/>
  <c r="J12" i="24"/>
  <c r="M23" i="41"/>
  <c r="N12" i="50"/>
  <c r="X86" i="53"/>
  <c r="T201" i="49"/>
  <c r="Z17" i="48"/>
  <c r="R250" i="37"/>
  <c r="J31" i="11"/>
  <c r="AA49" i="53"/>
  <c r="AF23" i="42"/>
  <c r="AB10" i="53"/>
  <c r="R141" i="37"/>
  <c r="K29" i="42"/>
  <c r="X217" i="49"/>
  <c r="N90" i="50"/>
  <c r="Z267" i="49"/>
  <c r="AF67" i="43"/>
  <c r="AA100" i="49"/>
  <c r="S243" i="37"/>
  <c r="R69" i="37"/>
  <c r="N267" i="49"/>
  <c r="X375" i="49"/>
  <c r="J30" i="7"/>
  <c r="AB303" i="49"/>
  <c r="O264" i="49"/>
  <c r="AF46" i="44"/>
  <c r="P7" i="40"/>
  <c r="N27" i="49"/>
  <c r="N363" i="49"/>
  <c r="Q497" i="33"/>
  <c r="AF89" i="42"/>
  <c r="S13" i="38"/>
  <c r="O16" i="50"/>
  <c r="F5" i="44"/>
  <c r="S148" i="37"/>
  <c r="H60" i="51"/>
  <c r="S140" i="39"/>
  <c r="Y92" i="49"/>
  <c r="M25" i="51"/>
  <c r="U3" i="42" a="1"/>
  <c r="Q474" i="33"/>
  <c r="Z192" i="49"/>
  <c r="AB13" i="45"/>
  <c r="R302" i="33"/>
  <c r="J36" i="7"/>
  <c r="R194" i="33"/>
  <c r="O61" i="48"/>
  <c r="AB38" i="47"/>
  <c r="S11" i="50"/>
  <c r="S50" i="49"/>
  <c r="R52" i="51"/>
  <c r="AG130" i="42"/>
  <c r="Y48" i="50"/>
  <c r="T63" i="50"/>
  <c r="T63" i="47"/>
  <c r="O19" i="50"/>
  <c r="AD21" i="51"/>
  <c r="J34" i="7"/>
  <c r="O276" i="49"/>
  <c r="R296" i="33"/>
  <c r="AH13" i="48"/>
  <c r="O59" i="53"/>
  <c r="Z69" i="48"/>
  <c r="J16" i="48"/>
  <c r="R236" i="33"/>
  <c r="E5" i="44"/>
  <c r="J43" i="49"/>
  <c r="Y11" i="51"/>
  <c r="H16" i="51"/>
  <c r="R395" i="33"/>
  <c r="O29" i="53"/>
  <c r="AF108" i="42"/>
  <c r="AG94" i="42"/>
  <c r="Z89" i="48"/>
  <c r="S27" i="48"/>
  <c r="S25" i="38"/>
  <c r="R213" i="37"/>
  <c r="T390" i="49"/>
  <c r="S95" i="38"/>
  <c r="J23" i="7"/>
  <c r="D92" i="34"/>
  <c r="J24" i="47"/>
  <c r="D43" i="34"/>
  <c r="T104" i="50"/>
  <c r="J22" i="10"/>
  <c r="Z8" i="47"/>
  <c r="M24" i="41"/>
  <c r="AB59" i="50"/>
  <c r="AG89" i="43"/>
  <c r="Q45" i="33"/>
  <c r="J13" i="39"/>
  <c r="AF83" i="43"/>
  <c r="X91" i="49"/>
  <c r="Z150" i="49"/>
  <c r="J10" i="48"/>
  <c r="AB373" i="49"/>
  <c r="T54" i="47"/>
  <c r="C84" i="34"/>
  <c r="N302" i="49"/>
  <c r="X159" i="49"/>
  <c r="R239" i="38"/>
  <c r="J3" i="11"/>
  <c r="G32" i="34"/>
  <c r="AF253" i="42"/>
  <c r="S208" i="38"/>
  <c r="T3" i="40"/>
  <c r="X72" i="53"/>
  <c r="AG213" i="42"/>
  <c r="S55" i="37"/>
  <c r="Z48" i="48"/>
  <c r="Z80" i="53"/>
  <c r="N77" i="50"/>
  <c r="K16" i="44"/>
  <c r="D114" i="34"/>
  <c r="O128" i="49"/>
  <c r="O105" i="49"/>
  <c r="R55" i="33"/>
  <c r="T82" i="49"/>
  <c r="S153" i="38"/>
  <c r="X29" i="49"/>
  <c r="AA4" i="49"/>
  <c r="S81" i="39"/>
  <c r="AA314" i="49"/>
  <c r="Z136" i="49"/>
  <c r="N33" i="50"/>
  <c r="O5" i="47"/>
  <c r="Z100" i="49"/>
  <c r="Z131" i="49"/>
  <c r="D14" i="34"/>
  <c r="N8" i="50"/>
  <c r="D15" i="51"/>
  <c r="Y130" i="49"/>
  <c r="R351" i="33"/>
  <c r="R209" i="38"/>
  <c r="AA211" i="49"/>
  <c r="T59" i="47"/>
  <c r="X4" i="55"/>
  <c r="S112" i="37"/>
  <c r="AG133" i="42"/>
  <c r="AC16" i="45"/>
  <c r="N39" i="53"/>
  <c r="Q378" i="33"/>
  <c r="AF206" i="42"/>
  <c r="J21" i="10"/>
  <c r="AA54" i="48"/>
  <c r="R98" i="38"/>
  <c r="O71" i="47"/>
  <c r="V27" i="40"/>
  <c r="Q8" i="33"/>
  <c r="Y42" i="53"/>
  <c r="Z41" i="53"/>
  <c r="Q422" i="33"/>
  <c r="X40" i="49"/>
  <c r="AA329" i="49"/>
  <c r="AA62" i="53"/>
  <c r="AB133" i="49"/>
  <c r="O51" i="49"/>
  <c r="N55" i="50"/>
  <c r="Y42" i="48"/>
  <c r="B47" i="34"/>
  <c r="T52" i="50"/>
  <c r="R456" i="33"/>
  <c r="S10" i="50"/>
  <c r="AB337" i="49"/>
  <c r="T54" i="49"/>
  <c r="O7" i="53"/>
  <c r="X41" i="53"/>
  <c r="V50" i="51"/>
  <c r="I6" i="38"/>
  <c r="AA75" i="47"/>
  <c r="S235" i="39"/>
  <c r="R471" i="33"/>
  <c r="K17" i="42"/>
  <c r="X87" i="48"/>
  <c r="AA4" i="53"/>
  <c r="S208" i="39"/>
  <c r="Z16" i="48"/>
  <c r="AA46" i="50"/>
  <c r="Z3" i="50"/>
  <c r="AA176" i="49"/>
  <c r="AB45" i="49"/>
  <c r="AA260" i="49"/>
  <c r="AB341" i="49"/>
  <c r="Q505" i="33"/>
  <c r="S75" i="38"/>
  <c r="L3" i="44"/>
  <c r="Y124" i="49"/>
  <c r="AG123" i="43"/>
  <c r="Y293" i="49"/>
  <c r="O48" i="53"/>
  <c r="N86" i="50"/>
  <c r="AG201" i="42"/>
  <c r="AG7" i="42"/>
  <c r="N64" i="48"/>
  <c r="AF20" i="51"/>
  <c r="AA54" i="50"/>
  <c r="AB60" i="53"/>
  <c r="AA117" i="49"/>
  <c r="Z33" i="50"/>
  <c r="AB19" i="47"/>
  <c r="R231" i="37"/>
  <c r="N4" i="38"/>
  <c r="O65" i="48"/>
  <c r="X30" i="48"/>
  <c r="R112" i="33"/>
  <c r="Q436" i="33"/>
  <c r="O312" i="49"/>
  <c r="S203" i="49"/>
  <c r="X240" i="49"/>
  <c r="R161" i="37"/>
  <c r="AG186" i="42"/>
  <c r="S184" i="38"/>
  <c r="Y53" i="49"/>
  <c r="S112" i="50"/>
  <c r="Y63" i="47"/>
  <c r="J36" i="10"/>
  <c r="Q456" i="33"/>
  <c r="S33" i="49"/>
  <c r="AA83" i="50"/>
  <c r="J16" i="10"/>
  <c r="AF53" i="43"/>
  <c r="T33" i="50"/>
  <c r="AA31" i="49"/>
  <c r="S130" i="39"/>
  <c r="AB63" i="47"/>
  <c r="F7" i="39"/>
  <c r="Q17" i="51"/>
  <c r="R79" i="38"/>
  <c r="S104" i="37"/>
  <c r="Y28" i="49"/>
  <c r="N15" i="47"/>
  <c r="T61" i="53"/>
  <c r="Q221" i="33"/>
  <c r="O247" i="49"/>
  <c r="R11" i="51"/>
  <c r="S160" i="49"/>
  <c r="AG4" i="42"/>
  <c r="Q434" i="33"/>
  <c r="V29" i="40"/>
  <c r="D8" i="35"/>
  <c r="Y98" i="49"/>
  <c r="Z17" i="49"/>
  <c r="J74" i="53"/>
  <c r="E17" i="41"/>
  <c r="R148" i="39"/>
  <c r="AB288" i="49"/>
  <c r="X40" i="50"/>
  <c r="R78" i="33"/>
  <c r="R510" i="33"/>
  <c r="R310" i="33"/>
  <c r="S145" i="37"/>
  <c r="J9" i="37"/>
  <c r="T139" i="49"/>
  <c r="O25" i="53"/>
  <c r="O84" i="50"/>
  <c r="Y87" i="49"/>
  <c r="S17" i="48"/>
  <c r="E21" i="41"/>
  <c r="X318" i="49"/>
  <c r="T238" i="49"/>
  <c r="R223" i="37"/>
  <c r="S171" i="38"/>
  <c r="R18" i="51"/>
  <c r="D43" i="52"/>
  <c r="J29" i="24"/>
  <c r="X14" i="53"/>
  <c r="AB28" i="48"/>
  <c r="X384" i="49"/>
  <c r="T45" i="48"/>
  <c r="N40" i="48"/>
  <c r="X8" i="47"/>
  <c r="S83" i="50"/>
  <c r="D11" i="51"/>
  <c r="Z225" i="49"/>
  <c r="AF243" i="42"/>
  <c r="S340" i="49"/>
  <c r="T113" i="50"/>
  <c r="AB229" i="49"/>
  <c r="H28" i="51"/>
  <c r="M12" i="33"/>
  <c r="E9" i="39"/>
  <c r="R21" i="37"/>
  <c r="N140" i="49"/>
  <c r="R344" i="33"/>
  <c r="H15" i="37"/>
  <c r="J25" i="24"/>
  <c r="R53" i="51"/>
  <c r="V42" i="51"/>
  <c r="Y3" i="42" a="1"/>
  <c r="T84" i="53"/>
  <c r="AF249" i="42"/>
  <c r="I10" i="39"/>
  <c r="N209" i="49"/>
  <c r="AB216" i="49"/>
  <c r="R170" i="33"/>
  <c r="Z68" i="50"/>
  <c r="T292" i="49"/>
  <c r="N78" i="50"/>
  <c r="C20" i="39"/>
  <c r="AB323" i="49"/>
  <c r="R85" i="33"/>
  <c r="AA113" i="50"/>
  <c r="O11" i="50"/>
  <c r="X197" i="49"/>
  <c r="M7" i="41"/>
  <c r="G115" i="34"/>
  <c r="R152" i="39"/>
  <c r="N23" i="47"/>
  <c r="S40" i="48"/>
  <c r="AB50" i="53"/>
  <c r="AA69" i="53"/>
  <c r="D67" i="34"/>
  <c r="H10" i="51"/>
  <c r="T171" i="49"/>
  <c r="AA18" i="48"/>
  <c r="AB37" i="47"/>
  <c r="I10" i="59"/>
  <c r="Y57" i="51"/>
  <c r="N355" i="49"/>
  <c r="O87" i="53"/>
  <c r="S215" i="38"/>
  <c r="Q133" i="33"/>
  <c r="R436" i="33"/>
  <c r="K15" i="42"/>
  <c r="X177" i="49"/>
  <c r="L19" i="42"/>
  <c r="Y302" i="49"/>
  <c r="AG160" i="42"/>
  <c r="M11" i="33"/>
  <c r="O306" i="49"/>
  <c r="AB5" i="49"/>
  <c r="Z186" i="49"/>
  <c r="S27" i="38"/>
  <c r="X121" i="50"/>
  <c r="AG110" i="43"/>
  <c r="AF48" i="44"/>
  <c r="G70" i="34"/>
  <c r="S183" i="37"/>
  <c r="AB118" i="49"/>
  <c r="X57" i="51"/>
  <c r="T10" i="53"/>
  <c r="AB262" i="49"/>
  <c r="K5" i="43"/>
  <c r="S201" i="38"/>
  <c r="V55" i="51"/>
  <c r="T118" i="49"/>
  <c r="AA359" i="49"/>
  <c r="E17" i="44"/>
  <c r="R175" i="38"/>
  <c r="T82" i="50"/>
  <c r="Q324" i="33"/>
  <c r="S153" i="37"/>
  <c r="AA146" i="49"/>
  <c r="AA324" i="49"/>
  <c r="N11" i="49"/>
  <c r="O212" i="49"/>
  <c r="R171" i="38"/>
  <c r="Z253" i="49"/>
  <c r="M10" i="41"/>
  <c r="R366" i="33"/>
  <c r="X12" i="53"/>
  <c r="S45" i="38"/>
  <c r="O78" i="47"/>
  <c r="AF148" i="42"/>
  <c r="S80" i="48"/>
  <c r="U3" i="45" a="1"/>
  <c r="O44" i="50"/>
  <c r="Y146" i="49"/>
  <c r="S100" i="37"/>
  <c r="S128" i="39"/>
  <c r="J27" i="10"/>
  <c r="AF121" i="42"/>
  <c r="T6" i="47"/>
  <c r="AB381" i="49"/>
  <c r="R377" i="33"/>
  <c r="J22" i="9"/>
  <c r="R160" i="39"/>
  <c r="AA189" i="49"/>
  <c r="AB322" i="49"/>
  <c r="Z14" i="49"/>
  <c r="O371" i="49"/>
  <c r="S34" i="47"/>
  <c r="AA294" i="49"/>
  <c r="Y384" i="49"/>
  <c r="X136" i="49"/>
  <c r="C129" i="34"/>
  <c r="J46" i="49"/>
  <c r="U9" i="44" a="1"/>
  <c r="AB5" i="48"/>
  <c r="X306" i="49"/>
  <c r="AB283" i="49"/>
  <c r="AA80" i="50"/>
  <c r="R224" i="37"/>
  <c r="E6" i="45"/>
  <c r="B64" i="34"/>
  <c r="R12" i="33"/>
  <c r="X80" i="53"/>
  <c r="R134" i="37"/>
  <c r="N22" i="48"/>
  <c r="N6" i="53"/>
  <c r="T72" i="48"/>
  <c r="B19" i="34"/>
  <c r="Y62" i="47"/>
  <c r="R161" i="38"/>
  <c r="T383" i="49"/>
  <c r="Z66" i="47"/>
  <c r="S377" i="49"/>
  <c r="D89" i="34"/>
  <c r="I29" i="52"/>
  <c r="Y21" i="47"/>
  <c r="I17" i="38"/>
  <c r="S87" i="38"/>
  <c r="O46" i="50"/>
  <c r="S50" i="53"/>
  <c r="S72" i="38"/>
  <c r="S86" i="39"/>
  <c r="R54" i="38"/>
  <c r="S256" i="49"/>
  <c r="AG71" i="42"/>
  <c r="O102" i="50"/>
  <c r="N85" i="53"/>
  <c r="J17" i="11"/>
  <c r="AF197" i="42"/>
  <c r="T174" i="49"/>
  <c r="Y76" i="48"/>
  <c r="S59" i="39"/>
  <c r="R85" i="39"/>
  <c r="G62" i="34"/>
  <c r="E27" i="42"/>
  <c r="C21" i="34"/>
  <c r="G65" i="34"/>
  <c r="S247" i="37"/>
  <c r="N19" i="59"/>
  <c r="AB124" i="49"/>
  <c r="R51" i="51"/>
  <c r="R440" i="33"/>
  <c r="X138" i="49"/>
  <c r="AA281" i="49"/>
  <c r="N2" i="35"/>
  <c r="W3" i="53" a="1"/>
  <c r="R515" i="33"/>
  <c r="Q175" i="33"/>
  <c r="X25" i="50"/>
  <c r="L22" i="42"/>
  <c r="T368" i="49"/>
  <c r="O83" i="53"/>
  <c r="AB223" i="49"/>
  <c r="D109" i="34"/>
  <c r="AA56" i="48"/>
  <c r="AB7" i="49"/>
  <c r="R29" i="40"/>
  <c r="T91" i="49"/>
  <c r="Y8" i="49"/>
  <c r="T9" i="47"/>
  <c r="B99" i="34"/>
  <c r="B60" i="34"/>
  <c r="T23" i="49"/>
  <c r="Z35" i="51"/>
  <c r="N14" i="39"/>
  <c r="AA242" i="49"/>
  <c r="C107" i="34"/>
  <c r="Z31" i="51"/>
  <c r="AF116" i="43"/>
  <c r="O96" i="50"/>
  <c r="J9" i="10"/>
  <c r="B112" i="34"/>
  <c r="X68" i="49"/>
  <c r="S193" i="39"/>
  <c r="AF13" i="49"/>
  <c r="Y338" i="49"/>
  <c r="Y117" i="49"/>
  <c r="AA52" i="47"/>
  <c r="N21" i="47"/>
  <c r="R87" i="33"/>
  <c r="AB347" i="49"/>
  <c r="Z72" i="47"/>
  <c r="S251" i="39"/>
  <c r="X270" i="49"/>
  <c r="R228" i="37"/>
  <c r="R26" i="37"/>
  <c r="R25" i="33"/>
  <c r="S147" i="39"/>
  <c r="AG18" i="43"/>
  <c r="AF252" i="42"/>
  <c r="Z11" i="48"/>
  <c r="Y273" i="49"/>
  <c r="N16" i="48"/>
  <c r="S137" i="38"/>
  <c r="J26" i="8"/>
  <c r="C42" i="53"/>
  <c r="S178" i="39"/>
  <c r="S147" i="37"/>
  <c r="R133" i="37"/>
  <c r="R138" i="38"/>
  <c r="L54" i="51"/>
  <c r="R248" i="37"/>
  <c r="X14" i="51"/>
  <c r="S253" i="38"/>
  <c r="R244" i="33"/>
  <c r="S115" i="37"/>
  <c r="S167" i="38"/>
  <c r="O86" i="49"/>
  <c r="N70" i="53"/>
  <c r="N11" i="48"/>
  <c r="Q321" i="33"/>
  <c r="AF103" i="42"/>
  <c r="R147" i="38"/>
  <c r="AA224" i="49"/>
  <c r="O101" i="50"/>
  <c r="T62" i="47"/>
  <c r="J57" i="50"/>
  <c r="AA43" i="47"/>
  <c r="R255" i="33"/>
  <c r="AB248" i="49"/>
  <c r="N19" i="53"/>
  <c r="S217" i="39"/>
  <c r="O188" i="49"/>
  <c r="Y20" i="48"/>
  <c r="N39" i="48"/>
  <c r="G34" i="34"/>
  <c r="AF188" i="42"/>
  <c r="X22" i="48"/>
  <c r="G13" i="47"/>
  <c r="O191" i="49"/>
  <c r="Q432" i="33"/>
  <c r="Z13" i="49"/>
  <c r="S8" i="53"/>
  <c r="AA82" i="53"/>
  <c r="AA156" i="49"/>
  <c r="S247" i="38"/>
  <c r="J21" i="9"/>
  <c r="J13" i="10"/>
  <c r="Z37" i="53"/>
  <c r="AG16" i="44"/>
  <c r="G11" i="49"/>
  <c r="AB17" i="53"/>
  <c r="D28" i="54"/>
  <c r="Z29" i="50"/>
  <c r="S94" i="49"/>
  <c r="J19" i="49"/>
  <c r="R392" i="33"/>
  <c r="N84" i="50"/>
  <c r="D123" i="34"/>
  <c r="E23" i="39"/>
  <c r="Z101" i="49"/>
  <c r="N46" i="53"/>
  <c r="Y46" i="47"/>
  <c r="X70" i="48"/>
  <c r="Y278" i="49"/>
  <c r="Y7" i="51"/>
  <c r="Y33" i="47"/>
  <c r="AB23" i="47"/>
  <c r="Y73" i="50"/>
  <c r="AF12" i="43"/>
  <c r="L19" i="51"/>
  <c r="Q13" i="40" a="1"/>
  <c r="S189" i="37"/>
  <c r="X263" i="49"/>
  <c r="Q111" i="33"/>
  <c r="AB45" i="50"/>
  <c r="R236" i="39"/>
  <c r="N171" i="49"/>
  <c r="S68" i="49"/>
  <c r="O79" i="53"/>
  <c r="G58" i="34"/>
  <c r="A12" i="35"/>
  <c r="N11" i="50"/>
  <c r="F21" i="35"/>
  <c r="AF196" i="42"/>
  <c r="O296" i="49"/>
  <c r="T92" i="50"/>
  <c r="N112" i="49"/>
  <c r="G22" i="39"/>
  <c r="Y58" i="53"/>
  <c r="Y351" i="49"/>
  <c r="Y57" i="47"/>
  <c r="AA71" i="53"/>
  <c r="Y47" i="49"/>
  <c r="AA279" i="49"/>
  <c r="T348" i="49"/>
  <c r="Z48" i="47"/>
  <c r="O20" i="47"/>
  <c r="Q343" i="33"/>
  <c r="N23" i="48"/>
  <c r="AB390" i="49"/>
  <c r="R432" i="33"/>
  <c r="Y7" i="49"/>
  <c r="T350" i="49"/>
  <c r="S210" i="37"/>
  <c r="Z68" i="53"/>
  <c r="Q391" i="33"/>
  <c r="Q222" i="33"/>
  <c r="J7" i="53"/>
  <c r="T325" i="49"/>
  <c r="R237" i="38"/>
  <c r="R53" i="39"/>
  <c r="R308" i="33"/>
  <c r="C36" i="34"/>
  <c r="T156" i="49"/>
  <c r="O245" i="49"/>
  <c r="R475" i="33"/>
  <c r="R8" i="37"/>
  <c r="N243" i="49"/>
  <c r="J15" i="10"/>
  <c r="X52" i="47"/>
  <c r="Z83" i="53"/>
  <c r="Z322" i="49"/>
  <c r="Q386" i="33"/>
  <c r="AG63" i="44"/>
  <c r="J29" i="11"/>
  <c r="C40" i="34"/>
  <c r="S24" i="53"/>
  <c r="D59" i="34"/>
  <c r="Q301" i="33"/>
  <c r="AA111" i="49"/>
  <c r="AF119" i="42"/>
  <c r="K7" i="33"/>
  <c r="W3" i="47" a="1"/>
  <c r="G17" i="39"/>
  <c r="Z113" i="49"/>
  <c r="Q44" i="33"/>
  <c r="AB55" i="49"/>
  <c r="J19" i="24"/>
  <c r="N31" i="50"/>
  <c r="S255" i="38"/>
  <c r="S217" i="37"/>
  <c r="A7" i="35"/>
  <c r="AA38" i="53"/>
  <c r="N41" i="47"/>
  <c r="H39" i="51"/>
  <c r="J82" i="50"/>
  <c r="S50" i="38"/>
  <c r="X99" i="50"/>
  <c r="T17" i="49"/>
  <c r="H13" i="39"/>
  <c r="AA8" i="49"/>
  <c r="R321" i="33"/>
  <c r="S203" i="38"/>
  <c r="S104" i="49"/>
  <c r="S111" i="39"/>
  <c r="T18" i="47"/>
  <c r="AG11" i="51"/>
  <c r="O79" i="50"/>
  <c r="AG23" i="42"/>
  <c r="C23" i="34"/>
  <c r="Y53" i="47"/>
  <c r="J18" i="10"/>
  <c r="S314" i="49"/>
  <c r="Y36" i="53"/>
  <c r="Y154" i="49"/>
  <c r="AF77" i="43"/>
  <c r="AB116" i="49"/>
  <c r="Y366" i="49"/>
  <c r="C73" i="34"/>
  <c r="J7" i="35"/>
  <c r="R75" i="39"/>
  <c r="S91" i="39"/>
  <c r="R20" i="33"/>
  <c r="N23" i="39"/>
  <c r="AF136" i="42"/>
  <c r="G25" i="24"/>
  <c r="R66" i="38"/>
  <c r="S127" i="49"/>
  <c r="Y197" i="49"/>
  <c r="O61" i="50"/>
  <c r="AF52" i="43"/>
  <c r="Z23" i="51"/>
  <c r="R92" i="38"/>
  <c r="N113" i="49"/>
  <c r="Z43" i="50"/>
  <c r="Z336" i="49"/>
  <c r="E28" i="42"/>
  <c r="T221" i="49"/>
  <c r="Q28" i="33"/>
  <c r="BA3" i="34"/>
  <c r="X356" i="49"/>
  <c r="AF254" i="42"/>
  <c r="AI13" i="48"/>
  <c r="E8" i="39"/>
  <c r="O329" i="49"/>
  <c r="AF129" i="42"/>
  <c r="AA356" i="49"/>
  <c r="G28" i="34"/>
  <c r="T182" i="49"/>
  <c r="Z271" i="49"/>
  <c r="X3" i="47"/>
  <c r="S103" i="38"/>
  <c r="X123" i="50"/>
  <c r="AF9" i="42"/>
  <c r="X54" i="53"/>
  <c r="R28" i="40"/>
  <c r="AA182" i="49"/>
  <c r="G67" i="34"/>
  <c r="AG92" i="43"/>
  <c r="X73" i="48"/>
  <c r="M26" i="51"/>
  <c r="S129" i="38"/>
  <c r="AC18" i="45"/>
  <c r="N335" i="49"/>
  <c r="AA39" i="47"/>
  <c r="AA5" i="50"/>
  <c r="Z60" i="48"/>
  <c r="Q465" i="33"/>
  <c r="AB11" i="45"/>
  <c r="O114" i="49"/>
  <c r="AG152" i="42"/>
  <c r="Q380" i="33"/>
  <c r="Z76" i="47"/>
  <c r="AB208" i="49"/>
  <c r="Q500" i="33"/>
  <c r="O310" i="49"/>
  <c r="Z41" i="51"/>
  <c r="N200" i="49"/>
  <c r="S90" i="38"/>
  <c r="J30" i="8"/>
  <c r="Y178" i="49"/>
  <c r="D21" i="52"/>
  <c r="X12" i="47"/>
  <c r="AB11" i="53"/>
  <c r="AA143" i="49"/>
  <c r="AG138" i="42"/>
  <c r="S92" i="38"/>
  <c r="T36" i="49"/>
  <c r="T69" i="53"/>
  <c r="Y187" i="49"/>
  <c r="O38" i="47"/>
  <c r="AB127" i="49"/>
  <c r="T138" i="49"/>
  <c r="X84" i="50"/>
  <c r="S181" i="37"/>
  <c r="O237" i="49"/>
  <c r="P9" i="40"/>
  <c r="X272" i="49"/>
  <c r="N12" i="53"/>
  <c r="N20" i="50"/>
  <c r="S166" i="39"/>
  <c r="I6" i="37"/>
  <c r="AG19" i="42"/>
  <c r="J32" i="24"/>
  <c r="S215" i="37"/>
  <c r="E5" i="45"/>
  <c r="T14" i="49"/>
  <c r="N144" i="49"/>
  <c r="N74" i="47"/>
  <c r="R237" i="39"/>
  <c r="R43" i="33"/>
  <c r="O62" i="48"/>
  <c r="Y310" i="49"/>
  <c r="S152" i="37"/>
  <c r="X52" i="48"/>
  <c r="AF95" i="43"/>
  <c r="S230" i="49"/>
  <c r="T218" i="49"/>
  <c r="T82" i="53"/>
  <c r="E13" i="37"/>
  <c r="Y205" i="49"/>
  <c r="J31" i="50"/>
  <c r="O255" i="49"/>
  <c r="N214" i="49"/>
  <c r="Z94" i="49"/>
  <c r="O101" i="49"/>
  <c r="N33" i="53"/>
  <c r="R4" i="38"/>
  <c r="J27" i="48"/>
  <c r="N13" i="37"/>
  <c r="T59" i="53"/>
  <c r="Q484" i="33"/>
  <c r="V8" i="51"/>
  <c r="C8" i="34"/>
  <c r="G94" i="34"/>
  <c r="R136" i="38"/>
  <c r="T7" i="50"/>
  <c r="AG165" i="42"/>
  <c r="AA326" i="49"/>
  <c r="D55" i="34"/>
  <c r="G3" i="38"/>
  <c r="S359" i="49"/>
  <c r="X16" i="50"/>
  <c r="S230" i="39"/>
  <c r="AG20" i="51"/>
  <c r="J22" i="42"/>
  <c r="J5" i="10"/>
  <c r="AH12" i="48"/>
  <c r="AB167" i="49"/>
  <c r="Y326" i="49"/>
  <c r="I18" i="36"/>
  <c r="I15" i="38"/>
  <c r="AA45" i="49"/>
  <c r="AB350" i="49"/>
  <c r="N165" i="49"/>
  <c r="N194" i="49"/>
  <c r="Y41" i="53"/>
  <c r="R291" i="33"/>
  <c r="Y38" i="50"/>
  <c r="S62" i="38"/>
  <c r="Z25" i="49"/>
  <c r="AG127" i="42"/>
  <c r="R12" i="37"/>
  <c r="Q259" i="33"/>
  <c r="N65" i="48"/>
  <c r="X247" i="49"/>
  <c r="AM4" i="43"/>
  <c r="Z25" i="51"/>
  <c r="T50" i="53"/>
  <c r="O45" i="50"/>
  <c r="N260" i="49"/>
  <c r="S170" i="38"/>
  <c r="R65" i="37"/>
  <c r="J6" i="37"/>
  <c r="N19" i="49"/>
  <c r="G56" i="34"/>
  <c r="AB218" i="49"/>
  <c r="E24" i="42"/>
  <c r="AG37" i="43"/>
  <c r="E15" i="39"/>
  <c r="N20" i="49"/>
  <c r="Q388" i="33"/>
  <c r="M48" i="51"/>
  <c r="AG131" i="42"/>
  <c r="S4" i="53"/>
  <c r="AA52" i="53"/>
  <c r="S26" i="47"/>
  <c r="X191" i="49"/>
  <c r="X379" i="49"/>
  <c r="N42" i="48"/>
  <c r="AB77" i="48"/>
  <c r="X63" i="47"/>
  <c r="D96" i="34"/>
  <c r="E15" i="41"/>
  <c r="AB6" i="47"/>
  <c r="S144" i="37"/>
  <c r="AB31" i="49"/>
  <c r="X79" i="50"/>
  <c r="N319" i="49"/>
  <c r="N89" i="53"/>
  <c r="Z11" i="51"/>
  <c r="S195" i="49"/>
  <c r="N162" i="49"/>
  <c r="S27" i="37"/>
  <c r="S87" i="37"/>
  <c r="N58" i="49"/>
  <c r="N92" i="50"/>
  <c r="T86" i="53"/>
  <c r="X26" i="51"/>
  <c r="S312" i="49"/>
  <c r="Y244" i="49"/>
  <c r="N223" i="49"/>
  <c r="AF19" i="48"/>
  <c r="R5" i="37"/>
  <c r="N32" i="50"/>
  <c r="AB83" i="49"/>
  <c r="Q197" i="33"/>
  <c r="Z77" i="53"/>
  <c r="Z80" i="48"/>
  <c r="R427" i="33"/>
  <c r="H44" i="51"/>
  <c r="R284" i="33"/>
  <c r="Y31" i="53"/>
  <c r="AA72" i="47"/>
  <c r="Q21" i="33"/>
  <c r="S90" i="48"/>
  <c r="T286" i="49"/>
  <c r="X83" i="53"/>
  <c r="S71" i="47"/>
  <c r="S267" i="49"/>
  <c r="AB199" i="49"/>
  <c r="M46" i="51"/>
  <c r="R345" i="33"/>
  <c r="S92" i="39"/>
  <c r="R198" i="37"/>
  <c r="T68" i="49"/>
  <c r="AA167" i="49"/>
  <c r="S136" i="38"/>
  <c r="R57" i="38"/>
  <c r="J25" i="8"/>
  <c r="AF10" i="44"/>
  <c r="AG31" i="44"/>
  <c r="AF110" i="43"/>
  <c r="N57" i="49"/>
  <c r="O32" i="48"/>
  <c r="S149" i="37"/>
  <c r="R115" i="39"/>
  <c r="R27" i="39"/>
  <c r="X224" i="49"/>
  <c r="O15" i="50"/>
  <c r="R224" i="39"/>
  <c r="T192" i="49"/>
  <c r="D5" i="34"/>
  <c r="T347" i="49"/>
  <c r="O71" i="53"/>
  <c r="R241" i="33"/>
  <c r="Y253" i="49"/>
  <c r="B40" i="34"/>
  <c r="O4" i="48"/>
  <c r="J17" i="42"/>
  <c r="M19" i="61"/>
  <c r="AB80" i="49"/>
  <c r="AA7" i="50"/>
  <c r="X21" i="47"/>
  <c r="Y68" i="48"/>
  <c r="X30" i="47"/>
  <c r="N3" i="59"/>
  <c r="J9" i="47"/>
  <c r="R44" i="37"/>
  <c r="O18" i="50"/>
  <c r="Y259" i="49"/>
  <c r="AA21" i="49"/>
  <c r="R10" i="37"/>
  <c r="X19" i="50"/>
  <c r="S237" i="37"/>
  <c r="S67" i="37"/>
  <c r="J25" i="9"/>
  <c r="O36" i="49"/>
  <c r="R370" i="33"/>
  <c r="L4" i="44"/>
  <c r="M9" i="40"/>
  <c r="S27" i="53"/>
  <c r="B42" i="34"/>
  <c r="Z24" i="47"/>
  <c r="S38" i="47"/>
  <c r="AG36" i="43"/>
  <c r="R109" i="37"/>
  <c r="Y281" i="49"/>
  <c r="S255" i="37"/>
  <c r="R149" i="33"/>
  <c r="AA340" i="49"/>
  <c r="AB86" i="48"/>
  <c r="Z70" i="48"/>
  <c r="Y80" i="49"/>
  <c r="J46" i="50"/>
  <c r="AA36" i="48"/>
  <c r="O81" i="48"/>
  <c r="Q243" i="33"/>
  <c r="AG118" i="42"/>
  <c r="Z108" i="50"/>
  <c r="G5" i="37"/>
  <c r="Q99" i="33"/>
  <c r="T79" i="50"/>
  <c r="Z52" i="48"/>
  <c r="R29" i="33"/>
  <c r="I20" i="38"/>
  <c r="Z21" i="48"/>
  <c r="AG57" i="44"/>
  <c r="T31" i="47"/>
  <c r="AF25" i="42"/>
  <c r="Y386" i="49"/>
  <c r="AF61" i="42"/>
  <c r="Y239" i="49"/>
  <c r="O77" i="50"/>
  <c r="S239" i="39"/>
  <c r="T75" i="50"/>
  <c r="N43" i="49"/>
  <c r="L16" i="61"/>
  <c r="Z313" i="49"/>
  <c r="J18" i="35"/>
  <c r="R409" i="33"/>
  <c r="O17" i="48"/>
  <c r="R145" i="39"/>
  <c r="E6" i="41"/>
  <c r="Y13" i="51"/>
  <c r="J41" i="49"/>
  <c r="X119" i="50"/>
  <c r="N51" i="49"/>
  <c r="J9" i="8"/>
  <c r="J35" i="35"/>
  <c r="AF14" i="48"/>
  <c r="F9" i="37"/>
  <c r="Q191" i="33"/>
  <c r="Q411" i="33"/>
  <c r="X53" i="50"/>
  <c r="H59" i="51"/>
  <c r="Y44" i="48"/>
  <c r="N222" i="49"/>
  <c r="S119" i="38"/>
  <c r="Y37" i="50"/>
  <c r="AG61" i="42"/>
  <c r="N50" i="47"/>
  <c r="AA53" i="50"/>
  <c r="AA51" i="48"/>
  <c r="L6" i="42"/>
  <c r="R242" i="39"/>
  <c r="Y256" i="49"/>
  <c r="R4" i="37"/>
  <c r="Z81" i="50"/>
  <c r="X41" i="51"/>
  <c r="Q201" i="33"/>
  <c r="AA55" i="50"/>
  <c r="S199" i="38"/>
  <c r="X262" i="49"/>
  <c r="S227" i="38"/>
  <c r="T92" i="48"/>
  <c r="AB89" i="53"/>
  <c r="Z38" i="47"/>
  <c r="G75" i="34"/>
  <c r="Y7" i="50"/>
  <c r="Z53" i="53"/>
  <c r="S39" i="50"/>
  <c r="Y9" i="42" a="1"/>
  <c r="D98" i="34"/>
  <c r="W8" i="51"/>
  <c r="R242" i="37"/>
  <c r="R488" i="33"/>
  <c r="Z19" i="50"/>
  <c r="Y20" i="51"/>
  <c r="Z367" i="49"/>
  <c r="R259" i="37"/>
  <c r="B32" i="34"/>
  <c r="T164" i="49"/>
  <c r="X57" i="49"/>
  <c r="O28" i="49"/>
  <c r="X62" i="48"/>
  <c r="S322" i="49"/>
  <c r="R61" i="37"/>
  <c r="AB209" i="49"/>
  <c r="T51" i="47"/>
  <c r="X51" i="53"/>
  <c r="AB74" i="53"/>
  <c r="T119" i="50"/>
  <c r="AG109" i="43"/>
  <c r="R84" i="37"/>
  <c r="N66" i="49"/>
  <c r="N59" i="53"/>
  <c r="Z363" i="49"/>
  <c r="X28" i="51"/>
  <c r="F31" i="35"/>
  <c r="X32" i="48"/>
  <c r="X18" i="49"/>
  <c r="X249" i="49"/>
  <c r="Z315" i="49"/>
  <c r="G127" i="34"/>
  <c r="R217" i="39"/>
  <c r="X279" i="49"/>
  <c r="G12" i="24"/>
  <c r="D28" i="59"/>
  <c r="Y110" i="49"/>
  <c r="Q383" i="33"/>
  <c r="AG53" i="42"/>
  <c r="S101" i="37"/>
  <c r="R299" i="33"/>
  <c r="Q304" i="33"/>
  <c r="R472" i="33"/>
  <c r="AA35" i="48"/>
  <c r="D51" i="52"/>
  <c r="AG40" i="44"/>
  <c r="S19" i="50"/>
  <c r="O4" i="47"/>
  <c r="Z56" i="50"/>
  <c r="AF20" i="48"/>
  <c r="O87" i="49"/>
  <c r="O92" i="49"/>
  <c r="N91" i="48"/>
  <c r="AH18" i="49"/>
  <c r="Q11" i="51"/>
  <c r="AB73" i="48"/>
  <c r="S214" i="49"/>
  <c r="O42" i="49"/>
  <c r="AA35" i="50"/>
  <c r="O58" i="53"/>
  <c r="Q132" i="33"/>
  <c r="J67" i="50"/>
  <c r="Y45" i="51"/>
  <c r="S290" i="49"/>
  <c r="T361" i="49"/>
  <c r="N26" i="48"/>
  <c r="O86" i="53"/>
  <c r="Y270" i="49"/>
  <c r="AB117" i="49"/>
  <c r="D5" i="43"/>
  <c r="Y16" i="48"/>
  <c r="O72" i="48"/>
  <c r="AH11" i="50"/>
  <c r="C47" i="59"/>
  <c r="S371" i="49"/>
  <c r="Z287" i="49"/>
  <c r="R224" i="33"/>
  <c r="AA61" i="48"/>
  <c r="AF39" i="43"/>
  <c r="N369" i="49"/>
  <c r="Z47" i="50"/>
  <c r="N86" i="49"/>
  <c r="AA92" i="48"/>
  <c r="S137" i="37"/>
  <c r="AG15" i="42"/>
  <c r="X7" i="50"/>
  <c r="AA10" i="48"/>
  <c r="Y62" i="49"/>
  <c r="X80" i="50"/>
  <c r="AA285" i="49"/>
  <c r="AA107" i="50"/>
  <c r="CE5" i="34"/>
  <c r="AB25" i="53"/>
  <c r="N109" i="49"/>
  <c r="Z119" i="49"/>
  <c r="AG258" i="42"/>
  <c r="T326" i="49"/>
  <c r="Y59" i="48"/>
  <c r="Y217" i="49"/>
  <c r="N64" i="47"/>
  <c r="R60" i="37"/>
  <c r="AF72" i="42"/>
  <c r="AF5" i="43"/>
  <c r="J14" i="11"/>
  <c r="L25" i="51"/>
  <c r="T60" i="47"/>
  <c r="J10" i="9"/>
  <c r="R172" i="39"/>
  <c r="O55" i="49"/>
  <c r="O239" i="49"/>
  <c r="R200" i="33"/>
  <c r="J19" i="42"/>
  <c r="T47" i="50"/>
  <c r="R258" i="39"/>
  <c r="X5" i="51"/>
  <c r="D53" i="52"/>
  <c r="AA99" i="50"/>
  <c r="T40" i="48"/>
  <c r="X28" i="50"/>
  <c r="C114" i="34"/>
  <c r="J8" i="37"/>
  <c r="C91" i="34"/>
  <c r="AA45" i="48"/>
  <c r="Z70" i="50"/>
  <c r="C72" i="34"/>
  <c r="D66" i="34"/>
  <c r="X42" i="53"/>
  <c r="H47" i="51"/>
  <c r="X25" i="51"/>
  <c r="AG39" i="44"/>
  <c r="R184" i="37"/>
  <c r="T320" i="49"/>
  <c r="O64" i="53"/>
  <c r="Z14" i="53"/>
  <c r="S223" i="37"/>
  <c r="X59" i="47"/>
  <c r="Z57" i="51"/>
  <c r="Z66" i="48"/>
  <c r="S189" i="49"/>
  <c r="AF69" i="42"/>
  <c r="G43" i="24"/>
  <c r="G74" i="34"/>
  <c r="H42" i="51"/>
  <c r="B78" i="34"/>
  <c r="O98" i="50"/>
  <c r="Q36" i="33"/>
  <c r="T92" i="49"/>
  <c r="X5" i="50"/>
  <c r="T39" i="50"/>
  <c r="X86" i="48"/>
  <c r="AF18" i="48"/>
  <c r="S334" i="49"/>
  <c r="X42" i="47"/>
  <c r="AB23" i="48"/>
  <c r="R357" i="33"/>
  <c r="R195" i="39"/>
  <c r="Q420" i="33"/>
  <c r="Y15" i="47"/>
  <c r="AA32" i="47"/>
  <c r="X121" i="49"/>
  <c r="D16" i="34"/>
  <c r="Y72" i="50"/>
  <c r="Z252" i="49"/>
  <c r="Y26" i="47"/>
  <c r="AG219" i="42"/>
  <c r="N107" i="50"/>
  <c r="L14" i="51"/>
  <c r="Y54" i="49"/>
  <c r="T80" i="53"/>
  <c r="Z122" i="49"/>
  <c r="AA74" i="53"/>
  <c r="S60" i="38"/>
  <c r="N15" i="48"/>
  <c r="Y13" i="49"/>
  <c r="J56" i="50"/>
  <c r="Y77" i="50"/>
  <c r="AB68" i="53"/>
  <c r="C26" i="54"/>
  <c r="Q20" i="51"/>
  <c r="F12" i="37"/>
  <c r="J26" i="7"/>
  <c r="R124" i="38"/>
  <c r="AB84" i="50"/>
  <c r="AA164" i="49"/>
  <c r="J16" i="39"/>
  <c r="Z167" i="49"/>
  <c r="AC6" i="45"/>
  <c r="S142" i="37"/>
  <c r="X38" i="50"/>
  <c r="G53" i="34"/>
  <c r="Y5" i="47"/>
  <c r="Z160" i="49"/>
  <c r="X64" i="48"/>
  <c r="AF13" i="50"/>
  <c r="R36" i="51"/>
  <c r="S161" i="49"/>
  <c r="AB12" i="48"/>
  <c r="T242" i="49"/>
  <c r="Y62" i="53"/>
  <c r="Y23" i="50"/>
  <c r="S262" i="37"/>
  <c r="S338" i="49"/>
  <c r="Z54" i="48"/>
  <c r="AH15" i="48"/>
  <c r="T45" i="47"/>
  <c r="Y26" i="51"/>
  <c r="R238" i="37"/>
  <c r="AA28" i="53"/>
  <c r="AA321" i="49"/>
  <c r="AF63" i="44"/>
  <c r="R228" i="38"/>
  <c r="AG108" i="42"/>
  <c r="I13" i="37"/>
  <c r="X7" i="51"/>
  <c r="N82" i="49"/>
  <c r="H9" i="39"/>
  <c r="J53" i="47"/>
  <c r="AB94" i="50"/>
  <c r="R170" i="37"/>
  <c r="Y21" i="53"/>
  <c r="G33" i="24"/>
  <c r="AA245" i="49"/>
  <c r="N358" i="49"/>
  <c r="AG199" i="42"/>
  <c r="Q277" i="33"/>
  <c r="T87" i="48"/>
  <c r="C50" i="34"/>
  <c r="O29" i="50"/>
  <c r="J84" i="50"/>
  <c r="X371" i="49"/>
  <c r="Z123" i="49"/>
  <c r="R420" i="33"/>
  <c r="AA43" i="50"/>
  <c r="Y353" i="49"/>
  <c r="F11" i="39"/>
  <c r="Z61" i="50"/>
  <c r="K7" i="44"/>
  <c r="AB63" i="49"/>
  <c r="Z24" i="53"/>
  <c r="H62" i="51"/>
  <c r="S234" i="49"/>
  <c r="F23" i="39"/>
  <c r="AA31" i="47"/>
  <c r="C69" i="34"/>
  <c r="AG16" i="42"/>
  <c r="N2" i="41"/>
  <c r="S9" i="50"/>
  <c r="X64" i="49"/>
  <c r="N278" i="49"/>
  <c r="R8" i="38"/>
  <c r="R164" i="33"/>
  <c r="X16" i="51"/>
  <c r="Z386" i="49"/>
  <c r="Z85" i="49"/>
  <c r="O75" i="53"/>
  <c r="O175" i="49"/>
  <c r="R6" i="51"/>
  <c r="AB196" i="49"/>
  <c r="Y30" i="49"/>
  <c r="X228" i="49"/>
  <c r="Q95" i="33"/>
  <c r="N265" i="49"/>
  <c r="T122" i="49"/>
  <c r="N74" i="50"/>
  <c r="H8" i="51"/>
  <c r="T5" i="50"/>
  <c r="N23" i="59"/>
  <c r="F7" i="37"/>
  <c r="AA24" i="53"/>
  <c r="N13" i="47"/>
  <c r="N118" i="49"/>
  <c r="O17" i="49"/>
  <c r="Y69" i="50"/>
  <c r="O5" i="48"/>
  <c r="X278" i="49"/>
  <c r="Z359" i="49"/>
  <c r="S7" i="39"/>
  <c r="R53" i="38"/>
  <c r="J14" i="35"/>
  <c r="AF92" i="42"/>
  <c r="S113" i="50"/>
  <c r="B1" i="46"/>
  <c r="V25" i="51"/>
  <c r="AF26" i="43"/>
  <c r="N213" i="49"/>
  <c r="Z292" i="49"/>
  <c r="S221" i="49"/>
  <c r="AF36" i="43"/>
  <c r="Y153" i="49"/>
  <c r="S241" i="49"/>
  <c r="S47" i="49"/>
  <c r="AG73" i="43"/>
  <c r="X337" i="49"/>
  <c r="D7" i="42"/>
  <c r="R135" i="37"/>
  <c r="O57" i="48"/>
  <c r="R187" i="39"/>
  <c r="O74" i="50"/>
  <c r="I31" i="59"/>
  <c r="R53" i="37"/>
  <c r="N35" i="50"/>
  <c r="Z25" i="48"/>
  <c r="O9" i="48"/>
  <c r="Z89" i="53"/>
  <c r="AB42" i="48"/>
  <c r="X2" i="27"/>
  <c r="G9" i="39"/>
  <c r="R222" i="37"/>
  <c r="R193" i="33"/>
  <c r="AA115" i="50"/>
  <c r="S106" i="39"/>
  <c r="O72" i="49"/>
  <c r="AA65" i="53"/>
  <c r="Z81" i="49"/>
  <c r="J28" i="49"/>
  <c r="Y60" i="47"/>
  <c r="AA30" i="53"/>
  <c r="H12" i="39"/>
  <c r="X43" i="51"/>
  <c r="X17" i="48"/>
  <c r="R109" i="33"/>
  <c r="T46" i="53"/>
  <c r="L49" i="51"/>
  <c r="AA357" i="49"/>
  <c r="T115" i="50"/>
  <c r="S208" i="37"/>
  <c r="O52" i="50"/>
  <c r="O218" i="49"/>
  <c r="X11" i="48"/>
  <c r="AF75" i="42"/>
  <c r="S85" i="49"/>
  <c r="S119" i="49"/>
  <c r="J13" i="48"/>
  <c r="S219" i="49"/>
  <c r="S67" i="38"/>
  <c r="C33" i="50"/>
  <c r="AA24" i="50"/>
  <c r="AG254" i="42"/>
  <c r="N38" i="48"/>
  <c r="X310" i="49"/>
  <c r="N29" i="47"/>
  <c r="T26" i="48"/>
  <c r="O268" i="49"/>
  <c r="AB29" i="47"/>
  <c r="L35" i="51"/>
  <c r="T256" i="49"/>
  <c r="Z95" i="49"/>
  <c r="R59" i="39"/>
  <c r="S134" i="49"/>
  <c r="AB107" i="50"/>
  <c r="N138" i="49"/>
  <c r="T77" i="47"/>
  <c r="T227" i="49"/>
  <c r="M11" i="61"/>
  <c r="Q145" i="33"/>
  <c r="J57" i="48"/>
  <c r="S5" i="38"/>
  <c r="Y72" i="47"/>
  <c r="B45" i="34"/>
  <c r="Y371" i="49"/>
  <c r="R167" i="39"/>
  <c r="R121" i="37"/>
  <c r="Q513" i="33"/>
  <c r="X5" i="48"/>
  <c r="AI17" i="50"/>
  <c r="T37" i="47"/>
  <c r="AG41" i="44"/>
  <c r="R232" i="38"/>
  <c r="J60" i="50"/>
  <c r="S146" i="38"/>
  <c r="T180" i="49"/>
  <c r="Z203" i="49"/>
  <c r="T4" i="40"/>
  <c r="B20" i="34"/>
  <c r="R279" i="33"/>
  <c r="B7" i="34"/>
  <c r="Z195" i="49"/>
  <c r="S7" i="49"/>
  <c r="N68" i="50"/>
  <c r="R190" i="37"/>
  <c r="Q507" i="33"/>
  <c r="S99" i="49"/>
  <c r="G16" i="34"/>
  <c r="AA130" i="49"/>
  <c r="N93" i="49"/>
  <c r="Z21" i="47"/>
  <c r="R149" i="38"/>
  <c r="Q103" i="33"/>
  <c r="Z274" i="49"/>
  <c r="X61" i="47"/>
  <c r="R81" i="39"/>
  <c r="T211" i="49"/>
  <c r="AA132" i="49"/>
  <c r="Q100" i="33"/>
  <c r="F9" i="38"/>
  <c r="N268" i="49"/>
  <c r="R464" i="33"/>
  <c r="Z298" i="49"/>
  <c r="H4" i="54"/>
  <c r="Z133" i="49"/>
  <c r="R48" i="51"/>
  <c r="S201" i="49"/>
  <c r="G6" i="42"/>
  <c r="Q472" i="33"/>
  <c r="Y27" i="53"/>
  <c r="AA16" i="53"/>
  <c r="Y163" i="49"/>
  <c r="Y55" i="50"/>
  <c r="AF57" i="42"/>
  <c r="S180" i="39"/>
  <c r="R92" i="39"/>
  <c r="AF99" i="42"/>
  <c r="AB206" i="49"/>
  <c r="R22" i="39"/>
  <c r="AB47" i="50"/>
  <c r="T193" i="49"/>
  <c r="R107" i="39"/>
  <c r="AA30" i="50"/>
  <c r="J35" i="10"/>
  <c r="R435" i="33"/>
  <c r="O180" i="49"/>
  <c r="T173" i="49"/>
  <c r="AA13" i="47"/>
  <c r="R214" i="39"/>
  <c r="R116" i="33"/>
  <c r="Q310" i="33"/>
  <c r="Z50" i="53"/>
  <c r="Q168" i="33"/>
  <c r="AM2" i="34"/>
  <c r="AB24" i="47"/>
  <c r="X62" i="47"/>
  <c r="O106" i="49"/>
  <c r="AG81" i="43"/>
  <c r="Q121" i="33"/>
  <c r="J15" i="37"/>
  <c r="N272" i="49"/>
  <c r="H36" i="51"/>
  <c r="Z176" i="49"/>
  <c r="Z383" i="49"/>
  <c r="O12" i="53"/>
  <c r="AG150" i="42"/>
  <c r="T66" i="50"/>
  <c r="B62" i="34"/>
  <c r="X13" i="49"/>
  <c r="T259" i="49"/>
  <c r="O80" i="53"/>
  <c r="O305" i="49"/>
  <c r="AM3" i="44"/>
  <c r="X28" i="48"/>
  <c r="R206" i="37"/>
  <c r="AB207" i="49"/>
  <c r="T75" i="47"/>
  <c r="Y13" i="47"/>
  <c r="L3" i="40"/>
  <c r="R100" i="33"/>
  <c r="AA70" i="53"/>
  <c r="O69" i="53"/>
  <c r="AA83" i="49"/>
  <c r="S23" i="47"/>
  <c r="AF162" i="42"/>
  <c r="O100" i="49"/>
  <c r="T25" i="49"/>
  <c r="AF35" i="43"/>
  <c r="R262" i="37"/>
  <c r="J35" i="24"/>
  <c r="S49" i="38"/>
  <c r="Y28" i="47"/>
  <c r="R307" i="33"/>
  <c r="K4" i="42"/>
  <c r="N58" i="53"/>
  <c r="S43" i="53"/>
  <c r="S214" i="37"/>
  <c r="S225" i="49"/>
  <c r="AG122" i="42"/>
  <c r="S150" i="49"/>
  <c r="O200" i="49"/>
  <c r="J84" i="53"/>
  <c r="C7" i="34"/>
  <c r="B58" i="34"/>
  <c r="Z37" i="48"/>
  <c r="R509" i="33"/>
  <c r="R144" i="39"/>
  <c r="G10" i="38"/>
  <c r="AG202" i="42"/>
  <c r="R478" i="33"/>
  <c r="M9" i="33"/>
  <c r="N25" i="47"/>
  <c r="D34" i="46"/>
  <c r="X57" i="53"/>
  <c r="AB71" i="47"/>
  <c r="AF137" i="42"/>
  <c r="X35" i="51"/>
  <c r="X164" i="49"/>
  <c r="O308" i="49"/>
  <c r="L27" i="59"/>
  <c r="O195" i="49"/>
  <c r="D10" i="36"/>
  <c r="Y260" i="49"/>
  <c r="AF16" i="43"/>
  <c r="S329" i="49"/>
  <c r="R34" i="39"/>
  <c r="R211" i="39"/>
  <c r="S29" i="50"/>
  <c r="Z39" i="50"/>
  <c r="O154" i="49"/>
  <c r="O63" i="49"/>
  <c r="O18" i="49"/>
  <c r="T255" i="49"/>
  <c r="AF12" i="49"/>
  <c r="AA18" i="49"/>
  <c r="AF11" i="44"/>
  <c r="Y77" i="53"/>
  <c r="AA70" i="49"/>
  <c r="X46" i="50"/>
  <c r="L56" i="51"/>
  <c r="Z9" i="48"/>
  <c r="Y43" i="49"/>
  <c r="AB192" i="49"/>
  <c r="Y103" i="49"/>
  <c r="AB42" i="50"/>
  <c r="N85" i="49"/>
  <c r="X54" i="50"/>
  <c r="T205" i="49"/>
  <c r="AF18" i="43"/>
  <c r="AF160" i="42"/>
  <c r="J28" i="35"/>
  <c r="Z16" i="50"/>
  <c r="O37" i="53"/>
  <c r="L3" i="51"/>
  <c r="Q26" i="33"/>
  <c r="R30" i="39"/>
  <c r="D102" i="34"/>
  <c r="S282" i="49"/>
  <c r="T42" i="50"/>
  <c r="S255" i="49"/>
  <c r="X223" i="49"/>
  <c r="S34" i="50"/>
  <c r="O68" i="50"/>
  <c r="Y370" i="49"/>
  <c r="Y148" i="49"/>
  <c r="AA255" i="49"/>
  <c r="AB64" i="47"/>
  <c r="B96" i="34"/>
  <c r="G7" i="43"/>
  <c r="X209" i="49"/>
  <c r="Z125" i="49"/>
  <c r="S5" i="37"/>
  <c r="Z35" i="47"/>
  <c r="T64" i="49"/>
  <c r="S42" i="49"/>
  <c r="V19" i="51"/>
  <c r="AA152" i="49"/>
  <c r="AG13" i="42"/>
  <c r="S120" i="49"/>
  <c r="AF120" i="43"/>
  <c r="H7" i="44"/>
  <c r="X153" i="49"/>
  <c r="T329" i="49"/>
  <c r="Y14" i="50"/>
  <c r="S20" i="53"/>
  <c r="AB20" i="45"/>
  <c r="Z291" i="49"/>
  <c r="E4" i="37"/>
  <c r="S42" i="39"/>
  <c r="Z6" i="53"/>
  <c r="S281" i="49"/>
  <c r="Z317" i="49"/>
  <c r="Y304" i="49"/>
  <c r="Z245" i="49"/>
  <c r="R223" i="39"/>
  <c r="J29" i="50"/>
  <c r="Y173" i="49"/>
  <c r="S48" i="48"/>
  <c r="X65" i="47"/>
  <c r="O20" i="53"/>
  <c r="Z370" i="49"/>
  <c r="S51" i="39"/>
  <c r="AA38" i="48"/>
  <c r="N220" i="49"/>
  <c r="S176" i="38"/>
  <c r="X299" i="49"/>
  <c r="J26" i="10"/>
  <c r="AF11" i="49"/>
  <c r="N125" i="49"/>
  <c r="S164" i="37"/>
  <c r="Q54" i="33"/>
  <c r="X309" i="49"/>
  <c r="AG93" i="43"/>
  <c r="D6" i="35"/>
  <c r="AF13" i="51"/>
  <c r="AB32" i="50"/>
  <c r="S185" i="49"/>
  <c r="R253" i="37"/>
  <c r="E4" i="59"/>
  <c r="AB160" i="49"/>
  <c r="Z10" i="50"/>
  <c r="C44" i="34"/>
  <c r="R40" i="39"/>
  <c r="R391" i="33"/>
  <c r="O384" i="49"/>
  <c r="G18" i="39"/>
  <c r="R123" i="38"/>
  <c r="S113" i="49"/>
  <c r="Z74" i="47"/>
  <c r="R128" i="37"/>
  <c r="AF102" i="42"/>
  <c r="O11" i="53"/>
  <c r="Y35" i="49"/>
  <c r="C85" i="34"/>
  <c r="R501" i="33"/>
  <c r="Y85" i="49"/>
  <c r="M52" i="51"/>
  <c r="R265" i="33"/>
  <c r="X62" i="53"/>
  <c r="M1" i="33"/>
  <c r="S200" i="49"/>
  <c r="G3" i="47"/>
  <c r="AF31" i="44"/>
  <c r="T184" i="49"/>
  <c r="J16" i="9"/>
  <c r="Z23" i="53"/>
  <c r="O221" i="49"/>
  <c r="E19" i="41"/>
  <c r="N131" i="49"/>
  <c r="S92" i="49"/>
  <c r="O93" i="49"/>
  <c r="H7" i="37"/>
  <c r="Z19" i="53"/>
  <c r="AB10" i="45"/>
  <c r="W54" i="51"/>
  <c r="C65" i="34"/>
  <c r="AB258" i="49"/>
  <c r="O194" i="49"/>
  <c r="J18" i="39"/>
  <c r="W3" i="48" a="1"/>
  <c r="S162" i="39"/>
  <c r="E22" i="43"/>
  <c r="J69" i="49"/>
  <c r="R163" i="33"/>
  <c r="C29" i="59"/>
  <c r="R18" i="39"/>
  <c r="N187" i="49"/>
  <c r="R122" i="39"/>
  <c r="Y283" i="49"/>
  <c r="Z158" i="49"/>
  <c r="AG24" i="43"/>
  <c r="S144" i="49"/>
  <c r="R124" i="33"/>
  <c r="AF51" i="44"/>
  <c r="H13" i="51"/>
  <c r="E13" i="39"/>
  <c r="O15" i="49"/>
  <c r="Y17" i="48"/>
  <c r="AG78" i="42"/>
  <c r="S328" i="49"/>
  <c r="AG136" i="42"/>
  <c r="S151" i="38"/>
  <c r="S226" i="39"/>
  <c r="X129" i="49"/>
  <c r="Z21" i="51"/>
  <c r="N14" i="53"/>
  <c r="AA29" i="49"/>
  <c r="AB126" i="49"/>
  <c r="AA32" i="50"/>
  <c r="Q447" i="33"/>
  <c r="S43" i="37"/>
  <c r="T215" i="49"/>
  <c r="AB13" i="48"/>
  <c r="N134" i="49"/>
  <c r="AG200" i="42"/>
  <c r="R93" i="38"/>
  <c r="T12" i="48"/>
  <c r="D26" i="34"/>
  <c r="X11" i="50"/>
  <c r="D21" i="34"/>
  <c r="L16" i="42"/>
  <c r="N56" i="53"/>
  <c r="L18" i="43"/>
  <c r="F7" i="38"/>
  <c r="AG64" i="42"/>
  <c r="F29" i="35"/>
  <c r="Y10" i="53"/>
  <c r="AF93" i="42"/>
  <c r="O99" i="50"/>
  <c r="AF134" i="42"/>
  <c r="E16" i="38"/>
  <c r="Q186" i="33"/>
  <c r="AA187" i="49"/>
  <c r="N336" i="49"/>
  <c r="AA39" i="50"/>
  <c r="E3" i="59"/>
  <c r="R63" i="33"/>
  <c r="AG18" i="44"/>
  <c r="T57" i="47"/>
  <c r="S7" i="50"/>
  <c r="O370" i="49"/>
  <c r="Z377" i="49"/>
  <c r="R72" i="38"/>
  <c r="J79" i="47"/>
  <c r="N283" i="49"/>
  <c r="T143" i="49"/>
  <c r="S11" i="48"/>
  <c r="S79" i="37"/>
  <c r="R151" i="38"/>
  <c r="Q43" i="51"/>
  <c r="R489" i="33"/>
  <c r="O40" i="47"/>
  <c r="Y22" i="51"/>
  <c r="AA58" i="47"/>
  <c r="O8" i="50"/>
  <c r="N4" i="47"/>
  <c r="Y52" i="49"/>
  <c r="Z256" i="49"/>
  <c r="R131" i="38"/>
  <c r="S108" i="39"/>
  <c r="Y56" i="51"/>
  <c r="O77" i="47"/>
  <c r="S84" i="48"/>
  <c r="N22" i="47"/>
  <c r="N168" i="49"/>
  <c r="Z87" i="50"/>
  <c r="O213" i="49"/>
  <c r="S196" i="49"/>
  <c r="X55" i="49"/>
  <c r="O309" i="49"/>
  <c r="E18" i="42"/>
  <c r="H21" i="51"/>
  <c r="D81" i="34"/>
  <c r="T121" i="50"/>
  <c r="Q205" i="33"/>
  <c r="AB30" i="53"/>
  <c r="N75" i="49"/>
  <c r="X46" i="49"/>
  <c r="N18" i="39"/>
  <c r="AB125" i="49"/>
  <c r="X44" i="50"/>
  <c r="S36" i="49"/>
  <c r="AB41" i="48"/>
  <c r="Y110" i="50"/>
  <c r="AC26" i="45"/>
  <c r="S39" i="38"/>
  <c r="O59" i="48"/>
  <c r="T322" i="49"/>
  <c r="X212" i="49"/>
  <c r="N323" i="49"/>
  <c r="N5" i="59"/>
  <c r="X234" i="49"/>
  <c r="T25" i="53"/>
  <c r="AB153" i="49"/>
  <c r="AG158" i="42"/>
  <c r="S216" i="38"/>
  <c r="D120" i="34"/>
  <c r="N36" i="50"/>
  <c r="AB191" i="49"/>
  <c r="X18" i="51"/>
  <c r="M9" i="51"/>
  <c r="S293" i="49"/>
  <c r="N106" i="50"/>
  <c r="Z21" i="49"/>
  <c r="S57" i="39"/>
  <c r="V3" i="39"/>
  <c r="AA95" i="49"/>
  <c r="N155" i="49"/>
  <c r="R99" i="38"/>
  <c r="AH13" i="49"/>
  <c r="Z23" i="50"/>
  <c r="R316" i="33"/>
  <c r="G60" i="34"/>
  <c r="N176" i="49"/>
  <c r="S111" i="37"/>
  <c r="Y32" i="53"/>
  <c r="Z52" i="51"/>
  <c r="S55" i="47"/>
  <c r="R76" i="39"/>
  <c r="T19" i="53"/>
  <c r="Q300" i="33"/>
  <c r="J67" i="53"/>
  <c r="AG9" i="43"/>
  <c r="S158" i="37"/>
  <c r="AA72" i="48"/>
  <c r="X195" i="49"/>
  <c r="AG103" i="42"/>
  <c r="O58" i="47"/>
  <c r="U12" i="40" a="1"/>
  <c r="S65" i="39"/>
  <c r="S53" i="50"/>
  <c r="C50" i="53"/>
  <c r="T31" i="49"/>
  <c r="R128" i="38"/>
  <c r="S249" i="38"/>
  <c r="AB12" i="47"/>
  <c r="G9" i="24"/>
  <c r="S43" i="39"/>
  <c r="O44" i="49"/>
  <c r="Z41" i="50"/>
  <c r="M27" i="41"/>
  <c r="U9" i="42" a="1"/>
  <c r="AG35" i="43"/>
  <c r="G26" i="24"/>
  <c r="X364" i="49"/>
  <c r="S115" i="39"/>
  <c r="AA133" i="49"/>
  <c r="X30" i="49"/>
  <c r="N4" i="48"/>
  <c r="S87" i="39"/>
  <c r="R135" i="38"/>
  <c r="S15" i="48"/>
  <c r="O327" i="49"/>
  <c r="D32" i="46"/>
  <c r="X53" i="49"/>
  <c r="X288" i="49"/>
  <c r="S14" i="50"/>
  <c r="Q376" i="33"/>
  <c r="L16" i="51"/>
  <c r="X101" i="49"/>
  <c r="Z68" i="49"/>
  <c r="S39" i="53"/>
  <c r="O94" i="50"/>
  <c r="AF47" i="44"/>
  <c r="O55" i="53"/>
  <c r="AA89" i="50"/>
  <c r="Z361" i="49"/>
  <c r="Q498" i="33"/>
  <c r="Z112" i="50"/>
  <c r="Y30" i="48"/>
  <c r="T95" i="50"/>
  <c r="B35" i="34"/>
  <c r="Y22" i="53"/>
  <c r="R143" i="39"/>
  <c r="R182" i="38"/>
  <c r="O39" i="49"/>
  <c r="J4" i="10"/>
  <c r="Z114" i="49"/>
  <c r="T73" i="47"/>
  <c r="AG203" i="42"/>
  <c r="O70" i="50"/>
  <c r="R183" i="39"/>
  <c r="AG187" i="42"/>
  <c r="AB245" i="49"/>
  <c r="AB39" i="50"/>
  <c r="J39" i="7"/>
  <c r="AF47" i="43"/>
  <c r="A4" i="44"/>
  <c r="AF130" i="43"/>
  <c r="C70" i="34"/>
  <c r="Y48" i="49"/>
  <c r="Y207" i="49"/>
  <c r="S86" i="53"/>
  <c r="L23" i="51"/>
  <c r="AB268" i="49"/>
  <c r="R452" i="33"/>
  <c r="AI14" i="49"/>
  <c r="AF4" i="43"/>
  <c r="R27" i="51"/>
  <c r="R151" i="33"/>
  <c r="AB80" i="50"/>
  <c r="N375" i="49"/>
  <c r="AB237" i="49"/>
  <c r="AB75" i="50"/>
  <c r="G15" i="37"/>
  <c r="Q22" i="51"/>
  <c r="N327" i="49"/>
  <c r="O34" i="53"/>
  <c r="AB83" i="48"/>
  <c r="AG99" i="42"/>
  <c r="Z172" i="49"/>
  <c r="Y38" i="48"/>
  <c r="S239" i="38"/>
  <c r="S23" i="49"/>
  <c r="J47" i="50"/>
  <c r="J9" i="53"/>
  <c r="J3" i="39"/>
  <c r="N254" i="49"/>
  <c r="R323" i="33"/>
  <c r="S238" i="38"/>
  <c r="Z57" i="50"/>
  <c r="D12" i="54"/>
  <c r="O259" i="49"/>
  <c r="Q97" i="33"/>
  <c r="F16" i="38"/>
  <c r="R69" i="33"/>
  <c r="R333" i="33"/>
  <c r="J31" i="9"/>
  <c r="AG8" i="43"/>
  <c r="S187" i="39"/>
  <c r="S51" i="38"/>
  <c r="N10" i="48"/>
  <c r="Z104" i="49"/>
  <c r="Y54" i="50"/>
  <c r="AA4" i="47"/>
  <c r="AA341" i="49"/>
  <c r="Y123" i="50"/>
  <c r="J69" i="53"/>
  <c r="R252" i="37"/>
  <c r="AA251" i="49"/>
  <c r="J12" i="35"/>
  <c r="R164" i="38"/>
  <c r="J31" i="49"/>
  <c r="N269" i="49"/>
  <c r="R83" i="38"/>
  <c r="T107" i="49"/>
  <c r="R85" i="37"/>
  <c r="AF21" i="50"/>
  <c r="S184" i="49"/>
  <c r="N21" i="48"/>
  <c r="W35" i="51"/>
  <c r="S76" i="37"/>
  <c r="S13" i="48"/>
  <c r="F3" i="44"/>
  <c r="AA65" i="50"/>
  <c r="AA238" i="49"/>
  <c r="AA77" i="49"/>
  <c r="D27" i="34"/>
  <c r="J29" i="47"/>
  <c r="G99" i="34"/>
  <c r="O26" i="53"/>
  <c r="Y64" i="53"/>
  <c r="X3" i="48"/>
  <c r="O58" i="50"/>
  <c r="O28" i="47"/>
  <c r="AB54" i="53"/>
  <c r="Q192" i="33"/>
  <c r="I8" i="38"/>
  <c r="Y27" i="49"/>
  <c r="AG17" i="42"/>
  <c r="G13" i="38"/>
  <c r="X58" i="47"/>
  <c r="J20" i="44"/>
  <c r="Y65" i="49"/>
  <c r="Z122" i="50"/>
  <c r="S59" i="38"/>
  <c r="B84" i="34"/>
  <c r="AI20" i="49"/>
  <c r="AF33" i="44"/>
  <c r="S261" i="38"/>
  <c r="O391" i="49"/>
  <c r="R6" i="39"/>
  <c r="S343" i="49"/>
  <c r="B56" i="34"/>
  <c r="AB41" i="47"/>
  <c r="S295" i="49"/>
  <c r="I4" i="59"/>
  <c r="G129" i="34"/>
  <c r="N163" i="49"/>
  <c r="Y3" i="48"/>
  <c r="H3" i="42"/>
  <c r="Y46" i="50"/>
  <c r="T50" i="48"/>
  <c r="R248" i="38"/>
  <c r="N94" i="49"/>
  <c r="T18" i="50"/>
  <c r="J35" i="48"/>
  <c r="AG68" i="43"/>
  <c r="G17" i="34"/>
  <c r="Y291" i="49"/>
  <c r="AB156" i="49"/>
  <c r="R484" i="33"/>
  <c r="I11" i="38"/>
  <c r="G111" i="34"/>
  <c r="Z40" i="49"/>
  <c r="AB69" i="48"/>
  <c r="AG222" i="42"/>
  <c r="J88" i="53"/>
  <c r="N89" i="50"/>
  <c r="Y349" i="49"/>
  <c r="R40" i="33"/>
  <c r="O288" i="49"/>
  <c r="AF86" i="43"/>
  <c r="S87" i="48"/>
  <c r="AI21" i="50"/>
  <c r="S64" i="47"/>
  <c r="Z25" i="47"/>
  <c r="Y17" i="49"/>
  <c r="D32" i="41"/>
  <c r="AA70" i="47"/>
  <c r="Z7" i="50"/>
  <c r="AG21" i="42"/>
  <c r="T233" i="49"/>
  <c r="O143" i="49"/>
  <c r="Y100" i="49"/>
  <c r="AB55" i="50"/>
  <c r="Z22" i="47"/>
  <c r="G20" i="34"/>
  <c r="T67" i="47"/>
  <c r="AF34" i="44"/>
  <c r="J23" i="8"/>
  <c r="AA210" i="49"/>
  <c r="J19" i="11"/>
  <c r="Y98" i="50"/>
  <c r="X100" i="50"/>
  <c r="N7" i="39"/>
  <c r="Q407" i="33"/>
  <c r="Z321" i="49"/>
  <c r="X62" i="49"/>
  <c r="D19" i="41"/>
  <c r="Z61" i="48"/>
  <c r="X64" i="47"/>
  <c r="W36" i="51"/>
  <c r="T127" i="49"/>
  <c r="X362" i="49"/>
  <c r="Y18" i="48"/>
  <c r="X83" i="50"/>
  <c r="Q335" i="33"/>
  <c r="Y49" i="50"/>
  <c r="R314" i="33"/>
  <c r="N41" i="48"/>
  <c r="N10" i="53"/>
  <c r="R212" i="37"/>
  <c r="Y81" i="50"/>
  <c r="Z235" i="49"/>
  <c r="AB92" i="50"/>
  <c r="AA86" i="48"/>
  <c r="R100" i="38"/>
  <c r="R419" i="33"/>
  <c r="AB68" i="47"/>
  <c r="W28" i="51"/>
  <c r="S68" i="47"/>
  <c r="S36" i="47"/>
  <c r="J11" i="8"/>
  <c r="N27" i="50"/>
  <c r="AG18" i="51"/>
  <c r="Y49" i="47"/>
  <c r="H8" i="39"/>
  <c r="AF238" i="42"/>
  <c r="Q509" i="33"/>
  <c r="I3" i="38"/>
  <c r="T71" i="53"/>
  <c r="M13" i="51"/>
  <c r="O73" i="49"/>
  <c r="X115" i="50"/>
  <c r="S67" i="39"/>
  <c r="K26" i="42"/>
  <c r="X20" i="47"/>
  <c r="X350" i="49"/>
  <c r="B24" i="51"/>
  <c r="R101" i="39"/>
  <c r="X367" i="49"/>
  <c r="O11" i="49"/>
  <c r="G3" i="43"/>
  <c r="J17" i="24"/>
  <c r="AB57" i="48"/>
  <c r="AF30" i="44"/>
  <c r="AI20" i="50"/>
  <c r="AF104" i="42"/>
  <c r="AB201" i="49"/>
  <c r="Y129" i="49"/>
  <c r="R11" i="38"/>
  <c r="Y169" i="49"/>
  <c r="Y40" i="51"/>
  <c r="R178" i="39"/>
  <c r="AF198" i="42"/>
  <c r="S104" i="38"/>
  <c r="R192" i="33"/>
  <c r="J10" i="7"/>
  <c r="AB14" i="45"/>
  <c r="X21" i="53"/>
  <c r="Z26" i="48"/>
  <c r="AB371" i="49"/>
  <c r="S18" i="48"/>
  <c r="N67" i="50"/>
  <c r="AG51" i="42"/>
  <c r="D56" i="34"/>
  <c r="O345" i="49"/>
  <c r="AA301" i="49"/>
  <c r="Y45" i="47"/>
  <c r="S261" i="37"/>
  <c r="AI17" i="48"/>
  <c r="Q37" i="33"/>
  <c r="AG4" i="43"/>
  <c r="O43" i="49"/>
  <c r="N51" i="48"/>
  <c r="AF7" i="44"/>
  <c r="R511" i="33"/>
  <c r="N109" i="50"/>
  <c r="T30" i="49"/>
  <c r="O74" i="49"/>
  <c r="T385" i="49"/>
  <c r="Q325" i="33"/>
  <c r="AF64" i="43"/>
  <c r="R169" i="38"/>
  <c r="T56" i="49"/>
  <c r="Z379" i="49"/>
  <c r="O28" i="48"/>
  <c r="T261" i="49"/>
  <c r="S83" i="53"/>
  <c r="G119" i="34"/>
  <c r="AF94" i="42"/>
  <c r="T9" i="50"/>
  <c r="O88" i="48"/>
  <c r="N60" i="47"/>
  <c r="X17" i="53"/>
  <c r="G22" i="24"/>
  <c r="X51" i="48"/>
  <c r="N307" i="49"/>
  <c r="O13" i="48"/>
  <c r="AF62" i="42"/>
  <c r="Y226" i="49"/>
  <c r="Z105" i="50"/>
  <c r="Q82" i="33"/>
  <c r="T200" i="49"/>
  <c r="S246" i="38"/>
  <c r="Z164" i="49"/>
  <c r="N100" i="50"/>
  <c r="AA129" i="49"/>
  <c r="J41" i="50"/>
  <c r="C38" i="50"/>
  <c r="Z58" i="49"/>
  <c r="AA60" i="50"/>
  <c r="AB170" i="49"/>
  <c r="O38" i="48"/>
  <c r="X20" i="48"/>
  <c r="T120" i="50"/>
  <c r="R22" i="33"/>
  <c r="C67" i="34"/>
  <c r="E18" i="43"/>
  <c r="Z296" i="49"/>
  <c r="S89" i="39"/>
  <c r="Z51" i="48"/>
  <c r="Z304" i="49"/>
  <c r="O69" i="50"/>
  <c r="Y38" i="51"/>
  <c r="S275" i="49"/>
  <c r="Z52" i="53"/>
  <c r="S33" i="50"/>
  <c r="Q89" i="33"/>
  <c r="Z85" i="50"/>
  <c r="R38" i="37"/>
  <c r="Y69" i="49"/>
  <c r="AB70" i="48"/>
  <c r="AG124" i="43"/>
  <c r="S182" i="38"/>
  <c r="G14" i="47"/>
  <c r="S5" i="48"/>
  <c r="AB365" i="49"/>
  <c r="Z16" i="49"/>
  <c r="K14" i="33"/>
  <c r="T257" i="49"/>
  <c r="J8" i="7"/>
  <c r="AA51" i="53"/>
  <c r="Q12" i="33"/>
  <c r="N7" i="37"/>
  <c r="Q128" i="33"/>
  <c r="G85" i="34"/>
  <c r="L15" i="43"/>
  <c r="S38" i="53"/>
  <c r="O317" i="49"/>
  <c r="AB41" i="49"/>
  <c r="H3" i="44"/>
  <c r="X25" i="53"/>
  <c r="S176" i="49"/>
  <c r="Z101" i="50"/>
  <c r="R159" i="38"/>
  <c r="J31" i="35"/>
  <c r="AB36" i="47"/>
  <c r="R274" i="33"/>
  <c r="AG50" i="42"/>
  <c r="G22" i="34"/>
  <c r="R363" i="33"/>
  <c r="X75" i="53"/>
  <c r="E29" i="42"/>
  <c r="X45" i="51"/>
  <c r="S266" i="49"/>
  <c r="R146" i="33"/>
  <c r="Z342" i="49"/>
  <c r="AB52" i="50"/>
  <c r="R176" i="39"/>
  <c r="AG55" i="43"/>
  <c r="AB74" i="47"/>
  <c r="Z63" i="50"/>
  <c r="N72" i="48"/>
  <c r="AB298" i="49"/>
  <c r="AA38" i="50"/>
  <c r="R44" i="38"/>
  <c r="X109" i="49"/>
  <c r="Y214" i="49"/>
  <c r="AB27" i="47"/>
  <c r="X117" i="50"/>
  <c r="X320" i="49"/>
  <c r="R142" i="37"/>
  <c r="O46" i="49"/>
  <c r="T60" i="49"/>
  <c r="O9" i="53"/>
  <c r="R319" i="33"/>
  <c r="R412" i="33"/>
  <c r="Y258" i="49"/>
  <c r="S212" i="49"/>
  <c r="AA108" i="50"/>
  <c r="AF202" i="42"/>
  <c r="AG121" i="42"/>
  <c r="Y11" i="53"/>
  <c r="X47" i="48"/>
  <c r="O89" i="48"/>
  <c r="E11" i="39"/>
  <c r="Z60" i="50"/>
  <c r="E7" i="38"/>
  <c r="Z45" i="48"/>
  <c r="O18" i="53"/>
  <c r="X370" i="49"/>
  <c r="Y58" i="49"/>
  <c r="J29" i="48"/>
  <c r="S82" i="38"/>
  <c r="S24" i="39"/>
  <c r="D7" i="41"/>
  <c r="N329" i="49"/>
  <c r="J15" i="8"/>
  <c r="AB22" i="45"/>
  <c r="S116" i="49"/>
  <c r="N80" i="53"/>
  <c r="R148" i="38"/>
  <c r="T5" i="47"/>
  <c r="Q120" i="33"/>
  <c r="Q102" i="33"/>
  <c r="AB22" i="47"/>
  <c r="N252" i="49"/>
  <c r="Q187" i="33"/>
  <c r="AG183" i="42"/>
  <c r="O118" i="50"/>
  <c r="S181" i="38"/>
  <c r="T16" i="50"/>
  <c r="AB305" i="49"/>
  <c r="S222" i="39"/>
  <c r="Y59" i="50"/>
  <c r="J95" i="53"/>
  <c r="T55" i="49"/>
  <c r="X67" i="47"/>
  <c r="AA67" i="50"/>
  <c r="C24" i="39"/>
  <c r="N39" i="50"/>
  <c r="R39" i="51"/>
  <c r="J33" i="48"/>
  <c r="AG193" i="42"/>
  <c r="C18" i="39"/>
  <c r="O25" i="47"/>
  <c r="R172" i="37"/>
  <c r="O113" i="49"/>
  <c r="Q379" i="33"/>
  <c r="R188" i="39"/>
  <c r="Q285" i="33"/>
  <c r="S96" i="50"/>
  <c r="Z103" i="50"/>
  <c r="AA42" i="50"/>
  <c r="AA248" i="49"/>
  <c r="J40" i="24"/>
  <c r="T389" i="49"/>
  <c r="S109" i="37"/>
  <c r="S79" i="48"/>
  <c r="R68" i="33"/>
  <c r="K15" i="44"/>
  <c r="AA86" i="49"/>
  <c r="S51" i="53"/>
  <c r="AA94" i="49"/>
  <c r="AF186" i="42"/>
  <c r="AB149" i="49"/>
  <c r="D10" i="35"/>
  <c r="J28" i="8"/>
  <c r="R183" i="37"/>
  <c r="G38" i="35"/>
  <c r="BI3" i="34"/>
  <c r="Y74" i="47"/>
  <c r="L21" i="44"/>
  <c r="Q8" i="40"/>
  <c r="R112" i="38"/>
  <c r="R118" i="37"/>
  <c r="Q294" i="33"/>
  <c r="AF24" i="43"/>
  <c r="S60" i="49"/>
  <c r="AB78" i="47"/>
  <c r="X215" i="49"/>
  <c r="S228" i="37"/>
  <c r="Z351" i="49"/>
  <c r="N46" i="50"/>
  <c r="AG116" i="43"/>
  <c r="Q401" i="33"/>
  <c r="J11" i="48"/>
  <c r="R232" i="33"/>
  <c r="X9" i="48"/>
  <c r="Y119" i="50"/>
  <c r="AG45" i="42"/>
  <c r="R247" i="39"/>
  <c r="T53" i="47"/>
  <c r="N54" i="47"/>
  <c r="Y108" i="50"/>
  <c r="N114" i="49"/>
  <c r="N18" i="48"/>
  <c r="T9" i="42" a="1"/>
  <c r="Y155" i="49"/>
  <c r="T280" i="49"/>
  <c r="T351" i="49"/>
  <c r="N82" i="48"/>
  <c r="G17" i="24"/>
  <c r="Q270" i="33"/>
  <c r="J45" i="48"/>
  <c r="T27" i="47"/>
  <c r="S169" i="38"/>
  <c r="X24" i="48"/>
  <c r="Y3" i="34"/>
  <c r="O129" i="49"/>
  <c r="X81" i="50"/>
  <c r="N28" i="47"/>
  <c r="AB114" i="50"/>
  <c r="AA352" i="49"/>
  <c r="Y157" i="49"/>
  <c r="R19" i="51"/>
  <c r="X14" i="47"/>
  <c r="S122" i="37"/>
  <c r="O38" i="53"/>
  <c r="S100" i="39"/>
  <c r="X48" i="50"/>
  <c r="AB53" i="47"/>
  <c r="AH12" i="50"/>
  <c r="O159" i="49"/>
  <c r="AF44" i="42"/>
  <c r="AA91" i="49"/>
  <c r="J30" i="9"/>
  <c r="N18" i="49"/>
  <c r="Q185" i="33"/>
  <c r="X38" i="47"/>
  <c r="AB5" i="47"/>
  <c r="AF20" i="49"/>
  <c r="V3" i="38"/>
  <c r="J38" i="24"/>
  <c r="N76" i="49"/>
  <c r="T38" i="48"/>
  <c r="X54" i="47"/>
  <c r="F4" i="37"/>
  <c r="E18" i="45"/>
  <c r="S111" i="38"/>
  <c r="N42" i="47"/>
  <c r="S153" i="49"/>
  <c r="Z57" i="48"/>
  <c r="S11" i="47"/>
  <c r="AA275" i="49"/>
  <c r="S66" i="53"/>
  <c r="AF32" i="43"/>
  <c r="T102" i="50"/>
  <c r="R236" i="37"/>
  <c r="Z25" i="50"/>
  <c r="N6" i="37"/>
  <c r="S203" i="37"/>
  <c r="S174" i="49"/>
  <c r="AB53" i="48"/>
  <c r="S116" i="50"/>
  <c r="J26" i="11"/>
  <c r="AF11" i="50"/>
  <c r="T76" i="53"/>
  <c r="Z44" i="50"/>
  <c r="S134" i="38"/>
  <c r="AB70" i="53"/>
  <c r="O33" i="48"/>
  <c r="N56" i="49"/>
  <c r="S41" i="39"/>
  <c r="X60" i="47"/>
  <c r="AF40" i="44"/>
  <c r="E16" i="39"/>
  <c r="N350" i="49"/>
  <c r="Z49" i="48"/>
  <c r="K17" i="43"/>
  <c r="X2" i="22"/>
  <c r="S240" i="49"/>
  <c r="C37" i="34"/>
  <c r="AI23" i="49"/>
  <c r="AG54" i="44"/>
  <c r="O31" i="47"/>
  <c r="R65" i="39"/>
  <c r="Z58" i="47"/>
  <c r="Q296" i="33"/>
  <c r="AG28" i="42"/>
  <c r="AB61" i="50"/>
  <c r="AF20" i="44"/>
  <c r="S131" i="39"/>
  <c r="O31" i="48"/>
  <c r="Z248" i="49"/>
  <c r="E15" i="43"/>
  <c r="O27" i="47"/>
  <c r="Y97" i="49"/>
  <c r="Q278" i="33"/>
  <c r="N30" i="49"/>
  <c r="R35" i="38"/>
  <c r="AF14" i="49"/>
  <c r="N40" i="49"/>
  <c r="Z26" i="47"/>
  <c r="J22" i="47"/>
  <c r="Z290" i="49"/>
  <c r="AB21" i="48"/>
  <c r="X26" i="53"/>
  <c r="S373" i="49"/>
  <c r="N63" i="47"/>
  <c r="AB119" i="50"/>
  <c r="S34" i="39"/>
  <c r="O297" i="49"/>
  <c r="Z305" i="49"/>
  <c r="Y344" i="49"/>
  <c r="X242" i="49"/>
  <c r="I14" i="52"/>
  <c r="AA142" i="49"/>
  <c r="AB244" i="49"/>
  <c r="Y275" i="49"/>
  <c r="X11" i="49"/>
  <c r="T28" i="48"/>
  <c r="J45" i="24"/>
  <c r="R132" i="37"/>
  <c r="X38" i="48"/>
  <c r="L18" i="51"/>
  <c r="F13" i="37"/>
  <c r="Z49" i="53"/>
  <c r="Z51" i="47"/>
  <c r="X104" i="49"/>
  <c r="Y14" i="47"/>
  <c r="M3" i="52"/>
  <c r="Z198" i="49"/>
  <c r="N296" i="49"/>
  <c r="E19" i="38"/>
  <c r="H13" i="38"/>
  <c r="AF124" i="43"/>
  <c r="Z4" i="47"/>
  <c r="X64" i="50"/>
  <c r="N116" i="49"/>
  <c r="L47" i="51"/>
  <c r="R87" i="39"/>
  <c r="R86" i="33"/>
  <c r="AB234" i="49"/>
  <c r="Z297" i="49"/>
  <c r="N76" i="48"/>
  <c r="Z289" i="49"/>
  <c r="E7" i="44"/>
  <c r="R465" i="33"/>
  <c r="X75" i="50"/>
  <c r="S133" i="39"/>
  <c r="R19" i="39"/>
  <c r="X292" i="49"/>
  <c r="X87" i="53"/>
  <c r="S35" i="53"/>
  <c r="T243" i="49"/>
  <c r="T308" i="49"/>
  <c r="J21" i="53"/>
  <c r="X182" i="49"/>
  <c r="N22" i="50"/>
  <c r="Z378" i="49"/>
  <c r="X55" i="50"/>
  <c r="Y311" i="49"/>
  <c r="AA328" i="49"/>
  <c r="AA360" i="49"/>
  <c r="AA134" i="49"/>
  <c r="C40" i="53"/>
  <c r="S11" i="49"/>
  <c r="E6" i="37"/>
  <c r="H63" i="51"/>
  <c r="J19" i="53"/>
  <c r="T129" i="49"/>
  <c r="C35" i="53"/>
  <c r="AF173" i="42"/>
  <c r="F32" i="35"/>
  <c r="S16" i="49"/>
  <c r="S54" i="49"/>
  <c r="T225" i="49"/>
  <c r="T48" i="53"/>
  <c r="X227" i="49"/>
  <c r="S21" i="48"/>
  <c r="O102" i="49"/>
  <c r="Y122" i="49"/>
  <c r="Q410" i="33"/>
  <c r="X74" i="48"/>
  <c r="O318" i="49"/>
  <c r="X41" i="49"/>
  <c r="Q31" i="51"/>
  <c r="D85" i="34"/>
  <c r="T27" i="48"/>
  <c r="O332" i="49"/>
  <c r="X27" i="51"/>
  <c r="R144" i="37"/>
  <c r="Z107" i="49"/>
  <c r="R495" i="33"/>
  <c r="N55" i="49"/>
  <c r="S21" i="49"/>
  <c r="I4" i="36"/>
  <c r="T46" i="48"/>
  <c r="N47" i="48"/>
  <c r="Q52" i="33"/>
  <c r="T65" i="53"/>
  <c r="X319" i="49"/>
  <c r="J77" i="53"/>
  <c r="AB43" i="48"/>
  <c r="Y47" i="47"/>
  <c r="T97" i="49"/>
  <c r="S74" i="53"/>
  <c r="W13" i="51"/>
  <c r="S239" i="37"/>
  <c r="Q174" i="33"/>
  <c r="W6" i="51"/>
  <c r="R212" i="33"/>
  <c r="S40" i="50"/>
  <c r="H16" i="38"/>
  <c r="B107" i="34"/>
  <c r="Q438" i="33"/>
  <c r="AB26" i="47"/>
  <c r="Z28" i="50"/>
  <c r="AB363" i="49"/>
  <c r="Z309" i="49"/>
  <c r="N60" i="49"/>
  <c r="AB18" i="50"/>
  <c r="R11" i="33"/>
  <c r="S121" i="49"/>
  <c r="C22" i="39"/>
  <c r="G24" i="39"/>
  <c r="C10" i="34"/>
  <c r="Z323" i="49"/>
  <c r="Y78" i="47"/>
  <c r="AG41" i="42"/>
  <c r="AB232" i="49"/>
  <c r="Y28" i="51"/>
  <c r="S114" i="50"/>
  <c r="R32" i="38"/>
  <c r="S195" i="38"/>
  <c r="X42" i="50"/>
  <c r="C58" i="34"/>
  <c r="C53" i="34"/>
  <c r="AA40" i="47"/>
  <c r="S77" i="38"/>
  <c r="S20" i="39"/>
  <c r="Q374" i="33"/>
  <c r="AB24" i="50"/>
  <c r="G16" i="39"/>
  <c r="S77" i="53"/>
  <c r="Z137" i="49"/>
  <c r="Y67" i="50"/>
  <c r="Q127" i="33"/>
  <c r="N276" i="49"/>
  <c r="C43" i="53"/>
  <c r="I14" i="36"/>
  <c r="N57" i="50"/>
  <c r="E11" i="38"/>
  <c r="T248" i="49"/>
  <c r="Z29" i="48"/>
  <c r="B55" i="34"/>
  <c r="R332" i="33"/>
  <c r="E9" i="38"/>
  <c r="Y40" i="50"/>
  <c r="S115" i="50"/>
  <c r="S251" i="37"/>
  <c r="AA96" i="49"/>
  <c r="F6" i="37"/>
  <c r="C47" i="53"/>
  <c r="AG249" i="42"/>
  <c r="N16" i="59"/>
  <c r="E5" i="39"/>
  <c r="AG129" i="42"/>
  <c r="S91" i="50"/>
  <c r="AA119" i="49"/>
  <c r="N13" i="50"/>
  <c r="AB148" i="49"/>
  <c r="T52" i="48"/>
  <c r="R397" i="33"/>
  <c r="AG54" i="43"/>
  <c r="T35" i="47"/>
  <c r="AA36" i="49"/>
  <c r="AI18" i="48"/>
  <c r="H10" i="37"/>
  <c r="AF5" i="42"/>
  <c r="H5" i="38"/>
  <c r="G4" i="45"/>
  <c r="L23" i="42"/>
  <c r="R92" i="37"/>
  <c r="X2" i="19"/>
  <c r="J24" i="42"/>
  <c r="B83" i="34"/>
  <c r="N5" i="38"/>
  <c r="AG191" i="42"/>
  <c r="D63" i="34"/>
  <c r="AB46" i="49"/>
  <c r="X275" i="49"/>
  <c r="AF199" i="42"/>
  <c r="N174" i="49"/>
  <c r="AG17" i="43"/>
  <c r="R330" i="33"/>
  <c r="O77" i="53"/>
  <c r="S196" i="39"/>
  <c r="AB51" i="48"/>
  <c r="AB44" i="49"/>
  <c r="AF56" i="43"/>
  <c r="AG10" i="43"/>
  <c r="S14" i="53"/>
  <c r="AH20" i="49"/>
  <c r="R245" i="37"/>
  <c r="AA89" i="53"/>
  <c r="L29" i="51"/>
  <c r="R500" i="33"/>
  <c r="N15" i="41"/>
  <c r="R188" i="37"/>
  <c r="S222" i="49"/>
  <c r="AA16" i="47"/>
  <c r="X31" i="47"/>
  <c r="AG34" i="43"/>
  <c r="Q460" i="33"/>
  <c r="Q514" i="33"/>
  <c r="AG60" i="43"/>
  <c r="AO2" i="34"/>
  <c r="Y381" i="49"/>
  <c r="AB9" i="48"/>
  <c r="AA89" i="49"/>
  <c r="J379" i="49"/>
  <c r="Q164" i="33"/>
  <c r="AF82" i="42"/>
  <c r="Z70" i="53"/>
  <c r="AA125" i="49"/>
  <c r="C46" i="34"/>
  <c r="O173" i="49"/>
  <c r="S246" i="37"/>
  <c r="AA220" i="49"/>
  <c r="Y113" i="49"/>
  <c r="O20" i="50"/>
  <c r="AA84" i="50"/>
  <c r="G6" i="38"/>
  <c r="Z157" i="49"/>
  <c r="J45" i="49"/>
  <c r="Y121" i="49"/>
  <c r="Z87" i="49"/>
  <c r="S162" i="38"/>
  <c r="F15" i="38"/>
  <c r="N10" i="37"/>
  <c r="T364" i="49"/>
  <c r="AA103" i="49"/>
  <c r="J77" i="50"/>
  <c r="Z4" i="51"/>
  <c r="S40" i="37"/>
  <c r="Y116" i="49"/>
  <c r="AA387" i="49"/>
  <c r="Y272" i="49"/>
  <c r="AA5" i="53"/>
  <c r="R123" i="37"/>
  <c r="Z72" i="50"/>
  <c r="J19" i="44"/>
  <c r="Z57" i="49"/>
  <c r="AA102" i="49"/>
  <c r="Z264" i="49"/>
  <c r="S370" i="49"/>
  <c r="Q7" i="51"/>
  <c r="S130" i="38"/>
  <c r="J52" i="47"/>
  <c r="N88" i="48"/>
  <c r="R469" i="33"/>
  <c r="AB4" i="47"/>
  <c r="R194" i="39"/>
  <c r="AC14" i="45"/>
  <c r="Y340" i="49"/>
  <c r="R368" i="33"/>
  <c r="X47" i="47"/>
  <c r="C25" i="34"/>
  <c r="AA13" i="48"/>
  <c r="O50" i="53"/>
  <c r="H12" i="51"/>
  <c r="Q454" i="33"/>
  <c r="S362" i="49"/>
  <c r="J12" i="7"/>
  <c r="G6" i="45"/>
  <c r="S197" i="37"/>
  <c r="E17" i="45"/>
  <c r="R13" i="37"/>
  <c r="AA88" i="53"/>
  <c r="AB27" i="48"/>
  <c r="T22" i="49"/>
  <c r="C28" i="50"/>
  <c r="R129" i="37"/>
  <c r="Q476" i="33"/>
  <c r="AA305" i="49"/>
  <c r="X116" i="50"/>
  <c r="X21" i="50"/>
  <c r="S40" i="53"/>
  <c r="O37" i="47"/>
  <c r="AI2" i="34"/>
  <c r="AA47" i="53"/>
  <c r="S73" i="50"/>
  <c r="AB11" i="50"/>
  <c r="X190" i="49"/>
  <c r="Z71" i="53"/>
  <c r="S6" i="37"/>
  <c r="O103" i="50"/>
  <c r="J10" i="8"/>
  <c r="X56" i="50"/>
  <c r="G44" i="24"/>
  <c r="Z180" i="49"/>
  <c r="M11" i="41"/>
  <c r="S47" i="53"/>
  <c r="T41" i="48"/>
  <c r="S46" i="53"/>
  <c r="N8" i="49"/>
  <c r="AF120" i="42"/>
  <c r="Y44" i="51"/>
  <c r="Z17" i="53"/>
  <c r="R14" i="51"/>
  <c r="D13" i="35" a="1"/>
  <c r="S179" i="38"/>
  <c r="AB13" i="50"/>
  <c r="N139" i="49"/>
  <c r="Z90" i="49"/>
  <c r="AG115" i="43"/>
  <c r="O76" i="53"/>
  <c r="AF180" i="42"/>
  <c r="R36" i="38"/>
  <c r="Z23" i="49"/>
  <c r="T109" i="49"/>
  <c r="Y67" i="49"/>
  <c r="R14" i="38"/>
  <c r="Y83" i="49"/>
  <c r="Y9" i="51"/>
  <c r="AA60" i="47"/>
  <c r="Y44" i="50"/>
  <c r="AB72" i="49"/>
  <c r="E4" i="39"/>
  <c r="AF109" i="42"/>
  <c r="X254" i="49"/>
  <c r="Z60" i="49"/>
  <c r="AF65" i="43"/>
  <c r="J38" i="50"/>
  <c r="T67" i="49"/>
  <c r="AA81" i="49"/>
  <c r="AG80" i="43"/>
  <c r="S81" i="38"/>
  <c r="N175" i="49"/>
  <c r="K6" i="43"/>
  <c r="Q466" i="33"/>
  <c r="H48" i="51"/>
  <c r="AF31" i="42"/>
  <c r="S148" i="39"/>
  <c r="AG53" i="43"/>
  <c r="R53" i="33"/>
  <c r="AA14" i="48"/>
  <c r="S63" i="48"/>
  <c r="X87" i="49"/>
  <c r="N48" i="53"/>
  <c r="AI15" i="49"/>
  <c r="N353" i="49"/>
  <c r="F7" i="43"/>
  <c r="X145" i="49"/>
  <c r="S74" i="48"/>
  <c r="C35" i="34"/>
  <c r="Q260" i="33"/>
  <c r="AG51" i="43"/>
  <c r="S73" i="47"/>
  <c r="AA23" i="49"/>
  <c r="AF175" i="42"/>
  <c r="Q45" i="51"/>
  <c r="J3" i="9"/>
  <c r="X25" i="47"/>
  <c r="R138" i="37"/>
  <c r="Z51" i="49"/>
  <c r="N218" i="49"/>
  <c r="AB24" i="53"/>
  <c r="O34" i="50"/>
  <c r="T342" i="49"/>
  <c r="T19" i="50"/>
  <c r="O214" i="49"/>
  <c r="AA48" i="49"/>
  <c r="W14" i="51"/>
  <c r="F5" i="37"/>
  <c r="E32" i="41"/>
  <c r="Z28" i="49"/>
  <c r="H7" i="38"/>
  <c r="R198" i="38"/>
  <c r="G16" i="45"/>
  <c r="AG143" i="42"/>
  <c r="O14" i="49"/>
  <c r="S237" i="39"/>
  <c r="S227" i="49"/>
  <c r="Y43" i="53"/>
  <c r="O294" i="49"/>
  <c r="AG105" i="43"/>
  <c r="X7" i="49"/>
  <c r="Z3" i="49"/>
  <c r="AB21" i="45"/>
  <c r="Q231" i="33"/>
  <c r="X63" i="48"/>
  <c r="Z311" i="49"/>
  <c r="R179" i="38"/>
  <c r="L30" i="42"/>
  <c r="Y43" i="47"/>
  <c r="O22" i="47"/>
  <c r="O271" i="49"/>
  <c r="Q354" i="33"/>
  <c r="X333" i="49"/>
  <c r="B66" i="34"/>
  <c r="O12" i="47"/>
  <c r="N343" i="49"/>
  <c r="AH19" i="49"/>
  <c r="AG38" i="43"/>
  <c r="T41" i="50"/>
  <c r="AA36" i="53"/>
  <c r="Q480" i="33"/>
  <c r="N340" i="49"/>
  <c r="T190" i="49"/>
  <c r="T84" i="49"/>
  <c r="Y323" i="49"/>
  <c r="M17" i="61"/>
  <c r="B37" i="34"/>
  <c r="AA66" i="50"/>
  <c r="E16" i="44"/>
  <c r="T141" i="49"/>
  <c r="AF132" i="42"/>
  <c r="S100" i="50"/>
  <c r="S5" i="50"/>
  <c r="R119" i="39"/>
  <c r="T195" i="49"/>
  <c r="X329" i="49"/>
  <c r="AB64" i="50"/>
  <c r="AA177" i="49"/>
  <c r="Q318" i="33"/>
  <c r="AA47" i="50"/>
  <c r="S77" i="48"/>
  <c r="S55" i="39"/>
  <c r="T187" i="49"/>
  <c r="X321" i="49"/>
  <c r="O22" i="48"/>
  <c r="AB112" i="49"/>
  <c r="AA147" i="49"/>
  <c r="AC2" i="53" a="1"/>
  <c r="Y68" i="50"/>
  <c r="Y75" i="49"/>
  <c r="J37" i="9"/>
  <c r="Y35" i="50"/>
  <c r="Z70" i="47"/>
  <c r="Y3" i="43" a="1"/>
  <c r="J81" i="47"/>
  <c r="N208" i="49"/>
  <c r="AM4" i="42"/>
  <c r="AG44" i="43"/>
  <c r="X388" i="49"/>
  <c r="N32" i="47"/>
  <c r="AB44" i="47"/>
  <c r="AF123" i="42"/>
  <c r="Y234" i="49"/>
  <c r="AB49" i="53"/>
  <c r="Z93" i="50"/>
  <c r="T21" i="47"/>
  <c r="AA54" i="47"/>
  <c r="Z32" i="53"/>
  <c r="Z31" i="47"/>
  <c r="S84" i="50"/>
  <c r="N48" i="47"/>
  <c r="O241" i="49"/>
  <c r="S63" i="38"/>
  <c r="O42" i="50"/>
  <c r="AF59" i="42"/>
  <c r="S21" i="39"/>
  <c r="S27" i="47"/>
  <c r="AA39" i="48"/>
  <c r="O117" i="49"/>
  <c r="AA22" i="49"/>
  <c r="AA119" i="50"/>
  <c r="Q322" i="33"/>
  <c r="AF113" i="43"/>
  <c r="S135" i="37"/>
  <c r="O89" i="50"/>
  <c r="S57" i="49"/>
  <c r="X38" i="53"/>
  <c r="E15" i="37"/>
  <c r="AG252" i="42"/>
  <c r="J4" i="11"/>
  <c r="F1" i="56"/>
  <c r="AF167" i="42"/>
  <c r="T91" i="50"/>
  <c r="F4" i="42"/>
  <c r="T106" i="49"/>
  <c r="M12" i="51"/>
  <c r="Z102" i="49"/>
  <c r="AB113" i="49"/>
  <c r="X352" i="49"/>
  <c r="X161" i="49"/>
  <c r="R35" i="51"/>
  <c r="X11" i="47"/>
  <c r="O82" i="49"/>
  <c r="Z91" i="49"/>
  <c r="N127" i="49"/>
  <c r="AA49" i="50"/>
  <c r="Y241" i="49"/>
  <c r="AF55" i="43"/>
  <c r="N3" i="53"/>
  <c r="AA37" i="53"/>
  <c r="AB317" i="49"/>
  <c r="T162" i="49"/>
  <c r="G6" i="43"/>
  <c r="X330" i="49"/>
  <c r="I9" i="59"/>
  <c r="Z77" i="47"/>
  <c r="T42" i="47"/>
  <c r="X48" i="51"/>
  <c r="R39" i="33"/>
  <c r="AF255" i="42"/>
  <c r="AA95" i="50"/>
  <c r="O20" i="48"/>
  <c r="N364" i="49"/>
  <c r="AA78" i="48"/>
  <c r="R165" i="33"/>
  <c r="L22" i="51"/>
  <c r="G7" i="44"/>
  <c r="AA63" i="50"/>
  <c r="AA151" i="49"/>
  <c r="Y81" i="48"/>
  <c r="AB74" i="48"/>
  <c r="O3" i="53"/>
  <c r="R74" i="37"/>
  <c r="E23" i="42"/>
  <c r="AF35" i="44"/>
  <c r="S231" i="39"/>
  <c r="AB57" i="49"/>
  <c r="Y6" i="49"/>
  <c r="C118" i="34"/>
  <c r="S286" i="49"/>
  <c r="AF242" i="42"/>
  <c r="AB32" i="47"/>
  <c r="N42" i="50"/>
  <c r="Y54" i="48"/>
  <c r="AB91" i="49"/>
  <c r="O381" i="49"/>
  <c r="C60" i="34"/>
  <c r="Y223" i="49"/>
  <c r="AF139" i="42"/>
  <c r="R143" i="33"/>
  <c r="X60" i="50"/>
  <c r="R70" i="37"/>
  <c r="S327" i="49"/>
  <c r="AN4" i="49"/>
  <c r="O382" i="49"/>
  <c r="J12" i="11"/>
  <c r="X314" i="49"/>
  <c r="I10" i="37"/>
  <c r="AI4" i="45"/>
  <c r="N28" i="53"/>
  <c r="T28" i="50"/>
  <c r="AA17" i="50"/>
  <c r="S333" i="49"/>
  <c r="Q494" i="33"/>
  <c r="Y36" i="47"/>
  <c r="R137" i="39"/>
  <c r="AL4" i="51"/>
  <c r="AB34" i="49"/>
  <c r="AG54" i="42"/>
  <c r="R136" i="33"/>
  <c r="S145" i="39"/>
  <c r="Z185" i="49"/>
  <c r="AB79" i="48"/>
  <c r="T300" i="49"/>
  <c r="X22" i="47"/>
  <c r="AC2" i="47" a="1"/>
  <c r="S72" i="48"/>
  <c r="N121" i="49"/>
  <c r="M13" i="40" a="1"/>
  <c r="AA111" i="50"/>
  <c r="Y114" i="49"/>
  <c r="R253" i="38"/>
  <c r="G7" i="37"/>
  <c r="AA83" i="53"/>
  <c r="R5" i="33"/>
  <c r="O60" i="53"/>
  <c r="G15" i="45"/>
  <c r="R57" i="51"/>
  <c r="S249" i="49"/>
  <c r="AB391" i="49"/>
  <c r="S24" i="47"/>
  <c r="T70" i="47"/>
  <c r="AB340" i="49"/>
  <c r="G20" i="24"/>
  <c r="S376" i="49"/>
  <c r="V44" i="51"/>
  <c r="Z32" i="50"/>
  <c r="R398" i="33"/>
  <c r="G13" i="39"/>
  <c r="S120" i="39"/>
  <c r="AH14" i="50"/>
  <c r="L18" i="61"/>
  <c r="S57" i="48"/>
  <c r="N204" i="49"/>
  <c r="Z86" i="49"/>
  <c r="R115" i="38"/>
  <c r="AG106" i="43"/>
  <c r="AC9" i="45"/>
  <c r="R155" i="39"/>
  <c r="Z27" i="50"/>
  <c r="V57" i="51"/>
  <c r="Q351" i="33"/>
  <c r="M31" i="41"/>
  <c r="AA51" i="47"/>
  <c r="R73" i="33"/>
  <c r="AA42" i="53"/>
  <c r="Q233" i="33"/>
  <c r="O43" i="47"/>
  <c r="AG26" i="44"/>
  <c r="J64" i="50"/>
  <c r="O68" i="53"/>
  <c r="R278" i="33"/>
  <c r="S131" i="38"/>
  <c r="D12" i="34"/>
  <c r="R46" i="38"/>
  <c r="R202" i="37"/>
  <c r="Z69" i="49"/>
  <c r="AB221" i="49"/>
  <c r="X90" i="50"/>
  <c r="Y269" i="49"/>
  <c r="O150" i="49"/>
  <c r="AA47" i="47"/>
  <c r="AB66" i="48"/>
  <c r="R506" i="33"/>
  <c r="S229" i="49"/>
  <c r="N47" i="53"/>
  <c r="AG53" i="44"/>
  <c r="J58" i="48"/>
  <c r="Z254" i="49"/>
  <c r="X12" i="48"/>
  <c r="T185" i="49"/>
  <c r="AG74" i="43"/>
  <c r="D36" i="34"/>
  <c r="S60" i="53"/>
  <c r="T224" i="49"/>
  <c r="S256" i="37"/>
  <c r="AF29" i="42"/>
  <c r="AG28" i="43"/>
  <c r="AF163" i="42"/>
  <c r="H58" i="51"/>
  <c r="Y218" i="49"/>
  <c r="T103" i="49"/>
  <c r="AA213" i="49"/>
  <c r="AB15" i="45"/>
  <c r="AB92" i="49"/>
  <c r="U8" i="40"/>
  <c r="L37" i="51"/>
  <c r="L11" i="61"/>
  <c r="R98" i="37"/>
  <c r="AB39" i="49"/>
  <c r="J10" i="10"/>
  <c r="X91" i="48"/>
  <c r="J22" i="24"/>
  <c r="R220" i="38"/>
  <c r="S218" i="49"/>
  <c r="Z62" i="47"/>
  <c r="A3" i="57" a="1"/>
  <c r="R56" i="37"/>
  <c r="R139" i="37"/>
  <c r="T55" i="50"/>
  <c r="W51" i="51"/>
  <c r="Y215" i="49"/>
  <c r="S188" i="37"/>
  <c r="O233" i="49"/>
  <c r="O344" i="49"/>
  <c r="M2" i="34"/>
  <c r="J31" i="48"/>
  <c r="S221" i="38"/>
  <c r="Z134" i="49"/>
  <c r="AA268" i="49"/>
  <c r="R19" i="38"/>
  <c r="AA231" i="49"/>
  <c r="T335" i="49"/>
  <c r="AA58" i="53"/>
  <c r="E38" i="41"/>
  <c r="Y257" i="49"/>
  <c r="AF107" i="43"/>
  <c r="AF133" i="42"/>
  <c r="N251" i="49"/>
  <c r="S297" i="49"/>
  <c r="N196" i="49"/>
  <c r="AA313" i="49"/>
  <c r="R167" i="33"/>
  <c r="Q283" i="33"/>
  <c r="T345" i="49"/>
  <c r="AB212" i="49"/>
  <c r="Q13" i="51"/>
  <c r="R39" i="38"/>
  <c r="Y62" i="48"/>
  <c r="T32" i="47"/>
  <c r="Y160" i="49"/>
  <c r="AB50" i="49"/>
  <c r="AG15" i="43"/>
  <c r="O37" i="48"/>
  <c r="AB141" i="49"/>
  <c r="F3" i="43"/>
  <c r="Q457" i="33"/>
  <c r="Y177" i="49"/>
  <c r="N70" i="48"/>
  <c r="AA155" i="49"/>
  <c r="Y12" i="51"/>
  <c r="O7" i="48"/>
  <c r="AF8" i="44"/>
  <c r="X119" i="49"/>
  <c r="X351" i="49"/>
  <c r="N40" i="50"/>
  <c r="E35" i="41"/>
  <c r="S232" i="39"/>
  <c r="N17" i="59"/>
  <c r="AG117" i="42"/>
  <c r="Y60" i="48"/>
  <c r="N63" i="53"/>
  <c r="U9" i="43" a="1"/>
  <c r="AB47" i="49"/>
  <c r="M16" i="61"/>
  <c r="AB56" i="50"/>
  <c r="S20" i="48"/>
  <c r="U6" i="61"/>
  <c r="AG72" i="43"/>
  <c r="AB59" i="48"/>
  <c r="S302" i="49"/>
  <c r="X297" i="49"/>
  <c r="X60" i="48"/>
  <c r="H46" i="51"/>
  <c r="AA38" i="49"/>
  <c r="R470" i="33"/>
  <c r="R359" i="33"/>
  <c r="C112" i="34"/>
  <c r="AB35" i="47"/>
  <c r="R298" i="33"/>
  <c r="AA103" i="50"/>
  <c r="S80" i="37"/>
  <c r="X20" i="50"/>
  <c r="AB52" i="53"/>
  <c r="Q467" i="33"/>
  <c r="AA276" i="49"/>
  <c r="N37" i="53"/>
  <c r="Z250" i="49"/>
  <c r="X102" i="50"/>
  <c r="AB37" i="50"/>
  <c r="N6" i="48"/>
  <c r="Q390" i="33"/>
  <c r="AA39" i="53"/>
  <c r="B108" i="34"/>
  <c r="J5" i="8"/>
  <c r="X4" i="48"/>
  <c r="Y50" i="48"/>
  <c r="S288" i="49"/>
  <c r="O187" i="49"/>
  <c r="AF16" i="44"/>
  <c r="R146" i="39"/>
  <c r="N22" i="39"/>
  <c r="AB280" i="49"/>
  <c r="AA235" i="49"/>
  <c r="AF190" i="42"/>
  <c r="R261" i="37"/>
  <c r="X124" i="49"/>
  <c r="M28" i="51"/>
  <c r="B14" i="51"/>
  <c r="Z124" i="50"/>
  <c r="T260" i="49"/>
  <c r="L17" i="61"/>
  <c r="Z288" i="49"/>
  <c r="S31" i="50"/>
  <c r="S97" i="49"/>
  <c r="Q32" i="33"/>
  <c r="S183" i="49"/>
  <c r="R221" i="37"/>
  <c r="Z92" i="50"/>
  <c r="Y375" i="49"/>
  <c r="Z27" i="49"/>
  <c r="AB342" i="49"/>
  <c r="AA25" i="50"/>
  <c r="N55" i="48"/>
  <c r="T98" i="50"/>
  <c r="J11" i="39"/>
  <c r="AB309" i="49"/>
  <c r="O178" i="49"/>
  <c r="Y30" i="47"/>
  <c r="R16" i="38"/>
  <c r="N85" i="50"/>
  <c r="O41" i="48"/>
  <c r="R106" i="39"/>
  <c r="Z17" i="50"/>
  <c r="AA20" i="50"/>
  <c r="AB63" i="50"/>
  <c r="AF15" i="48"/>
  <c r="N44" i="49"/>
  <c r="S157" i="49"/>
  <c r="T94" i="50"/>
  <c r="X77" i="47"/>
  <c r="R235" i="39"/>
  <c r="S19" i="38"/>
  <c r="Q384" i="33"/>
  <c r="G14" i="39"/>
  <c r="AB17" i="48"/>
  <c r="E17" i="43"/>
  <c r="J63" i="53"/>
  <c r="J55" i="50"/>
  <c r="N281" i="49"/>
  <c r="S77" i="37"/>
  <c r="S206" i="49"/>
  <c r="AF98" i="42"/>
  <c r="O91" i="49"/>
  <c r="Y36" i="48"/>
  <c r="Z27" i="48"/>
  <c r="Z169" i="49"/>
  <c r="B89" i="34"/>
  <c r="Z156" i="49"/>
  <c r="N9" i="49"/>
  <c r="Q359" i="33"/>
  <c r="Z13" i="48"/>
  <c r="AB236" i="49"/>
  <c r="N61" i="48"/>
  <c r="S75" i="39"/>
  <c r="Z196" i="49"/>
  <c r="X144" i="49"/>
  <c r="S192" i="39"/>
  <c r="Y322" i="49"/>
  <c r="B23" i="51"/>
  <c r="AF16" i="50"/>
  <c r="S109" i="49"/>
  <c r="S70" i="47"/>
  <c r="AA93" i="49"/>
  <c r="W22" i="51"/>
  <c r="S262" i="49"/>
  <c r="S143" i="38"/>
  <c r="O50" i="48"/>
  <c r="Q156" i="33"/>
  <c r="S214" i="39"/>
  <c r="S18" i="38"/>
  <c r="R514" i="33"/>
  <c r="Q311" i="33"/>
  <c r="N71" i="48"/>
  <c r="X83" i="48"/>
  <c r="AG27" i="43"/>
  <c r="AF11" i="48"/>
  <c r="S96" i="49"/>
  <c r="O169" i="49"/>
  <c r="Y105" i="49"/>
  <c r="J14" i="7"/>
  <c r="AB81" i="48"/>
  <c r="S76" i="48"/>
  <c r="T26" i="50"/>
  <c r="AB84" i="49"/>
  <c r="X188" i="49"/>
  <c r="O85" i="48"/>
  <c r="R133" i="33"/>
  <c r="Y17" i="47"/>
  <c r="S44" i="37"/>
  <c r="AA6" i="53"/>
  <c r="Q452" i="33"/>
  <c r="S140" i="38"/>
  <c r="Q286" i="33"/>
  <c r="S204" i="39"/>
  <c r="AD16" i="51"/>
  <c r="AG47" i="42"/>
  <c r="S141" i="39"/>
  <c r="D17" i="34"/>
  <c r="L20" i="44"/>
  <c r="S4" i="37"/>
  <c r="N123" i="50"/>
  <c r="AB59" i="53"/>
  <c r="N212" i="49"/>
  <c r="AB41" i="50"/>
  <c r="Y66" i="48"/>
  <c r="X8" i="49"/>
  <c r="O322" i="49"/>
  <c r="O388" i="49"/>
  <c r="AA298" i="49"/>
  <c r="N207" i="49"/>
  <c r="R46" i="37"/>
  <c r="AB21" i="53"/>
  <c r="Z83" i="48"/>
  <c r="AG107" i="43"/>
  <c r="E4" i="45"/>
  <c r="AF75" i="43"/>
  <c r="S113" i="37"/>
  <c r="O33" i="47"/>
  <c r="X94" i="50"/>
  <c r="D105" i="34"/>
  <c r="X258" i="49"/>
  <c r="S105" i="50"/>
  <c r="J9" i="9"/>
  <c r="X108" i="50"/>
  <c r="AF7" i="43"/>
  <c r="T74" i="49"/>
  <c r="L19" i="44"/>
  <c r="N48" i="49"/>
  <c r="AG251" i="42"/>
  <c r="O44" i="53"/>
  <c r="Y274" i="49"/>
  <c r="N211" i="49"/>
  <c r="AG153" i="42"/>
  <c r="V4" i="51"/>
  <c r="S22" i="37"/>
  <c r="AG59" i="42"/>
  <c r="R485" i="33"/>
  <c r="M10" i="61"/>
  <c r="Q415" i="33"/>
  <c r="AB275" i="49"/>
  <c r="AA50" i="53"/>
  <c r="H11" i="37"/>
  <c r="G3" i="45"/>
  <c r="R251" i="39"/>
  <c r="AA66" i="48"/>
  <c r="X214" i="49"/>
  <c r="X196" i="49"/>
  <c r="Y23" i="53"/>
  <c r="Z3" i="51"/>
  <c r="AB33" i="47"/>
  <c r="O56" i="53"/>
  <c r="Y374" i="49"/>
  <c r="X276" i="49"/>
  <c r="AA5" i="47"/>
  <c r="AA58" i="48"/>
  <c r="Z319" i="49"/>
  <c r="J46" i="24"/>
  <c r="Z104" i="50"/>
  <c r="O10" i="49"/>
  <c r="Y84" i="48"/>
  <c r="AF27" i="44"/>
  <c r="AB142" i="49"/>
  <c r="AA61" i="50"/>
  <c r="O220" i="49"/>
  <c r="Z73" i="48"/>
  <c r="Z181" i="49"/>
  <c r="AG3" i="34"/>
  <c r="X101" i="50"/>
  <c r="AB67" i="53"/>
  <c r="AB172" i="49"/>
  <c r="L44" i="51"/>
  <c r="AG29" i="44"/>
  <c r="AF169" i="42"/>
  <c r="O184" i="49"/>
  <c r="R156" i="38"/>
  <c r="Z59" i="47"/>
  <c r="Q219" i="33"/>
  <c r="AG56" i="44"/>
  <c r="Y247" i="49"/>
  <c r="AA53" i="48"/>
  <c r="N78" i="47"/>
  <c r="AF14" i="42"/>
  <c r="AG61" i="44"/>
  <c r="B39" i="34"/>
  <c r="R154" i="39"/>
  <c r="AB348" i="49"/>
  <c r="Z17" i="51"/>
  <c r="Z9" i="47"/>
  <c r="S165" i="37"/>
  <c r="Y27" i="48"/>
  <c r="S197" i="38"/>
  <c r="R474" i="33"/>
  <c r="C47" i="50"/>
  <c r="R11" i="39"/>
  <c r="C22" i="52"/>
  <c r="Q297" i="33"/>
  <c r="N44" i="48"/>
  <c r="S32" i="49"/>
  <c r="X45" i="49"/>
  <c r="S172" i="38"/>
  <c r="O84" i="49"/>
  <c r="T26" i="49"/>
  <c r="S31" i="39"/>
  <c r="O35" i="47"/>
  <c r="J90" i="53"/>
  <c r="AB50" i="50"/>
  <c r="R48" i="39"/>
  <c r="AA94" i="50"/>
  <c r="Z144" i="49"/>
  <c r="N156" i="49"/>
  <c r="Z356" i="49"/>
  <c r="AG39" i="42"/>
  <c r="Z295" i="49"/>
  <c r="X41" i="48"/>
  <c r="N45" i="50"/>
  <c r="S27" i="49"/>
  <c r="Y92" i="50"/>
  <c r="X95" i="50"/>
  <c r="O122" i="49"/>
  <c r="S90" i="49"/>
  <c r="X55" i="47"/>
  <c r="AG123" i="42"/>
  <c r="J11" i="9"/>
  <c r="J13" i="24"/>
  <c r="N68" i="49"/>
  <c r="B95" i="34"/>
  <c r="G12" i="38"/>
  <c r="AF17" i="42"/>
  <c r="S48" i="47"/>
  <c r="AG2" i="34"/>
  <c r="T24" i="53"/>
  <c r="N10" i="39"/>
  <c r="Q25" i="33"/>
  <c r="S91" i="48"/>
  <c r="N304" i="49"/>
  <c r="Y88" i="53"/>
  <c r="AB129" i="49"/>
  <c r="AB38" i="50"/>
  <c r="X68" i="50"/>
  <c r="R21" i="51"/>
  <c r="AA51" i="50"/>
  <c r="M53" i="51"/>
  <c r="Y72" i="48"/>
  <c r="Z99" i="49"/>
  <c r="Z6" i="48"/>
  <c r="Y232" i="49"/>
  <c r="N26" i="47"/>
  <c r="T69" i="47"/>
  <c r="R184" i="38"/>
  <c r="N347" i="49"/>
  <c r="W29" i="40"/>
  <c r="S76" i="53"/>
  <c r="T34" i="50"/>
  <c r="AB332" i="49"/>
  <c r="V3" i="51"/>
  <c r="W49" i="51"/>
  <c r="T41" i="49"/>
  <c r="O6" i="48"/>
  <c r="AA337" i="49"/>
  <c r="T88" i="48"/>
  <c r="N305" i="49"/>
  <c r="X342" i="49"/>
  <c r="O130" i="49"/>
  <c r="J6" i="8"/>
  <c r="S19" i="49"/>
  <c r="S41" i="38"/>
  <c r="N320" i="49"/>
  <c r="Y84" i="49"/>
  <c r="Z258" i="49"/>
  <c r="T55" i="47"/>
  <c r="W43" i="51"/>
  <c r="Z354" i="49"/>
  <c r="N63" i="49"/>
  <c r="Y55" i="47"/>
  <c r="AB72" i="48"/>
  <c r="X33" i="47"/>
  <c r="B26" i="34"/>
  <c r="AB174" i="49"/>
  <c r="J39" i="9"/>
  <c r="O269" i="49"/>
  <c r="Y82" i="48"/>
  <c r="Z53" i="49"/>
  <c r="Y11" i="48"/>
  <c r="R235" i="33"/>
  <c r="R447" i="33"/>
  <c r="S77" i="50"/>
  <c r="W34" i="51"/>
  <c r="J23" i="39"/>
  <c r="AB63" i="48"/>
  <c r="S232" i="49"/>
  <c r="C48" i="34"/>
  <c r="J20" i="10"/>
  <c r="N84" i="49"/>
  <c r="Z21" i="53"/>
  <c r="J9" i="35"/>
  <c r="S163" i="49"/>
  <c r="Z60" i="53"/>
  <c r="Z36" i="47"/>
  <c r="X139" i="49"/>
  <c r="Y295" i="49"/>
  <c r="Y314" i="49"/>
  <c r="S121" i="38"/>
  <c r="Q16" i="51"/>
  <c r="O164" i="49"/>
  <c r="Y13" i="50"/>
  <c r="Y75" i="53"/>
  <c r="S21" i="50"/>
  <c r="N33" i="47"/>
  <c r="T27" i="49"/>
  <c r="X48" i="53"/>
  <c r="Z59" i="50"/>
  <c r="D79" i="34"/>
  <c r="T310" i="49"/>
  <c r="R94" i="37"/>
  <c r="C16" i="51"/>
  <c r="O70" i="47"/>
  <c r="N35" i="53"/>
  <c r="AG79" i="43"/>
  <c r="D125" i="34"/>
  <c r="I24" i="39"/>
  <c r="G13" i="24"/>
  <c r="O35" i="50"/>
  <c r="Z365" i="49"/>
  <c r="AG67" i="42"/>
  <c r="T102" i="49"/>
  <c r="N12" i="59"/>
  <c r="Q313" i="33"/>
  <c r="G51" i="59"/>
  <c r="Y158" i="49"/>
  <c r="N19" i="38"/>
  <c r="X79" i="48"/>
  <c r="N185" i="49"/>
  <c r="S148" i="38"/>
  <c r="X4" i="47"/>
  <c r="T179" i="49"/>
  <c r="Z193" i="49"/>
  <c r="Y72" i="49"/>
  <c r="R24" i="51"/>
  <c r="X74" i="53"/>
  <c r="O331" i="49"/>
  <c r="O262" i="49"/>
  <c r="Z42" i="51"/>
  <c r="R75" i="37"/>
  <c r="J22" i="7"/>
  <c r="S91" i="38"/>
  <c r="R76" i="33"/>
  <c r="AB91" i="50"/>
  <c r="Q70" i="33"/>
  <c r="O74" i="53"/>
  <c r="R34" i="33"/>
  <c r="X45" i="50"/>
  <c r="AA45" i="50"/>
  <c r="R70" i="39"/>
  <c r="AB14" i="50"/>
  <c r="T76" i="48"/>
  <c r="R104" i="39"/>
  <c r="T84" i="50"/>
  <c r="S6" i="48"/>
  <c r="Y75" i="50"/>
  <c r="AF15" i="42"/>
  <c r="AA171" i="49"/>
  <c r="D20" i="34"/>
  <c r="S368" i="49"/>
  <c r="N71" i="49"/>
  <c r="R175" i="33"/>
  <c r="Y5" i="48"/>
  <c r="Y127" i="49"/>
  <c r="V47" i="51"/>
  <c r="Y201" i="49"/>
  <c r="AB75" i="47"/>
  <c r="AF54" i="42"/>
  <c r="R400" i="33"/>
  <c r="T29" i="47"/>
  <c r="Z43" i="47"/>
  <c r="AB19" i="50"/>
  <c r="R148" i="33"/>
  <c r="Y90" i="48"/>
  <c r="AI18" i="49"/>
  <c r="Q421" i="33"/>
  <c r="X99" i="49"/>
  <c r="AA50" i="50"/>
  <c r="K11" i="33"/>
  <c r="J37" i="7"/>
  <c r="O261" i="49"/>
  <c r="Z36" i="50"/>
  <c r="R248" i="39"/>
  <c r="T44" i="50"/>
  <c r="AF57" i="43"/>
  <c r="X181" i="49"/>
  <c r="R6" i="33"/>
  <c r="T57" i="48"/>
  <c r="J82" i="47"/>
  <c r="AA157" i="49"/>
  <c r="S61" i="48"/>
  <c r="J33" i="50"/>
  <c r="S61" i="39"/>
  <c r="R257" i="37"/>
  <c r="AG61" i="43"/>
  <c r="AB379" i="49"/>
  <c r="R122" i="33"/>
  <c r="S274" i="49"/>
  <c r="I13" i="38"/>
  <c r="Z35" i="50"/>
  <c r="V28" i="40"/>
  <c r="G118" i="34"/>
  <c r="AG9" i="44"/>
  <c r="G109" i="34"/>
  <c r="AA302" i="49"/>
  <c r="G36" i="24"/>
  <c r="R283" i="33"/>
  <c r="O3" i="47"/>
  <c r="S3" i="53"/>
  <c r="AG126" i="42"/>
  <c r="AB65" i="49"/>
  <c r="R145" i="33"/>
  <c r="AA107" i="49"/>
  <c r="B97" i="34"/>
  <c r="M33" i="41"/>
  <c r="S185" i="39"/>
  <c r="O13" i="50"/>
  <c r="AG185" i="42"/>
  <c r="T111" i="50"/>
  <c r="O64" i="47"/>
  <c r="T181" i="49"/>
  <c r="AG97" i="42"/>
  <c r="V4" i="37"/>
  <c r="AA87" i="49"/>
  <c r="S14" i="38"/>
  <c r="AA158" i="49"/>
  <c r="N129" i="49"/>
  <c r="R62" i="38"/>
  <c r="V36" i="51"/>
  <c r="M23" i="51"/>
  <c r="O9" i="50"/>
  <c r="R125" i="38"/>
  <c r="S200" i="37"/>
  <c r="T64" i="48"/>
  <c r="AB383" i="49"/>
  <c r="O226" i="49"/>
  <c r="S34" i="53"/>
  <c r="AA68" i="48"/>
  <c r="Z40" i="48"/>
  <c r="D33" i="34"/>
  <c r="S154" i="38"/>
  <c r="S84" i="53"/>
  <c r="N82" i="50"/>
  <c r="T296" i="49"/>
  <c r="N45" i="48"/>
  <c r="S234" i="39"/>
  <c r="AF220" i="42"/>
  <c r="AF147" i="42"/>
  <c r="S11" i="39"/>
  <c r="AG37" i="44"/>
  <c r="Z32" i="48"/>
  <c r="M31" i="51"/>
  <c r="S181" i="49"/>
  <c r="X42" i="49"/>
  <c r="AG212" i="42"/>
  <c r="D7" i="43"/>
  <c r="O84" i="53"/>
  <c r="O353" i="49"/>
  <c r="T189" i="49"/>
  <c r="N4" i="39"/>
  <c r="Q364" i="33"/>
  <c r="Y52" i="47"/>
  <c r="X390" i="49"/>
  <c r="J16" i="8"/>
  <c r="S247" i="49"/>
  <c r="X6" i="49"/>
  <c r="T33" i="48"/>
  <c r="R157" i="37"/>
  <c r="AF22" i="44"/>
  <c r="H4" i="39"/>
  <c r="N58" i="47"/>
  <c r="R481" i="33"/>
  <c r="S25" i="53"/>
  <c r="R233" i="39"/>
  <c r="AA219" i="49"/>
  <c r="L3" i="43"/>
  <c r="G16" i="38"/>
  <c r="R135" i="39"/>
  <c r="S54" i="50"/>
  <c r="AA15" i="48"/>
  <c r="R18" i="37"/>
  <c r="AA71" i="50"/>
  <c r="AA14" i="50"/>
  <c r="S66" i="50"/>
  <c r="R31" i="38"/>
  <c r="AA367" i="49"/>
  <c r="AA26" i="47"/>
  <c r="O293" i="49"/>
  <c r="H19" i="38"/>
  <c r="N53" i="53"/>
  <c r="AB11" i="49"/>
  <c r="AN4" i="48"/>
  <c r="O77" i="48"/>
  <c r="N81" i="48"/>
  <c r="S74" i="50"/>
  <c r="R216" i="37"/>
  <c r="Y24" i="51"/>
  <c r="AF25" i="44"/>
  <c r="Z86" i="48"/>
  <c r="X55" i="53"/>
  <c r="AB85" i="50"/>
  <c r="M47" i="51"/>
  <c r="AA73" i="48"/>
  <c r="AB157" i="49"/>
  <c r="J20" i="48"/>
  <c r="AA74" i="49"/>
  <c r="B18" i="51"/>
  <c r="AB78" i="49"/>
  <c r="H7" i="43"/>
  <c r="L15" i="44"/>
  <c r="G6" i="34"/>
  <c r="Y79" i="50"/>
  <c r="J11" i="37"/>
  <c r="AA215" i="49"/>
  <c r="X51" i="49"/>
  <c r="O23" i="47"/>
  <c r="R8" i="51"/>
  <c r="Y246" i="49"/>
  <c r="Y134" i="49"/>
  <c r="AB80" i="53"/>
  <c r="V33" i="51"/>
  <c r="O364" i="49"/>
  <c r="T5" i="48"/>
  <c r="N31" i="47"/>
  <c r="AF138" i="42"/>
  <c r="S199" i="39"/>
  <c r="S35" i="48"/>
  <c r="X235" i="49"/>
  <c r="S20" i="49"/>
  <c r="S75" i="50"/>
  <c r="AB293" i="49"/>
  <c r="R209" i="33"/>
  <c r="O56" i="48"/>
  <c r="R31" i="39"/>
  <c r="O71" i="48"/>
  <c r="R89" i="38"/>
  <c r="X20" i="53"/>
  <c r="R354" i="33"/>
  <c r="AB70" i="47"/>
  <c r="AB122" i="49"/>
  <c r="AA126" i="49"/>
  <c r="N50" i="49"/>
  <c r="X298" i="49"/>
  <c r="O49" i="50"/>
  <c r="O15" i="47"/>
  <c r="AB249" i="49"/>
  <c r="S18" i="47"/>
  <c r="I3" i="37"/>
  <c r="J18" i="11"/>
  <c r="S355" i="49"/>
  <c r="J6" i="9"/>
  <c r="T42" i="49"/>
  <c r="Y14" i="53"/>
  <c r="M51" i="51"/>
  <c r="Z82" i="48"/>
  <c r="T13" i="50"/>
  <c r="A5" i="34" a="1"/>
  <c r="R237" i="33"/>
  <c r="AB73" i="49"/>
  <c r="AF124" i="42"/>
  <c r="AA37" i="49"/>
  <c r="J21" i="7"/>
  <c r="Z24" i="49"/>
  <c r="C75" i="34"/>
  <c r="Z61" i="47"/>
  <c r="S4" i="50"/>
  <c r="AH14" i="49"/>
  <c r="AB25" i="50"/>
  <c r="AF91" i="42"/>
  <c r="N49" i="49"/>
  <c r="M3" i="33"/>
  <c r="X37" i="53"/>
  <c r="AG103" i="43"/>
  <c r="G27" i="24"/>
  <c r="N97" i="49"/>
  <c r="AF5" i="44"/>
  <c r="X69" i="49"/>
  <c r="J21" i="43"/>
  <c r="Q162" i="33"/>
  <c r="S9" i="38"/>
  <c r="Z12" i="50"/>
  <c r="Y9" i="44" a="1"/>
  <c r="AH15" i="50"/>
  <c r="D25" i="46"/>
  <c r="AF79" i="42"/>
  <c r="J43" i="50"/>
  <c r="AB28" i="53"/>
  <c r="S95" i="39"/>
  <c r="R189" i="37"/>
  <c r="Z190" i="49"/>
  <c r="AF48" i="42"/>
  <c r="N96" i="49"/>
  <c r="Q329" i="33"/>
  <c r="X85" i="49"/>
  <c r="O147" i="49"/>
  <c r="T58" i="48"/>
  <c r="S95" i="50"/>
  <c r="AA333" i="49"/>
  <c r="D88" i="34"/>
  <c r="J11" i="38"/>
  <c r="AB71" i="48"/>
  <c r="S260" i="39"/>
  <c r="J36" i="50"/>
  <c r="Z16" i="47"/>
  <c r="N4" i="50"/>
  <c r="I22" i="52"/>
  <c r="X16" i="49"/>
  <c r="Z37" i="49"/>
  <c r="AB356" i="49"/>
  <c r="Z55" i="53"/>
  <c r="AA9" i="48"/>
  <c r="Y8" i="51"/>
  <c r="AA59" i="50"/>
  <c r="J22" i="49"/>
  <c r="J30" i="49"/>
  <c r="AB48" i="48"/>
  <c r="R252" i="39"/>
  <c r="Z67" i="53"/>
  <c r="T237" i="49"/>
  <c r="T220" i="49"/>
  <c r="N79" i="50"/>
  <c r="Z121" i="49"/>
  <c r="S2" i="14"/>
  <c r="J27" i="7"/>
  <c r="R107" i="38"/>
  <c r="R188" i="38"/>
  <c r="AA87" i="53"/>
  <c r="R217" i="33"/>
  <c r="Z89" i="50"/>
  <c r="AA191" i="49"/>
  <c r="E7" i="43"/>
  <c r="R460" i="33"/>
  <c r="AF79" i="43"/>
  <c r="T359" i="49"/>
  <c r="S61" i="49"/>
  <c r="X114" i="50"/>
  <c r="E30" i="42"/>
  <c r="R459" i="33"/>
  <c r="AA33" i="50"/>
  <c r="R232" i="37"/>
  <c r="O41" i="47"/>
  <c r="AF142" i="42"/>
  <c r="G18" i="45"/>
  <c r="S112" i="39"/>
  <c r="T101" i="49"/>
  <c r="Q305" i="33"/>
  <c r="AB7" i="48"/>
  <c r="E15" i="38"/>
  <c r="S232" i="38"/>
  <c r="J4" i="7"/>
  <c r="AB60" i="48"/>
  <c r="O49" i="49"/>
  <c r="J7" i="11"/>
  <c r="X374" i="49"/>
  <c r="Q437" i="33"/>
  <c r="R315" i="33"/>
  <c r="AB78" i="48"/>
  <c r="S201" i="37"/>
  <c r="AB101" i="49"/>
  <c r="Z47" i="47"/>
  <c r="V13" i="51"/>
  <c r="Q151" i="33"/>
  <c r="AB13" i="47"/>
  <c r="X47" i="51"/>
  <c r="AA201" i="49"/>
  <c r="Q94" i="33"/>
  <c r="G14" i="38"/>
  <c r="R215" i="37"/>
  <c r="T18" i="53"/>
  <c r="AG70" i="42"/>
  <c r="S91" i="49"/>
  <c r="B11" i="51"/>
  <c r="T13" i="40" a="1"/>
  <c r="AB16" i="48"/>
  <c r="C32" i="50"/>
  <c r="O76" i="47"/>
  <c r="G96" i="34"/>
  <c r="X37" i="47"/>
  <c r="Q40" i="33"/>
  <c r="AA334" i="49"/>
  <c r="S238" i="37"/>
  <c r="O15" i="48"/>
  <c r="Y285" i="49"/>
  <c r="X15" i="53"/>
  <c r="Z357" i="49"/>
  <c r="N167" i="49"/>
  <c r="Y29" i="49"/>
  <c r="R132" i="38"/>
  <c r="K23" i="43"/>
  <c r="N78" i="49"/>
  <c r="AA48" i="50"/>
  <c r="T232" i="49"/>
  <c r="AB10" i="48"/>
  <c r="T21" i="49"/>
  <c r="R37" i="37"/>
  <c r="T22" i="50"/>
  <c r="X82" i="49"/>
  <c r="Z63" i="49"/>
  <c r="X238" i="49"/>
  <c r="S63" i="47"/>
  <c r="S56" i="48"/>
  <c r="AB51" i="47"/>
  <c r="Q515" i="33"/>
  <c r="D48" i="34"/>
  <c r="X165" i="49"/>
  <c r="B1" i="36"/>
  <c r="R61" i="38"/>
  <c r="AF12" i="44"/>
  <c r="S173" i="37"/>
  <c r="AA309" i="49"/>
  <c r="N62" i="48"/>
  <c r="N151" i="49"/>
  <c r="N203" i="49"/>
  <c r="Y9" i="50"/>
  <c r="AB349" i="49"/>
  <c r="AB385" i="49"/>
  <c r="AG259" i="42"/>
  <c r="H18" i="45"/>
  <c r="AB7" i="45"/>
  <c r="M33" i="51"/>
  <c r="J20" i="8"/>
  <c r="E19" i="45"/>
  <c r="X45" i="48"/>
  <c r="AG154" i="42"/>
  <c r="N88" i="53"/>
  <c r="S7" i="48"/>
  <c r="X40" i="47"/>
  <c r="O69" i="48"/>
  <c r="AA44" i="49"/>
  <c r="AF86" i="42"/>
  <c r="Y88" i="50"/>
  <c r="AA22" i="53"/>
  <c r="T77" i="48"/>
  <c r="Y29" i="48"/>
  <c r="S304" i="49"/>
  <c r="Y16" i="51"/>
  <c r="S85" i="53"/>
  <c r="AB359" i="49"/>
  <c r="Y89" i="50"/>
  <c r="X156" i="49"/>
  <c r="E3" i="41"/>
  <c r="T293" i="49"/>
  <c r="AA47" i="49"/>
  <c r="O142" i="49"/>
  <c r="AF69" i="43"/>
  <c r="S32" i="50"/>
  <c r="R257" i="38"/>
  <c r="E7" i="39"/>
  <c r="R217" i="37"/>
  <c r="Y208" i="49"/>
  <c r="S4" i="39"/>
  <c r="O19" i="47"/>
  <c r="X111" i="49"/>
  <c r="R64" i="33"/>
  <c r="S24" i="48"/>
  <c r="Q48" i="33"/>
  <c r="AB228" i="49"/>
  <c r="P13" i="40" a="1"/>
  <c r="Y325" i="49"/>
  <c r="AG178" i="42"/>
  <c r="G37" i="24"/>
  <c r="Q33" i="51"/>
  <c r="T35" i="48"/>
  <c r="E36" i="41"/>
  <c r="AG62" i="44"/>
  <c r="S26" i="48"/>
  <c r="B16" i="34"/>
  <c r="R201" i="33"/>
  <c r="AI14" i="50"/>
  <c r="M29" i="41"/>
  <c r="S49" i="48"/>
  <c r="X70" i="49"/>
  <c r="R104" i="37"/>
  <c r="G21" i="24"/>
  <c r="O92" i="50"/>
  <c r="J78" i="53"/>
  <c r="AG98" i="42"/>
  <c r="Q51" i="51"/>
  <c r="G68" i="34"/>
  <c r="AB28" i="49"/>
  <c r="S120" i="50"/>
  <c r="B73" i="34"/>
  <c r="R32" i="51"/>
  <c r="N391" i="49"/>
  <c r="T70" i="53"/>
  <c r="X71" i="47"/>
  <c r="D101" i="34"/>
  <c r="AA310" i="49"/>
  <c r="S224" i="38"/>
  <c r="AB32" i="48"/>
  <c r="AA332" i="49"/>
  <c r="R5" i="40"/>
  <c r="Y133" i="49"/>
  <c r="AB87" i="50"/>
  <c r="AA46" i="47"/>
  <c r="S16" i="50"/>
  <c r="T60" i="48"/>
  <c r="S131" i="37"/>
  <c r="T32" i="50"/>
  <c r="Y6" i="48"/>
  <c r="Z18" i="48"/>
  <c r="AA5" i="49"/>
  <c r="S62" i="39"/>
  <c r="R113" i="38"/>
  <c r="AA140" i="49"/>
  <c r="AB367" i="49"/>
  <c r="AG127" i="43"/>
  <c r="AA227" i="49"/>
  <c r="S14" i="37"/>
  <c r="AB18" i="47"/>
  <c r="R189" i="33"/>
  <c r="AB90" i="48"/>
  <c r="X127" i="49"/>
  <c r="D17" i="51"/>
  <c r="O61" i="49"/>
  <c r="J40" i="50"/>
  <c r="N360" i="49"/>
  <c r="R114" i="33"/>
  <c r="S41" i="50"/>
  <c r="S25" i="47"/>
  <c r="AB146" i="49"/>
  <c r="AA120" i="49"/>
  <c r="T49" i="53"/>
  <c r="R92" i="33"/>
  <c r="J44" i="50"/>
  <c r="Z15" i="48"/>
  <c r="N3" i="35"/>
  <c r="Y57" i="49"/>
  <c r="E17" i="42"/>
  <c r="Z14" i="48"/>
  <c r="O343" i="49"/>
  <c r="AM4" i="44"/>
  <c r="Z48" i="51"/>
  <c r="C36" i="52"/>
  <c r="AB67" i="49"/>
  <c r="X271" i="49"/>
  <c r="X23" i="49"/>
  <c r="T9" i="40"/>
  <c r="Y117" i="50"/>
  <c r="AA79" i="53"/>
  <c r="T210" i="49"/>
  <c r="R343" i="33"/>
  <c r="AG105" i="42"/>
  <c r="AA5" i="48"/>
  <c r="Z58" i="50"/>
  <c r="AG65" i="44"/>
  <c r="S207" i="49"/>
  <c r="R47" i="33"/>
  <c r="T83" i="49"/>
  <c r="X8" i="48"/>
  <c r="O107" i="49"/>
  <c r="I18" i="38"/>
  <c r="N89" i="49"/>
  <c r="AB49" i="49"/>
  <c r="AG235" i="42"/>
  <c r="Y164" i="49"/>
  <c r="Z232" i="49"/>
  <c r="S55" i="50"/>
  <c r="Z6" i="47"/>
  <c r="S104" i="50"/>
  <c r="X49" i="51"/>
  <c r="S168" i="39"/>
  <c r="X290" i="49"/>
  <c r="J24" i="7"/>
  <c r="Y25" i="50"/>
  <c r="J25" i="10"/>
  <c r="D110" i="34"/>
  <c r="X372" i="49"/>
  <c r="O141" i="49"/>
  <c r="X19" i="47"/>
  <c r="R71" i="38"/>
  <c r="T334" i="49"/>
  <c r="M6" i="51"/>
  <c r="R498" i="33"/>
  <c r="AF6" i="42"/>
  <c r="G73" i="34"/>
  <c r="S65" i="50"/>
  <c r="X369" i="49"/>
  <c r="X74" i="50"/>
  <c r="I12" i="38"/>
  <c r="O289" i="49"/>
  <c r="AG13" i="43"/>
  <c r="AA55" i="47"/>
  <c r="Y38" i="53"/>
  <c r="G39" i="24"/>
  <c r="S13" i="39"/>
  <c r="R209" i="37"/>
  <c r="R217" i="38"/>
  <c r="R186" i="33"/>
  <c r="T186" i="49"/>
  <c r="N101" i="49"/>
  <c r="J9" i="38"/>
  <c r="R137" i="33"/>
  <c r="J17" i="48"/>
  <c r="X65" i="48"/>
  <c r="Y64" i="48"/>
  <c r="Z294" i="49"/>
  <c r="Y4" i="48"/>
  <c r="S43" i="47"/>
  <c r="S52" i="49"/>
  <c r="Q110" i="33"/>
  <c r="S75" i="48"/>
  <c r="AB78" i="50"/>
  <c r="AB89" i="48"/>
  <c r="R201" i="39"/>
  <c r="AB4" i="45"/>
  <c r="S79" i="49"/>
  <c r="J32" i="7"/>
  <c r="AG5" i="43"/>
  <c r="T61" i="47"/>
  <c r="T112" i="49"/>
  <c r="Y388" i="49"/>
  <c r="E23" i="41"/>
  <c r="N362" i="49"/>
  <c r="J6" i="38"/>
  <c r="AA68" i="50"/>
  <c r="AA9" i="47"/>
  <c r="H17" i="38"/>
  <c r="Y142" i="49"/>
  <c r="R268" i="33"/>
  <c r="R375" i="33"/>
  <c r="R492" i="33"/>
  <c r="A4" i="35"/>
  <c r="X79" i="47"/>
  <c r="G41" i="34"/>
  <c r="L39" i="51"/>
  <c r="Y17" i="51"/>
  <c r="R178" i="38"/>
  <c r="Z350" i="49"/>
  <c r="S28" i="48"/>
  <c r="S80" i="39"/>
  <c r="X26" i="48"/>
  <c r="X6" i="48"/>
  <c r="S99" i="37"/>
  <c r="R336" i="33"/>
  <c r="X178" i="49"/>
  <c r="B69" i="34"/>
  <c r="X381" i="49"/>
  <c r="X74" i="47"/>
  <c r="Y78" i="48"/>
  <c r="S202" i="49"/>
  <c r="AB66" i="53"/>
  <c r="J17" i="44"/>
  <c r="Y99" i="50"/>
  <c r="S52" i="38"/>
  <c r="AB107" i="49"/>
  <c r="T199" i="49"/>
  <c r="Y18" i="47"/>
  <c r="R196" i="37"/>
  <c r="AF247" i="42"/>
  <c r="T67" i="48"/>
  <c r="Q146" i="33"/>
  <c r="AB274" i="49"/>
  <c r="T297" i="49"/>
  <c r="W50" i="51"/>
  <c r="AH23" i="48"/>
  <c r="N79" i="49"/>
  <c r="X340" i="49"/>
  <c r="Q298" i="33"/>
  <c r="Y8" i="50"/>
  <c r="O363" i="49"/>
  <c r="X162" i="49"/>
  <c r="AA25" i="53"/>
  <c r="AF245" i="42"/>
  <c r="Y334" i="49"/>
  <c r="AB104" i="49"/>
  <c r="G23" i="39"/>
  <c r="AA202" i="49"/>
  <c r="AG238" i="42"/>
  <c r="Z237" i="49"/>
  <c r="Y34" i="47"/>
  <c r="L13" i="61"/>
  <c r="R106" i="38"/>
  <c r="AB15" i="49"/>
  <c r="S172" i="39"/>
  <c r="AF224" i="42"/>
  <c r="S182" i="39"/>
  <c r="G3" i="48"/>
  <c r="Y106" i="49"/>
  <c r="AA84" i="48"/>
  <c r="AG124" i="42"/>
  <c r="N57" i="48"/>
  <c r="R93" i="37"/>
  <c r="AB70" i="50"/>
  <c r="K20" i="44"/>
  <c r="AB47" i="53"/>
  <c r="I15" i="37"/>
  <c r="D14" i="51"/>
  <c r="N55" i="53"/>
  <c r="X131" i="49"/>
  <c r="F8" i="38"/>
  <c r="AG50" i="44"/>
  <c r="Q348" i="33"/>
  <c r="Q67" i="33"/>
  <c r="S226" i="38"/>
  <c r="Y120" i="50"/>
  <c r="AF248" i="42"/>
  <c r="T63" i="53"/>
  <c r="AB377" i="49"/>
  <c r="AB354" i="49"/>
  <c r="Z388" i="49"/>
  <c r="D27" i="41"/>
  <c r="AB40" i="47"/>
  <c r="C20" i="34"/>
  <c r="N45" i="47"/>
  <c r="AA19" i="48"/>
  <c r="AA30" i="49"/>
  <c r="N7" i="53"/>
  <c r="R407" i="33"/>
  <c r="AB30" i="47"/>
  <c r="AG257" i="42"/>
  <c r="AF22" i="51"/>
  <c r="Q19" i="33"/>
  <c r="S12" i="49"/>
  <c r="R7" i="40"/>
  <c r="AF85" i="42"/>
  <c r="F19" i="35"/>
  <c r="X3" i="49"/>
  <c r="Z38" i="49"/>
  <c r="AB71" i="53"/>
  <c r="T229" i="49"/>
  <c r="Y43" i="50"/>
  <c r="S171" i="39"/>
  <c r="AB286" i="49"/>
  <c r="X63" i="53"/>
  <c r="Z265" i="49"/>
  <c r="Y73" i="53"/>
  <c r="D70" i="34"/>
  <c r="J16" i="35"/>
  <c r="AB124" i="50"/>
  <c r="AB47" i="47"/>
  <c r="X57" i="48"/>
  <c r="X91" i="50"/>
  <c r="Q176" i="33"/>
  <c r="R473" i="33"/>
  <c r="D16" i="41"/>
  <c r="T45" i="53"/>
  <c r="J17" i="35"/>
  <c r="O111" i="49"/>
  <c r="O232" i="49"/>
  <c r="J68" i="49"/>
  <c r="S241" i="37"/>
  <c r="S229" i="39"/>
  <c r="Z147" i="49"/>
  <c r="N120" i="50"/>
  <c r="AS2" i="34"/>
  <c r="S158" i="39"/>
  <c r="X67" i="50"/>
  <c r="AA262" i="49"/>
  <c r="B124" i="34"/>
  <c r="H4" i="45"/>
  <c r="T47" i="48"/>
  <c r="AI22" i="49"/>
  <c r="X36" i="49"/>
  <c r="O358" i="49"/>
  <c r="AB372" i="49"/>
  <c r="X19" i="48"/>
  <c r="X113" i="50"/>
  <c r="Z67" i="50"/>
  <c r="O319" i="49"/>
  <c r="T46" i="49"/>
  <c r="O365" i="49"/>
  <c r="AD12" i="51"/>
  <c r="S29" i="53"/>
  <c r="X30" i="53"/>
  <c r="G12" i="37"/>
  <c r="S154" i="37"/>
  <c r="AF20" i="50"/>
  <c r="R337" i="33"/>
  <c r="R230" i="39"/>
  <c r="S107" i="37"/>
  <c r="S54" i="53"/>
  <c r="R172" i="33"/>
  <c r="B121" i="34"/>
  <c r="X4" i="57"/>
  <c r="AA222" i="49"/>
  <c r="X81" i="48"/>
  <c r="R174" i="37"/>
  <c r="M15" i="51"/>
  <c r="C17" i="39"/>
  <c r="R60" i="39"/>
  <c r="AB147" i="49"/>
  <c r="R80" i="38"/>
  <c r="N71" i="53"/>
  <c r="N45" i="49"/>
  <c r="X49" i="50"/>
  <c r="Y44" i="49"/>
  <c r="R26" i="39"/>
  <c r="T72" i="53"/>
  <c r="T98" i="49"/>
  <c r="G97" i="34"/>
  <c r="T23" i="50"/>
  <c r="AG141" i="42"/>
  <c r="Z145" i="49"/>
  <c r="X22" i="53"/>
  <c r="Z34" i="51"/>
  <c r="T13" i="49"/>
  <c r="Z75" i="49"/>
  <c r="AF149" i="42"/>
  <c r="C79" i="34"/>
  <c r="S80" i="50"/>
  <c r="Y43" i="51"/>
  <c r="Z32" i="51"/>
  <c r="Y87" i="50"/>
  <c r="AB77" i="49"/>
  <c r="AA63" i="49"/>
  <c r="AB108" i="50"/>
  <c r="X57" i="50"/>
  <c r="N66" i="50"/>
  <c r="C31" i="34"/>
  <c r="M12" i="61"/>
  <c r="R493" i="33"/>
  <c r="X341" i="49"/>
  <c r="AB62" i="48"/>
  <c r="Y45" i="50"/>
  <c r="R206" i="33"/>
  <c r="N83" i="50"/>
  <c r="AF189" i="42"/>
  <c r="J36" i="8"/>
  <c r="AB4" i="53"/>
  <c r="R45" i="37"/>
  <c r="AA30" i="48"/>
  <c r="AA7" i="49"/>
  <c r="R10" i="38"/>
  <c r="AG82" i="42"/>
  <c r="O48" i="49"/>
  <c r="X296" i="49"/>
  <c r="AA110" i="50"/>
  <c r="AB33" i="50"/>
  <c r="Z279" i="49"/>
  <c r="AF161" i="42"/>
  <c r="T10" i="47"/>
  <c r="X69" i="53"/>
  <c r="Z71" i="50"/>
  <c r="Z51" i="53"/>
  <c r="AG52" i="42"/>
  <c r="J18" i="44"/>
  <c r="R98" i="39"/>
  <c r="O109" i="50"/>
  <c r="R122" i="37"/>
  <c r="T86" i="50"/>
  <c r="S17" i="38"/>
  <c r="O39" i="50"/>
  <c r="AG36" i="44"/>
  <c r="Q393" i="33"/>
  <c r="O121" i="50"/>
  <c r="AB23" i="45"/>
  <c r="AA246" i="49"/>
  <c r="AA247" i="49"/>
  <c r="T12" i="47"/>
  <c r="B72" i="34"/>
  <c r="I10" i="38"/>
  <c r="Y81" i="49"/>
  <c r="AB97" i="49"/>
  <c r="S73" i="53"/>
  <c r="T327" i="49"/>
  <c r="T89" i="48"/>
  <c r="X34" i="47"/>
  <c r="E24" i="39"/>
  <c r="R51" i="37"/>
  <c r="X88" i="50"/>
  <c r="AG211" i="42"/>
  <c r="AF63" i="42"/>
  <c r="N21" i="49"/>
  <c r="O21" i="50"/>
  <c r="Z42" i="47"/>
  <c r="O95" i="50"/>
  <c r="S87" i="53"/>
  <c r="X339" i="49"/>
  <c r="R210" i="37"/>
  <c r="Z381" i="49"/>
  <c r="R294" i="33"/>
  <c r="X7" i="53"/>
  <c r="T151" i="49"/>
  <c r="Y88" i="49"/>
  <c r="I38" i="52"/>
  <c r="R254" i="37"/>
  <c r="T253" i="49"/>
  <c r="Q90" i="33"/>
  <c r="Q68" i="33"/>
  <c r="N234" i="49"/>
  <c r="AF218" i="42"/>
  <c r="S283" i="49"/>
  <c r="R226" i="39"/>
  <c r="R103" i="38"/>
  <c r="H14" i="51"/>
  <c r="H3" i="43"/>
  <c r="Y33" i="51"/>
  <c r="J30" i="35"/>
  <c r="O67" i="48"/>
  <c r="AA205" i="49"/>
  <c r="G10" i="24"/>
  <c r="Z12" i="53"/>
  <c r="AF44" i="43"/>
  <c r="AI12" i="48"/>
  <c r="J11" i="24"/>
  <c r="AG58" i="42"/>
  <c r="N21" i="59"/>
  <c r="AG22" i="51"/>
  <c r="Q316" i="33"/>
  <c r="S29" i="38"/>
  <c r="R119" i="33"/>
  <c r="T8" i="49"/>
  <c r="R247" i="33"/>
  <c r="J28" i="11"/>
  <c r="X256" i="49"/>
  <c r="N55" i="47"/>
  <c r="BE2" i="34"/>
  <c r="Y38" i="47"/>
  <c r="R70" i="38"/>
  <c r="B76" i="34"/>
  <c r="T75" i="49"/>
  <c r="Z301" i="49"/>
  <c r="N153" i="49"/>
  <c r="AA26" i="53"/>
  <c r="R479" i="33"/>
  <c r="AG230" i="42"/>
  <c r="S57" i="50"/>
  <c r="Y245" i="49"/>
  <c r="T38" i="47"/>
  <c r="O59" i="50"/>
  <c r="J10" i="53"/>
  <c r="B122" i="34"/>
  <c r="O40" i="49"/>
  <c r="G26" i="34"/>
  <c r="Y86" i="49"/>
  <c r="O68" i="48"/>
  <c r="Y328" i="49"/>
  <c r="R216" i="39"/>
  <c r="Q323" i="33"/>
  <c r="V17" i="51"/>
  <c r="AH20" i="50"/>
  <c r="H55" i="51"/>
  <c r="R188" i="33"/>
  <c r="Y4" i="50"/>
  <c r="AA43" i="49"/>
  <c r="M6" i="41"/>
  <c r="R51" i="38"/>
  <c r="AF58" i="42"/>
  <c r="Z142" i="49"/>
  <c r="S60" i="39"/>
  <c r="G71" i="34"/>
  <c r="T90" i="49"/>
  <c r="AB13" i="53"/>
  <c r="S253" i="39"/>
  <c r="AB251" i="49"/>
  <c r="M13" i="41"/>
  <c r="AA74" i="48"/>
  <c r="O166" i="49"/>
  <c r="S391" i="49"/>
  <c r="Z80" i="50"/>
  <c r="AB73" i="50"/>
  <c r="C46" i="50"/>
  <c r="J26" i="49"/>
  <c r="AB6" i="45"/>
  <c r="O18" i="47"/>
  <c r="Y111" i="50"/>
  <c r="J20" i="35"/>
  <c r="S225" i="38"/>
  <c r="AF26" i="42"/>
  <c r="T8" i="53"/>
  <c r="M3" i="46"/>
  <c r="J25" i="53"/>
  <c r="AI13" i="49"/>
  <c r="Y290" i="49"/>
  <c r="N124" i="50"/>
  <c r="F19" i="39"/>
  <c r="S117" i="39"/>
  <c r="AA8" i="48"/>
  <c r="Y73" i="49"/>
  <c r="X14" i="50"/>
  <c r="R231" i="39"/>
  <c r="X155" i="49"/>
  <c r="R253" i="39"/>
  <c r="Z277" i="49"/>
  <c r="Y383" i="49"/>
  <c r="L5" i="51"/>
  <c r="S51" i="50"/>
  <c r="T123" i="50"/>
  <c r="J39" i="50"/>
  <c r="R255" i="37"/>
  <c r="Q160" i="33"/>
  <c r="E8" i="37"/>
  <c r="H14" i="38"/>
  <c r="E10" i="59"/>
  <c r="S28" i="53"/>
  <c r="B81" i="34"/>
  <c r="T90" i="50"/>
  <c r="AB82" i="48"/>
  <c r="Z188" i="49"/>
  <c r="T278" i="49"/>
  <c r="L12" i="51"/>
  <c r="X13" i="48"/>
  <c r="R208" i="38"/>
  <c r="R513" i="33"/>
  <c r="Y387" i="49"/>
  <c r="R5" i="51"/>
  <c r="AA199" i="49"/>
  <c r="AG33" i="44"/>
  <c r="AA122" i="50"/>
  <c r="AB74" i="49"/>
  <c r="X84" i="49"/>
  <c r="B8" i="51"/>
  <c r="X2" i="61"/>
  <c r="AD13" i="51"/>
  <c r="J8" i="35"/>
  <c r="S318" i="49"/>
  <c r="Y36" i="50"/>
  <c r="X88" i="53"/>
  <c r="Y15" i="50"/>
  <c r="O64" i="48"/>
  <c r="L52" i="51"/>
  <c r="S44" i="47"/>
  <c r="X73" i="53"/>
  <c r="AB339" i="49"/>
  <c r="Z175" i="49"/>
  <c r="T30" i="47"/>
  <c r="AB44" i="53"/>
  <c r="S69" i="47"/>
  <c r="Y42" i="51"/>
  <c r="AF80" i="43"/>
  <c r="AA257" i="49"/>
  <c r="S251" i="38"/>
  <c r="Y251" i="49"/>
  <c r="AA75" i="48"/>
  <c r="T3" i="53"/>
  <c r="Y318" i="49"/>
  <c r="T37" i="50"/>
  <c r="D73" i="34"/>
  <c r="N74" i="48"/>
  <c r="G106" i="34"/>
  <c r="AH22" i="50"/>
  <c r="T251" i="49"/>
  <c r="T71" i="48"/>
  <c r="T48" i="49"/>
  <c r="S37" i="48"/>
  <c r="J31" i="47"/>
  <c r="D7" i="35"/>
  <c r="X34" i="51"/>
  <c r="J56" i="47"/>
  <c r="O117" i="50"/>
  <c r="R249" i="39"/>
  <c r="AB14" i="48"/>
  <c r="F10" i="38"/>
  <c r="R149" i="37"/>
  <c r="O28" i="53"/>
  <c r="O54" i="47"/>
  <c r="Z49" i="50"/>
  <c r="Q27" i="33"/>
  <c r="N5" i="37"/>
  <c r="N36" i="53"/>
  <c r="AB184" i="49"/>
  <c r="T152" i="49"/>
  <c r="M17" i="41"/>
  <c r="Q439" i="33"/>
  <c r="S65" i="37"/>
  <c r="AA175" i="49"/>
  <c r="Q302" i="33"/>
  <c r="Q48" i="51"/>
  <c r="O362" i="49"/>
  <c r="X70" i="53"/>
  <c r="Q79" i="33"/>
  <c r="Q207" i="33"/>
  <c r="S18" i="37"/>
  <c r="J18" i="42"/>
  <c r="N118" i="50"/>
  <c r="O246" i="49"/>
  <c r="R174" i="38"/>
  <c r="AD22" i="51"/>
  <c r="AG168" i="42"/>
  <c r="S75" i="53"/>
  <c r="J29" i="10"/>
  <c r="C43" i="59"/>
  <c r="AB40" i="53"/>
  <c r="R242" i="38"/>
  <c r="X5" i="53"/>
  <c r="AA2" i="12"/>
  <c r="T50" i="47"/>
  <c r="Z358" i="49"/>
  <c r="O14" i="48"/>
  <c r="Y31" i="49"/>
  <c r="J8" i="49"/>
  <c r="S356" i="49"/>
  <c r="G116" i="34"/>
  <c r="T235" i="49"/>
  <c r="N12" i="49"/>
  <c r="AB84" i="48"/>
  <c r="S162" i="37"/>
  <c r="Y347" i="49"/>
  <c r="S152" i="39"/>
  <c r="Z29" i="47"/>
  <c r="S248" i="49"/>
  <c r="M27" i="51"/>
  <c r="G57" i="34"/>
  <c r="N10" i="38"/>
  <c r="R496" i="33"/>
  <c r="R203" i="39"/>
  <c r="J38" i="11"/>
  <c r="Q14" i="33"/>
  <c r="E26" i="41"/>
  <c r="D113" i="34"/>
  <c r="R193" i="38"/>
  <c r="D40" i="34"/>
  <c r="S174" i="39"/>
  <c r="Z345" i="49"/>
  <c r="O334" i="49"/>
  <c r="S81" i="48"/>
  <c r="AH19" i="50"/>
  <c r="X277" i="49"/>
  <c r="AB40" i="49"/>
  <c r="AB254" i="49"/>
  <c r="J7" i="38"/>
  <c r="X194" i="49"/>
  <c r="S55" i="53"/>
  <c r="X303" i="49"/>
  <c r="O15" i="53"/>
  <c r="R197" i="38"/>
  <c r="R326" i="33"/>
  <c r="J28" i="47"/>
  <c r="N6" i="50"/>
  <c r="AF56" i="44"/>
  <c r="S194" i="38"/>
  <c r="Q424" i="33"/>
  <c r="S56" i="38"/>
  <c r="W45" i="51"/>
  <c r="Y20" i="53"/>
  <c r="AA350" i="49"/>
  <c r="N376" i="49"/>
  <c r="Y87" i="48"/>
  <c r="X31" i="48"/>
  <c r="AA154" i="49"/>
  <c r="R373" i="33"/>
  <c r="N49" i="47"/>
  <c r="S258" i="49"/>
  <c r="AG128" i="43"/>
  <c r="Y67" i="53"/>
  <c r="N9" i="59"/>
  <c r="D83" i="34"/>
  <c r="AA60" i="53"/>
  <c r="S122" i="50"/>
  <c r="AF61" i="44"/>
  <c r="Y41" i="47"/>
  <c r="AF12" i="50"/>
  <c r="AB87" i="48"/>
  <c r="O108" i="49"/>
  <c r="AG14" i="43"/>
  <c r="Y52" i="53"/>
  <c r="D74" i="34"/>
  <c r="AB173" i="49"/>
  <c r="Z234" i="49"/>
  <c r="Z27" i="53"/>
  <c r="N44" i="47"/>
  <c r="O34" i="47"/>
  <c r="AD15" i="51"/>
  <c r="N126" i="49"/>
  <c r="AB28" i="47"/>
  <c r="S47" i="48"/>
  <c r="AA223" i="49"/>
  <c r="D100" i="34"/>
  <c r="O121" i="49"/>
  <c r="AB20" i="50"/>
  <c r="O357" i="49"/>
  <c r="T111" i="49"/>
  <c r="AF181" i="42"/>
  <c r="AB277" i="49"/>
  <c r="X21" i="49"/>
  <c r="X4" i="50"/>
  <c r="S88" i="49"/>
  <c r="Z28" i="53"/>
  <c r="D11" i="35"/>
  <c r="Z62" i="49"/>
  <c r="AA55" i="49"/>
  <c r="AF77" i="42"/>
  <c r="S236" i="37"/>
  <c r="X20" i="51"/>
  <c r="AB304" i="49"/>
  <c r="X19" i="51"/>
  <c r="X280" i="49"/>
  <c r="D39" i="41"/>
  <c r="J3" i="10"/>
  <c r="M26" i="41"/>
  <c r="O79" i="49"/>
  <c r="AF55" i="44"/>
  <c r="T79" i="47"/>
  <c r="AF22" i="43"/>
  <c r="AA71" i="47"/>
  <c r="X103" i="50"/>
  <c r="L53" i="51"/>
  <c r="AA11" i="53"/>
  <c r="D119" i="34"/>
  <c r="Y21" i="51"/>
  <c r="Q5" i="33"/>
  <c r="AH11" i="49"/>
  <c r="T67" i="53"/>
  <c r="Y10" i="51"/>
  <c r="Y57" i="53"/>
  <c r="AB326" i="49"/>
  <c r="M18" i="51"/>
  <c r="AB68" i="49"/>
  <c r="N69" i="53"/>
  <c r="T62" i="50"/>
  <c r="T17" i="50"/>
  <c r="J9" i="50"/>
  <c r="Y61" i="50"/>
  <c r="N389" i="49"/>
  <c r="Z5" i="49"/>
  <c r="X6" i="50"/>
  <c r="AG56" i="42"/>
  <c r="X36" i="53"/>
  <c r="AF166" i="42"/>
  <c r="Q154" i="33"/>
  <c r="AA13" i="50"/>
  <c r="S133" i="49"/>
  <c r="AF19" i="49"/>
  <c r="G35" i="59"/>
  <c r="X3" i="53"/>
  <c r="AA304" i="49"/>
  <c r="AB18" i="45"/>
  <c r="R201" i="38"/>
  <c r="Q78" i="33"/>
  <c r="AG121" i="43"/>
  <c r="R76" i="37"/>
  <c r="Q314" i="33"/>
  <c r="X245" i="49"/>
  <c r="AA206" i="49"/>
  <c r="T37" i="49"/>
  <c r="Q358" i="33"/>
  <c r="Z5" i="51"/>
  <c r="Y77" i="47"/>
  <c r="T80" i="48"/>
  <c r="Y48" i="53"/>
  <c r="D5" i="41"/>
  <c r="R117" i="33"/>
  <c r="AA29" i="48"/>
  <c r="N20" i="59"/>
  <c r="N102" i="49"/>
  <c r="S166" i="38"/>
  <c r="R204" i="38"/>
  <c r="J27" i="35"/>
  <c r="Z102" i="50"/>
  <c r="X68" i="48"/>
  <c r="AG255" i="42"/>
  <c r="B13" i="51"/>
  <c r="S244" i="37"/>
  <c r="J20" i="43"/>
  <c r="AA104" i="49"/>
  <c r="AB67" i="48"/>
  <c r="Y112" i="50"/>
  <c r="T96" i="50"/>
  <c r="N159" i="49"/>
  <c r="Z26" i="51"/>
  <c r="AG118" i="43"/>
  <c r="X140" i="49"/>
  <c r="AG10" i="44"/>
  <c r="R159" i="37"/>
  <c r="J14" i="39"/>
  <c r="AA8" i="53"/>
  <c r="AB67" i="50"/>
  <c r="Q213" i="33"/>
  <c r="D14" i="41"/>
  <c r="AB85" i="48"/>
  <c r="S254" i="39"/>
  <c r="Y185" i="49"/>
  <c r="R166" i="33"/>
  <c r="AA290" i="49"/>
  <c r="R178" i="33"/>
  <c r="N344" i="49"/>
  <c r="Z20" i="49"/>
  <c r="C11" i="51"/>
  <c r="J32" i="47"/>
  <c r="L13" i="51"/>
  <c r="AB76" i="50"/>
  <c r="Z240" i="49"/>
  <c r="G80" i="34"/>
  <c r="Z47" i="48"/>
  <c r="AB281" i="49"/>
  <c r="R105" i="39"/>
  <c r="S257" i="37"/>
  <c r="Y66" i="47"/>
  <c r="AF33" i="42"/>
  <c r="S140" i="49"/>
  <c r="Z44" i="47"/>
  <c r="AB179" i="49"/>
  <c r="R63" i="37"/>
  <c r="Z46" i="48"/>
  <c r="Y106" i="50"/>
  <c r="R252" i="33"/>
  <c r="S215" i="49"/>
  <c r="Y82" i="49"/>
  <c r="J21" i="11"/>
  <c r="G7" i="24"/>
  <c r="T88" i="49"/>
  <c r="AB96" i="50"/>
  <c r="C16" i="34"/>
  <c r="G87" i="34"/>
  <c r="T24" i="50"/>
  <c r="O257" i="49"/>
  <c r="S78" i="47"/>
  <c r="Q478" i="33"/>
  <c r="X222" i="49"/>
  <c r="J8" i="9"/>
  <c r="O53" i="53"/>
  <c r="Q21" i="51"/>
  <c r="S59" i="48"/>
  <c r="R482" i="33"/>
  <c r="S121" i="39"/>
  <c r="AB158" i="49"/>
  <c r="N54" i="49"/>
  <c r="AA63" i="48"/>
  <c r="M21" i="41"/>
  <c r="Y24" i="47"/>
  <c r="G5" i="44"/>
  <c r="O168" i="49"/>
  <c r="AB51" i="53"/>
  <c r="J16" i="11"/>
  <c r="T153" i="49"/>
  <c r="J89" i="53"/>
  <c r="N107" i="49"/>
  <c r="N52" i="50"/>
  <c r="O350" i="49"/>
  <c r="B31" i="34"/>
  <c r="X53" i="48"/>
  <c r="AA351" i="49"/>
  <c r="AB4" i="49"/>
  <c r="R118" i="38"/>
  <c r="AB69" i="49"/>
  <c r="AF227" i="42"/>
  <c r="Q17" i="33"/>
  <c r="Y354" i="49"/>
  <c r="R276" i="33"/>
  <c r="AF85" i="43"/>
  <c r="M14" i="33"/>
  <c r="N46" i="49"/>
  <c r="AB65" i="47"/>
  <c r="X208" i="49"/>
  <c r="AA236" i="49"/>
  <c r="R81" i="33"/>
  <c r="Y83" i="53"/>
  <c r="T69" i="48"/>
  <c r="J38" i="35"/>
  <c r="Z79" i="50"/>
  <c r="X248" i="49"/>
  <c r="F20" i="38"/>
  <c r="E15" i="42"/>
  <c r="Z35" i="49"/>
  <c r="S89" i="48"/>
  <c r="S145" i="49"/>
  <c r="Z344" i="49"/>
  <c r="O16" i="48"/>
  <c r="S54" i="39"/>
  <c r="E16" i="43"/>
  <c r="AB135" i="49"/>
  <c r="E5" i="43"/>
  <c r="Z366" i="49"/>
  <c r="AF51" i="43"/>
  <c r="X255" i="49"/>
  <c r="Z29" i="53"/>
  <c r="AA78" i="47"/>
  <c r="S101" i="50"/>
  <c r="N12" i="37"/>
  <c r="R102" i="38"/>
  <c r="AB34" i="48"/>
  <c r="O123" i="49"/>
  <c r="AG10" i="42"/>
  <c r="R255" i="38"/>
  <c r="X63" i="50"/>
  <c r="S105" i="39"/>
  <c r="H15" i="39"/>
  <c r="B87" i="34"/>
  <c r="S13" i="50"/>
  <c r="S98" i="38"/>
  <c r="AB64" i="49"/>
  <c r="H35" i="51"/>
  <c r="S41" i="37"/>
  <c r="AG6" i="44"/>
  <c r="AA65" i="49"/>
  <c r="J16" i="44"/>
  <c r="Q77" i="33"/>
  <c r="AG88" i="42"/>
  <c r="AG65" i="42"/>
  <c r="S69" i="49"/>
  <c r="Z166" i="49"/>
  <c r="S24" i="50"/>
  <c r="O52" i="53"/>
  <c r="AI4" i="53"/>
  <c r="T32" i="53"/>
  <c r="Z221" i="49"/>
  <c r="AA20" i="53"/>
  <c r="J19" i="8"/>
  <c r="T381" i="49"/>
  <c r="X88" i="49"/>
  <c r="J61" i="47"/>
  <c r="Y30" i="53"/>
  <c r="S260" i="38"/>
  <c r="R181" i="39"/>
  <c r="T19" i="47"/>
  <c r="D68" i="34"/>
  <c r="AB165" i="49"/>
  <c r="AF63" i="43"/>
  <c r="T265" i="49"/>
  <c r="N76" i="53"/>
  <c r="T47" i="53"/>
  <c r="N58" i="50"/>
  <c r="E19" i="44"/>
  <c r="S245" i="39"/>
  <c r="R275" i="33"/>
  <c r="S172" i="49"/>
  <c r="Z187" i="49"/>
  <c r="K5" i="42"/>
  <c r="L15" i="51"/>
  <c r="Q312" i="33"/>
  <c r="S233" i="39"/>
  <c r="T176" i="49"/>
  <c r="AB364" i="49"/>
  <c r="Z10" i="51"/>
  <c r="O28" i="50"/>
  <c r="R94" i="39"/>
  <c r="AB370" i="49"/>
  <c r="N24" i="39"/>
  <c r="J31" i="24"/>
  <c r="D75" i="34"/>
  <c r="J17" i="39"/>
  <c r="AG132" i="43"/>
  <c r="L12" i="61"/>
  <c r="B4" i="56" a="1"/>
  <c r="R8" i="40"/>
  <c r="Z127" i="49"/>
  <c r="Y56" i="50"/>
  <c r="D8" i="51"/>
  <c r="O337" i="49"/>
  <c r="G113" i="34"/>
  <c r="R455" i="33"/>
  <c r="N6" i="47"/>
  <c r="AA82" i="49"/>
  <c r="Y47" i="53"/>
  <c r="AB22" i="48"/>
  <c r="S138" i="39"/>
  <c r="AG172" i="42"/>
  <c r="AF60" i="42"/>
  <c r="X304" i="49"/>
  <c r="S26" i="38"/>
  <c r="Y121" i="50"/>
  <c r="Z263" i="49"/>
  <c r="E24" i="43"/>
  <c r="J27" i="11"/>
  <c r="Z56" i="47"/>
  <c r="AA197" i="49"/>
  <c r="G4" i="38"/>
  <c r="Q189" i="33"/>
  <c r="O219" i="49"/>
  <c r="O156" i="49"/>
  <c r="N8" i="41"/>
  <c r="R468" i="33"/>
  <c r="R99" i="37"/>
  <c r="AB56" i="53"/>
  <c r="AF27" i="43"/>
  <c r="G83" i="34"/>
  <c r="AA38" i="47"/>
  <c r="AF97" i="43"/>
  <c r="D62" i="34"/>
  <c r="J13" i="11"/>
  <c r="X66" i="50"/>
  <c r="R131" i="39"/>
  <c r="Y149" i="49"/>
  <c r="T36" i="47"/>
  <c r="S93" i="50"/>
  <c r="S72" i="50"/>
  <c r="J26" i="24"/>
  <c r="S40" i="49"/>
  <c r="R172" i="38"/>
  <c r="S41" i="48"/>
  <c r="AG58" i="43"/>
  <c r="Z337" i="49"/>
  <c r="T56" i="53"/>
  <c r="D25" i="41"/>
  <c r="M18" i="61"/>
  <c r="R15" i="39"/>
  <c r="T49" i="48"/>
  <c r="R6" i="40"/>
  <c r="R61" i="33"/>
  <c r="AA16" i="48"/>
  <c r="S296" i="49"/>
  <c r="R129" i="38"/>
  <c r="S114" i="37"/>
  <c r="S123" i="37"/>
  <c r="AB110" i="50"/>
  <c r="X239" i="49"/>
  <c r="Q167" i="33"/>
  <c r="Z53" i="47"/>
  <c r="R94" i="38"/>
  <c r="T88" i="53"/>
  <c r="N20" i="38"/>
  <c r="X142" i="49"/>
  <c r="AF140" i="42"/>
  <c r="R240" i="37"/>
  <c r="J62" i="53"/>
  <c r="O42" i="48"/>
  <c r="M51" i="59"/>
  <c r="S70" i="37"/>
  <c r="N74" i="53"/>
  <c r="AG3" i="44"/>
  <c r="N70" i="50"/>
  <c r="N38" i="49"/>
  <c r="S135" i="49"/>
  <c r="R134" i="33"/>
  <c r="AA390" i="49"/>
  <c r="G3" i="44"/>
  <c r="Y327" i="49"/>
  <c r="B10" i="34"/>
  <c r="Y49" i="51"/>
  <c r="S213" i="37"/>
  <c r="Y303" i="49"/>
  <c r="R229" i="37"/>
  <c r="X43" i="48"/>
  <c r="R54" i="51"/>
  <c r="AB61" i="47"/>
  <c r="C50" i="59"/>
  <c r="Y60" i="49"/>
  <c r="AB24" i="49"/>
  <c r="AI19" i="48"/>
  <c r="S204" i="37"/>
  <c r="AB60" i="49"/>
  <c r="I36" i="52"/>
  <c r="T65" i="50"/>
  <c r="Z27" i="51"/>
  <c r="AG240" i="42"/>
  <c r="N54" i="53"/>
  <c r="S234" i="37"/>
  <c r="T216" i="49"/>
  <c r="X152" i="49"/>
  <c r="S24" i="38"/>
  <c r="N356" i="49"/>
  <c r="Y101" i="49"/>
  <c r="O272" i="49"/>
  <c r="AB111" i="49"/>
  <c r="S32" i="48"/>
  <c r="S16" i="37"/>
  <c r="AG8" i="42"/>
  <c r="AG225" i="42"/>
  <c r="J26" i="47"/>
  <c r="Z94" i="50"/>
  <c r="N5" i="50"/>
  <c r="X43" i="47"/>
  <c r="R32" i="33"/>
  <c r="O49" i="53"/>
  <c r="O80" i="49"/>
  <c r="T380" i="49"/>
  <c r="X34" i="50"/>
  <c r="S187" i="49"/>
  <c r="N50" i="48"/>
  <c r="AA42" i="47"/>
  <c r="N16" i="47"/>
  <c r="R89" i="37"/>
  <c r="R396" i="33"/>
  <c r="X124" i="50"/>
  <c r="C105" i="34"/>
  <c r="S243" i="38"/>
  <c r="P3" i="40"/>
  <c r="AB29" i="53"/>
  <c r="N365" i="49"/>
  <c r="M37" i="51"/>
  <c r="O230" i="49"/>
  <c r="N233" i="49"/>
  <c r="O120" i="50"/>
  <c r="Y346" i="49"/>
  <c r="Y174" i="49"/>
  <c r="R30" i="33"/>
  <c r="D5" i="42"/>
  <c r="S27" i="39"/>
  <c r="N226" i="49"/>
  <c r="AA58" i="50"/>
  <c r="N34" i="48"/>
  <c r="AB14" i="49"/>
  <c r="R9" i="38"/>
  <c r="N14" i="37"/>
  <c r="AG42" i="43"/>
  <c r="AA50" i="49"/>
  <c r="S46" i="49"/>
  <c r="T55" i="53"/>
  <c r="AA342" i="49"/>
  <c r="O47" i="50"/>
  <c r="X355" i="49"/>
  <c r="R312" i="33"/>
  <c r="N33" i="49"/>
  <c r="Z132" i="49"/>
  <c r="B75" i="34"/>
  <c r="O249" i="49"/>
  <c r="Q451" i="33"/>
  <c r="Y16" i="47"/>
  <c r="Y137" i="49"/>
  <c r="N298" i="49"/>
  <c r="X50" i="48"/>
  <c r="B38" i="34"/>
  <c r="T40" i="53"/>
  <c r="AA12" i="49"/>
  <c r="F6" i="42"/>
  <c r="S332" i="49"/>
  <c r="Z11" i="50"/>
  <c r="Q178" i="33"/>
  <c r="S59" i="49"/>
  <c r="Z74" i="48"/>
  <c r="N15" i="38"/>
  <c r="Y221" i="49"/>
  <c r="N275" i="49"/>
  <c r="AB120" i="50"/>
  <c r="Z45" i="49"/>
  <c r="D9" i="41"/>
  <c r="T135" i="49"/>
  <c r="N354" i="49"/>
  <c r="O66" i="48"/>
  <c r="AA24" i="48"/>
  <c r="R285" i="33"/>
  <c r="N112" i="50"/>
  <c r="Z219" i="49"/>
  <c r="S180" i="38"/>
  <c r="AA61" i="53"/>
  <c r="Z23" i="47"/>
  <c r="S365" i="49"/>
  <c r="AF207" i="42"/>
  <c r="C17" i="34"/>
  <c r="Q15" i="51"/>
  <c r="R154" i="33"/>
  <c r="R164" i="39"/>
  <c r="B27" i="34"/>
  <c r="S37" i="53"/>
  <c r="AG24" i="44"/>
  <c r="X16" i="47"/>
  <c r="X47" i="50"/>
  <c r="S56" i="49"/>
  <c r="G69" i="34"/>
  <c r="Z12" i="48"/>
  <c r="AA178" i="49"/>
  <c r="B53" i="34"/>
  <c r="AB57" i="47"/>
  <c r="V38" i="51"/>
  <c r="AA32" i="49"/>
  <c r="N83" i="48"/>
  <c r="J13" i="38"/>
  <c r="AB217" i="49"/>
  <c r="Z8" i="51"/>
  <c r="O57" i="53"/>
  <c r="T39" i="53"/>
  <c r="R47" i="38"/>
  <c r="Q202" i="33"/>
  <c r="Z275" i="49"/>
  <c r="O54" i="53"/>
  <c r="R147" i="39"/>
  <c r="J24" i="11"/>
  <c r="J22" i="8"/>
  <c r="O76" i="50"/>
  <c r="M34" i="41"/>
  <c r="J36" i="9"/>
  <c r="S232" i="37"/>
  <c r="V43" i="51"/>
  <c r="AB88" i="50"/>
  <c r="AB45" i="47"/>
  <c r="AH21" i="50"/>
  <c r="O36" i="50"/>
  <c r="Y29" i="47"/>
  <c r="AA84" i="49"/>
  <c r="AA217" i="49"/>
  <c r="K6" i="44"/>
  <c r="J20" i="42"/>
  <c r="R429" i="33"/>
  <c r="AG15" i="44"/>
  <c r="Z7" i="53"/>
  <c r="P4" i="40"/>
  <c r="Y324" i="49"/>
  <c r="R33" i="38"/>
  <c r="AG59" i="43"/>
  <c r="Q369" i="33"/>
  <c r="AA64" i="49"/>
  <c r="G102" i="34"/>
  <c r="V10" i="51"/>
  <c r="X56" i="49"/>
  <c r="AG223" i="42"/>
  <c r="AN3" i="49"/>
  <c r="R75" i="38"/>
  <c r="N11" i="39"/>
  <c r="AB362" i="49"/>
  <c r="J29" i="8"/>
  <c r="H9" i="38"/>
  <c r="N372" i="49"/>
  <c r="X334" i="49"/>
  <c r="N72" i="49"/>
  <c r="AA53" i="47"/>
  <c r="AB45" i="53"/>
  <c r="Y113" i="50"/>
  <c r="L55" i="51"/>
  <c r="R73" i="38"/>
  <c r="R44" i="51"/>
  <c r="D33" i="59"/>
  <c r="T30" i="48"/>
  <c r="S155" i="49"/>
  <c r="X120" i="49"/>
  <c r="AG206" i="42"/>
  <c r="S35" i="50"/>
  <c r="N240" i="49"/>
  <c r="R78" i="38"/>
  <c r="T52" i="53"/>
  <c r="AF87" i="43"/>
  <c r="N271" i="49"/>
  <c r="Q291" i="33"/>
  <c r="N219" i="49"/>
  <c r="X27" i="49"/>
  <c r="AF103" i="43"/>
  <c r="R282" i="33"/>
  <c r="R227" i="37"/>
  <c r="Z19" i="51"/>
  <c r="S178" i="37"/>
  <c r="R32" i="39"/>
  <c r="Z161" i="49"/>
  <c r="Z73" i="50"/>
  <c r="AB117" i="50"/>
  <c r="R14" i="39"/>
  <c r="Z374" i="49"/>
  <c r="S19" i="53"/>
  <c r="AA71" i="49"/>
  <c r="T131" i="49"/>
  <c r="T66" i="49"/>
  <c r="AG49" i="42"/>
  <c r="Y23" i="48"/>
  <c r="I21" i="39"/>
  <c r="Y341" i="49"/>
  <c r="Q491" i="33"/>
  <c r="Y55" i="51"/>
  <c r="Y297" i="49"/>
  <c r="Y61" i="53"/>
  <c r="J9" i="24"/>
  <c r="I7" i="39"/>
  <c r="F27" i="35"/>
  <c r="AC2" i="48" a="1"/>
  <c r="S82" i="37"/>
  <c r="X32" i="53"/>
  <c r="J37" i="10"/>
  <c r="H38" i="35"/>
  <c r="AA370" i="49"/>
  <c r="Y364" i="49"/>
  <c r="N102" i="50"/>
  <c r="Y294" i="49"/>
  <c r="AG110" i="42"/>
  <c r="O105" i="50"/>
  <c r="T339" i="49"/>
  <c r="T149" i="49"/>
  <c r="C83" i="34"/>
  <c r="R202" i="39"/>
  <c r="R261" i="39"/>
  <c r="R80" i="33"/>
  <c r="C59" i="34"/>
  <c r="G9" i="34"/>
  <c r="G123" i="34"/>
  <c r="O252" i="49"/>
  <c r="AB321" i="49"/>
  <c r="D8" i="41"/>
  <c r="AG11" i="43"/>
  <c r="Z79" i="48"/>
  <c r="X126" i="49"/>
  <c r="AG245" i="42"/>
  <c r="Z69" i="50"/>
  <c r="J68" i="53"/>
  <c r="H36" i="52"/>
  <c r="U13" i="43" a="1"/>
  <c r="Z3" i="47"/>
  <c r="T33" i="49"/>
  <c r="AA212" i="49"/>
  <c r="T324" i="49"/>
  <c r="B11" i="34"/>
  <c r="J21" i="49"/>
  <c r="J55" i="47"/>
  <c r="S174" i="38"/>
  <c r="S149" i="49"/>
  <c r="AA292" i="49"/>
  <c r="O12" i="49"/>
  <c r="T44" i="48"/>
  <c r="G10" i="39"/>
  <c r="S103" i="49"/>
  <c r="R55" i="51"/>
  <c r="T95" i="49"/>
  <c r="S277" i="49"/>
  <c r="R182" i="37"/>
  <c r="T40" i="49"/>
  <c r="F26" i="35"/>
  <c r="Y34" i="51"/>
  <c r="R35" i="33"/>
  <c r="I14" i="37"/>
  <c r="Z226" i="49"/>
  <c r="Y41" i="50"/>
  <c r="O57" i="50"/>
  <c r="AA70" i="50"/>
  <c r="S177" i="37"/>
  <c r="AI15" i="50"/>
  <c r="N12" i="39"/>
  <c r="H37" i="51"/>
  <c r="X29" i="47"/>
  <c r="AB9" i="47"/>
  <c r="R12" i="51"/>
  <c r="N299" i="49"/>
  <c r="R185" i="37"/>
  <c r="L10" i="61"/>
  <c r="S57" i="38"/>
  <c r="Y372" i="49"/>
  <c r="H14" i="39"/>
  <c r="AG111" i="42"/>
  <c r="AF49" i="43"/>
  <c r="S78" i="53"/>
  <c r="AF45" i="43"/>
  <c r="J42" i="24"/>
  <c r="C29" i="50"/>
  <c r="X183" i="49"/>
  <c r="S241" i="38"/>
  <c r="T175" i="49"/>
  <c r="J72" i="50"/>
  <c r="T31" i="48"/>
  <c r="R208" i="33"/>
  <c r="Q320" i="33"/>
  <c r="X48" i="48"/>
  <c r="AB27" i="50"/>
  <c r="C52" i="34"/>
  <c r="B127" i="34"/>
  <c r="X92" i="49"/>
  <c r="X66" i="48"/>
  <c r="X56" i="47"/>
  <c r="X50" i="53"/>
  <c r="O161" i="49"/>
  <c r="R196" i="33"/>
  <c r="N186" i="49"/>
  <c r="AI11" i="49"/>
  <c r="P5" i="40"/>
  <c r="Z10" i="49"/>
  <c r="O106" i="50"/>
  <c r="N322" i="49"/>
  <c r="N19" i="48"/>
  <c r="G98" i="34"/>
  <c r="R51" i="39"/>
  <c r="Z22" i="53"/>
  <c r="M8" i="33"/>
  <c r="Q182" i="33"/>
  <c r="Q419" i="33"/>
  <c r="Z197" i="49"/>
  <c r="Y37" i="49"/>
  <c r="Y124" i="50"/>
  <c r="Z302" i="49"/>
  <c r="AA128" i="49"/>
  <c r="R367" i="33"/>
  <c r="Y20" i="49"/>
  <c r="S28" i="38"/>
  <c r="R146" i="38"/>
  <c r="D22" i="41"/>
  <c r="V31" i="51"/>
  <c r="Y363" i="49"/>
  <c r="AA57" i="53"/>
  <c r="N37" i="47"/>
  <c r="N31" i="48"/>
  <c r="AA372" i="49"/>
  <c r="H5" i="42"/>
  <c r="T19" i="48"/>
  <c r="T108" i="49"/>
  <c r="S89" i="37"/>
  <c r="X21" i="48"/>
  <c r="X18" i="53"/>
  <c r="T159" i="49"/>
  <c r="R132" i="33"/>
  <c r="AG161" i="42"/>
  <c r="Y86" i="53"/>
  <c r="Z36" i="48"/>
  <c r="AA44" i="50"/>
  <c r="J67" i="49"/>
  <c r="R198" i="33"/>
  <c r="U3" i="40"/>
  <c r="Q346" i="33"/>
  <c r="AB62" i="50"/>
  <c r="AB272" i="49"/>
  <c r="Z10" i="53"/>
  <c r="J35" i="8"/>
  <c r="Y4" i="49"/>
  <c r="Y91" i="49"/>
  <c r="S192" i="37"/>
  <c r="R341" i="33"/>
  <c r="J12" i="47"/>
  <c r="AB46" i="50"/>
  <c r="AF95" i="42"/>
  <c r="J27" i="8"/>
  <c r="T56" i="50"/>
  <c r="N46" i="48"/>
  <c r="AF216" i="42"/>
  <c r="X267" i="49"/>
  <c r="AG24" i="42"/>
  <c r="S110" i="49"/>
  <c r="N181" i="49"/>
  <c r="D38" i="35"/>
  <c r="Y59" i="47"/>
  <c r="S213" i="39"/>
  <c r="R64" i="39"/>
  <c r="B103" i="34"/>
  <c r="S220" i="38"/>
  <c r="R89" i="33"/>
  <c r="Y37" i="47"/>
  <c r="O377" i="49"/>
  <c r="N56" i="48"/>
  <c r="B102" i="34"/>
  <c r="O80" i="48"/>
  <c r="B123" i="34"/>
  <c r="Q225" i="33"/>
  <c r="O21" i="48"/>
  <c r="O50" i="50"/>
  <c r="W46" i="51"/>
  <c r="AG59" i="44"/>
  <c r="S315" i="49"/>
  <c r="Z28" i="47"/>
  <c r="Q239" i="33"/>
  <c r="AA91" i="50"/>
  <c r="AG166" i="42"/>
  <c r="T46" i="50"/>
  <c r="K20" i="42"/>
  <c r="N6" i="38"/>
  <c r="AA17" i="53"/>
  <c r="AB102" i="49"/>
  <c r="Q171" i="33"/>
  <c r="AB83" i="50"/>
  <c r="X261" i="49"/>
  <c r="B17" i="34"/>
  <c r="R180" i="37"/>
  <c r="AB16" i="53"/>
  <c r="D23" i="41"/>
  <c r="R69" i="39"/>
  <c r="N59" i="50"/>
  <c r="J14" i="8"/>
  <c r="T61" i="48"/>
  <c r="Y42" i="50"/>
  <c r="D44" i="52"/>
  <c r="O323" i="49"/>
  <c r="X39" i="47"/>
  <c r="X110" i="49"/>
  <c r="N103" i="49"/>
  <c r="T52" i="47"/>
  <c r="R156" i="33"/>
  <c r="Q169" i="33"/>
  <c r="R178" i="37"/>
  <c r="S224" i="37"/>
  <c r="AA377" i="49"/>
  <c r="Z34" i="48"/>
  <c r="AA86" i="53"/>
  <c r="T379" i="49"/>
  <c r="N236" i="49"/>
  <c r="AA121" i="50"/>
  <c r="X382" i="49"/>
  <c r="AB90" i="50"/>
  <c r="Q448" i="33"/>
  <c r="Q289" i="33"/>
  <c r="AB123" i="50"/>
  <c r="E20" i="39"/>
  <c r="Y233" i="49"/>
  <c r="Z62" i="53"/>
  <c r="S38" i="39"/>
  <c r="AA358" i="49"/>
  <c r="AB374" i="49"/>
  <c r="L4" i="59"/>
  <c r="O24" i="49"/>
  <c r="S95" i="49"/>
  <c r="AA34" i="47"/>
  <c r="O338" i="49"/>
  <c r="S223" i="49"/>
  <c r="Z115" i="49"/>
  <c r="AI18" i="50"/>
  <c r="AF101" i="42"/>
  <c r="D82" i="34"/>
  <c r="S111" i="50"/>
  <c r="AB35" i="48"/>
  <c r="X82" i="50"/>
  <c r="AB177" i="49"/>
  <c r="S68" i="37"/>
  <c r="Q108" i="33"/>
  <c r="Y26" i="50"/>
  <c r="I15" i="39"/>
  <c r="Q226" i="33"/>
  <c r="O65" i="50"/>
  <c r="AF53" i="42"/>
  <c r="X60" i="53"/>
  <c r="T18" i="48"/>
  <c r="T357" i="49"/>
  <c r="N247" i="49"/>
  <c r="AA47" i="48"/>
  <c r="N7" i="38"/>
  <c r="O389" i="49"/>
  <c r="Z42" i="53"/>
  <c r="Y19" i="49"/>
  <c r="AG13" i="44"/>
  <c r="T13" i="47"/>
  <c r="K9" i="33"/>
  <c r="AA25" i="49"/>
  <c r="N76" i="50"/>
  <c r="J43" i="24"/>
  <c r="H57" i="51"/>
  <c r="O59" i="47"/>
  <c r="C106" i="34"/>
  <c r="AB36" i="48"/>
  <c r="Y4" i="47"/>
  <c r="AA22" i="48"/>
  <c r="S13" i="40" a="1"/>
  <c r="AG95" i="43"/>
  <c r="S33" i="53"/>
  <c r="N341" i="49"/>
  <c r="T266" i="49"/>
  <c r="AA179" i="49"/>
  <c r="AA20" i="49"/>
  <c r="R104" i="33"/>
  <c r="N32" i="48"/>
  <c r="F19" i="38"/>
  <c r="Y90" i="50"/>
  <c r="S109" i="39"/>
  <c r="Y36" i="49"/>
  <c r="AA230" i="49"/>
  <c r="Y71" i="48"/>
  <c r="X316" i="49"/>
  <c r="R309" i="33"/>
  <c r="S191" i="38"/>
  <c r="N13" i="49"/>
  <c r="S77" i="39"/>
  <c r="S380" i="49"/>
  <c r="Y38" i="49"/>
  <c r="T20" i="48"/>
  <c r="Z11" i="53"/>
  <c r="Q19" i="51"/>
  <c r="AG26" i="42"/>
  <c r="T20" i="53"/>
  <c r="S212" i="39"/>
  <c r="S52" i="47"/>
  <c r="AA9" i="49"/>
  <c r="AF54" i="43"/>
  <c r="O91" i="50"/>
  <c r="AG97" i="43"/>
  <c r="R99" i="39"/>
  <c r="C101" i="34"/>
  <c r="R98" i="33"/>
  <c r="AA10" i="50"/>
  <c r="W19" i="51"/>
  <c r="X4" i="49"/>
  <c r="C54" i="34"/>
  <c r="S263" i="49"/>
  <c r="Y80" i="50"/>
  <c r="N45" i="53"/>
  <c r="S60" i="50"/>
  <c r="AB21" i="50"/>
  <c r="T28" i="49"/>
  <c r="T321" i="49"/>
  <c r="C44" i="53"/>
  <c r="S73" i="48"/>
  <c r="S58" i="49"/>
  <c r="X236" i="49"/>
  <c r="M34" i="51"/>
  <c r="Y75" i="47"/>
  <c r="Z118" i="49"/>
  <c r="T17" i="47"/>
  <c r="AG14" i="44"/>
  <c r="R157" i="39"/>
  <c r="X54" i="51"/>
  <c r="AA162" i="49"/>
  <c r="AG102" i="42"/>
  <c r="S23" i="39"/>
  <c r="S269" i="49"/>
  <c r="S11" i="38"/>
  <c r="N16" i="51"/>
  <c r="T15" i="49"/>
  <c r="AB211" i="49"/>
  <c r="J37" i="50"/>
  <c r="Z91" i="50"/>
  <c r="N86" i="53"/>
  <c r="AG190" i="42"/>
  <c r="X157" i="49"/>
  <c r="K27" i="42"/>
  <c r="J3" i="53"/>
  <c r="J19" i="38"/>
  <c r="O22" i="50"/>
  <c r="AH20" i="48"/>
  <c r="R355" i="33"/>
  <c r="N301" i="49"/>
  <c r="Y390" i="49"/>
  <c r="Z50" i="48"/>
  <c r="AB231" i="49"/>
  <c r="AB69" i="53"/>
  <c r="O248" i="49"/>
  <c r="T136" i="49"/>
  <c r="A8" i="35"/>
  <c r="G107" i="34"/>
  <c r="X106" i="50"/>
  <c r="J13" i="7"/>
  <c r="O103" i="49"/>
  <c r="G93" i="34"/>
  <c r="Y65" i="53"/>
  <c r="O37" i="49"/>
  <c r="AG21" i="51"/>
  <c r="Z371" i="49"/>
  <c r="N349" i="49"/>
  <c r="A5" i="35"/>
  <c r="X68" i="53"/>
  <c r="N382" i="49"/>
  <c r="R234" i="37"/>
  <c r="T234" i="49"/>
  <c r="N77" i="53"/>
  <c r="R433" i="33"/>
  <c r="S58" i="38"/>
  <c r="H4" i="43"/>
  <c r="N330" i="49"/>
  <c r="X77" i="49"/>
  <c r="Z109" i="50"/>
  <c r="O177" i="49"/>
  <c r="T115" i="49"/>
  <c r="S119" i="50"/>
  <c r="AA85" i="53"/>
  <c r="AG196" i="42"/>
  <c r="N5" i="39"/>
  <c r="AF237" i="42"/>
  <c r="Z11" i="47"/>
  <c r="Z334" i="49"/>
  <c r="M5" i="33"/>
  <c r="R486" i="33"/>
  <c r="AG6" i="42"/>
  <c r="T287" i="49"/>
  <c r="R16" i="37"/>
  <c r="AF17" i="51"/>
  <c r="T6" i="48"/>
  <c r="AG62" i="43"/>
  <c r="AG86" i="42"/>
  <c r="O13" i="47"/>
  <c r="F5" i="43"/>
  <c r="V11" i="51"/>
  <c r="AB257" i="49"/>
  <c r="E12" i="38"/>
  <c r="AA56" i="49"/>
  <c r="Y51" i="50"/>
  <c r="B85" i="34"/>
  <c r="S218" i="38"/>
  <c r="O333" i="49"/>
  <c r="R52" i="37"/>
  <c r="N279" i="49"/>
  <c r="Z45" i="51"/>
  <c r="AA56" i="50"/>
  <c r="AB8" i="47"/>
  <c r="Y348" i="49"/>
  <c r="C36" i="53"/>
  <c r="O97" i="49"/>
  <c r="AC23" i="45"/>
  <c r="Y23" i="47"/>
  <c r="S124" i="49"/>
  <c r="M42" i="51"/>
  <c r="S110" i="37"/>
  <c r="S66" i="38"/>
  <c r="W42" i="51"/>
  <c r="D53" i="34"/>
  <c r="Z284" i="49"/>
  <c r="S210" i="49"/>
  <c r="S317" i="49"/>
  <c r="X23" i="47"/>
  <c r="R32" i="37"/>
  <c r="Z280" i="49"/>
  <c r="T17" i="53"/>
  <c r="T6" i="49"/>
  <c r="S12" i="38"/>
  <c r="T258" i="49"/>
  <c r="Z78" i="53"/>
  <c r="R487" i="33"/>
  <c r="AA348" i="49"/>
  <c r="Z390" i="49"/>
  <c r="Z56" i="49"/>
  <c r="Z111" i="50"/>
  <c r="L26" i="42"/>
  <c r="AA67" i="47"/>
  <c r="N232" i="49"/>
  <c r="Q74" i="33"/>
  <c r="X345" i="49"/>
  <c r="E10" i="38"/>
  <c r="R169" i="33"/>
  <c r="S202" i="37"/>
  <c r="AB95" i="49"/>
  <c r="D115" i="34"/>
  <c r="Q319" i="33"/>
  <c r="Y48" i="51"/>
  <c r="Z87" i="53"/>
  <c r="AB59" i="47"/>
  <c r="AA100" i="50"/>
  <c r="O286" i="49"/>
  <c r="AN4" i="50"/>
  <c r="O50" i="49"/>
  <c r="T44" i="49"/>
  <c r="Y184" i="49"/>
  <c r="D10" i="41"/>
  <c r="V28" i="51"/>
  <c r="S80" i="49"/>
  <c r="AF194" i="42"/>
  <c r="O31" i="49"/>
  <c r="AG88" i="43"/>
  <c r="S234" i="38"/>
  <c r="AG29" i="42"/>
  <c r="X80" i="48"/>
  <c r="N146" i="49"/>
  <c r="S165" i="39"/>
  <c r="M14" i="51"/>
  <c r="R453" i="33"/>
  <c r="O157" i="49"/>
  <c r="S94" i="38"/>
  <c r="H14" i="37"/>
  <c r="Z249" i="49"/>
  <c r="R155" i="38"/>
  <c r="F19" i="45"/>
  <c r="AF43" i="44"/>
  <c r="R74" i="38"/>
  <c r="N65" i="53"/>
  <c r="S72" i="49"/>
  <c r="AG164" i="42"/>
  <c r="AA59" i="47"/>
  <c r="O61" i="47"/>
  <c r="O67" i="47"/>
  <c r="X338" i="49"/>
  <c r="Y93" i="49"/>
  <c r="AB47" i="48"/>
  <c r="Q262" i="33"/>
  <c r="Y286" i="49"/>
  <c r="S15" i="38"/>
  <c r="AA380" i="49"/>
  <c r="T43" i="48"/>
  <c r="AB115" i="50"/>
  <c r="AF217" i="42"/>
  <c r="W52" i="51"/>
  <c r="O174" i="49"/>
  <c r="AB25" i="48"/>
  <c r="C108" i="34"/>
  <c r="AA57" i="49"/>
  <c r="E10" i="39"/>
  <c r="Y138" i="49"/>
  <c r="X46" i="48"/>
  <c r="Z28" i="51"/>
  <c r="T48" i="47"/>
  <c r="S3" i="37"/>
  <c r="AB3" i="49"/>
  <c r="S159" i="37"/>
  <c r="T24" i="49"/>
  <c r="O109" i="49"/>
  <c r="X79" i="53"/>
  <c r="X21" i="51"/>
  <c r="AA26" i="50"/>
  <c r="AB116" i="50"/>
  <c r="X106" i="49"/>
  <c r="T53" i="50"/>
  <c r="S84" i="39"/>
  <c r="H5" i="43"/>
  <c r="Z98" i="50"/>
  <c r="Q367" i="33"/>
  <c r="T194" i="49"/>
  <c r="S83" i="48"/>
  <c r="S65" i="49"/>
  <c r="R206" i="39"/>
  <c r="Z73" i="49"/>
  <c r="Y22" i="47"/>
  <c r="N381" i="49"/>
  <c r="Y231" i="49"/>
  <c r="C88" i="34"/>
  <c r="AF28" i="44"/>
  <c r="Y86" i="50"/>
  <c r="S238" i="39"/>
  <c r="R14" i="37"/>
  <c r="T65" i="49"/>
  <c r="S230" i="38"/>
  <c r="T48" i="48"/>
  <c r="R62" i="37"/>
  <c r="G72" i="34"/>
  <c r="S116" i="37"/>
  <c r="R27" i="37"/>
  <c r="S45" i="47"/>
  <c r="E40" i="41"/>
  <c r="S125" i="49"/>
  <c r="Q47" i="51"/>
  <c r="S57" i="37"/>
  <c r="R56" i="39"/>
  <c r="O206" i="49"/>
  <c r="E17" i="39"/>
  <c r="N78" i="53"/>
  <c r="J35" i="50"/>
  <c r="BE3" i="34"/>
  <c r="S29" i="48"/>
  <c r="D45" i="34"/>
  <c r="R211" i="33"/>
  <c r="Y36" i="51"/>
  <c r="B5" i="34"/>
  <c r="F18" i="38"/>
  <c r="R176" i="38"/>
  <c r="X158" i="49"/>
  <c r="T366" i="49"/>
  <c r="S79" i="53"/>
  <c r="S206" i="38"/>
  <c r="AA81" i="48"/>
  <c r="S12" i="37"/>
  <c r="J6" i="39"/>
  <c r="Y52" i="48"/>
  <c r="X44" i="48"/>
  <c r="X14" i="49"/>
  <c r="N61" i="50"/>
  <c r="R3" i="33"/>
  <c r="O52" i="47"/>
  <c r="C19" i="39"/>
  <c r="AF71" i="43"/>
  <c r="H8" i="38"/>
  <c r="X93" i="49"/>
  <c r="D28" i="52"/>
  <c r="AA160" i="49"/>
  <c r="M17" i="51"/>
  <c r="AF257" i="42"/>
  <c r="N15" i="51"/>
  <c r="AA300" i="49"/>
  <c r="W23" i="51"/>
  <c r="N92" i="48"/>
  <c r="X48" i="49"/>
  <c r="M19" i="41"/>
  <c r="R203" i="33"/>
  <c r="R54" i="37"/>
  <c r="X35" i="50"/>
  <c r="J18" i="43"/>
  <c r="Q469" i="33"/>
  <c r="Q38" i="51"/>
  <c r="AG7" i="43"/>
  <c r="T89" i="53"/>
  <c r="O85" i="49"/>
  <c r="X18" i="48"/>
  <c r="AB128" i="49"/>
  <c r="T344" i="49"/>
  <c r="S114" i="49"/>
  <c r="AA373" i="49"/>
  <c r="AA165" i="49"/>
  <c r="S103" i="37"/>
  <c r="Y361" i="49"/>
  <c r="R43" i="51"/>
  <c r="X69" i="47"/>
  <c r="X373" i="49"/>
  <c r="AB31" i="50"/>
  <c r="S35" i="39"/>
  <c r="AI21" i="49"/>
  <c r="G18" i="34"/>
  <c r="AF208" i="42"/>
  <c r="T53" i="49"/>
  <c r="Q290" i="33"/>
  <c r="Q489" i="33"/>
  <c r="X71" i="53"/>
  <c r="C55" i="53"/>
  <c r="AB358" i="49"/>
  <c r="N16" i="53"/>
  <c r="AB54" i="49"/>
  <c r="R90" i="37"/>
  <c r="J3" i="7"/>
  <c r="AB44" i="48"/>
  <c r="N270" i="49"/>
  <c r="T3" i="48"/>
  <c r="AA37" i="50"/>
  <c r="G21" i="38"/>
  <c r="S33" i="37"/>
  <c r="T169" i="49"/>
  <c r="U4" i="40"/>
  <c r="S73" i="37"/>
  <c r="V56" i="51"/>
  <c r="Q211" i="33"/>
  <c r="Y71" i="50"/>
  <c r="AG146" i="42"/>
  <c r="O390" i="49"/>
  <c r="Z347" i="49"/>
  <c r="D94" i="34"/>
  <c r="S128" i="49"/>
  <c r="AG233" i="42"/>
  <c r="N30" i="53"/>
  <c r="X34" i="49"/>
  <c r="J30" i="42"/>
  <c r="Y6" i="50"/>
  <c r="N36" i="47"/>
  <c r="L48" i="51"/>
  <c r="T123" i="49"/>
  <c r="Y313" i="49"/>
  <c r="X15" i="50"/>
  <c r="Z78" i="47"/>
  <c r="R182" i="39"/>
  <c r="AG175" i="42"/>
  <c r="AB44" i="50"/>
  <c r="J24" i="24"/>
  <c r="AA207" i="49"/>
  <c r="T47" i="49"/>
  <c r="C39" i="50"/>
  <c r="AA67" i="48"/>
  <c r="AA15" i="49"/>
  <c r="X89" i="48"/>
  <c r="L18" i="42"/>
  <c r="S157" i="37"/>
  <c r="F9" i="39"/>
  <c r="R114" i="38"/>
  <c r="S88" i="48"/>
  <c r="C37" i="50"/>
  <c r="AA355" i="49"/>
  <c r="S88" i="38"/>
  <c r="AF156" i="42"/>
  <c r="AA40" i="50"/>
  <c r="Y48" i="47"/>
  <c r="S85" i="39"/>
  <c r="X77" i="48"/>
  <c r="N28" i="59"/>
  <c r="Y104" i="50"/>
  <c r="S253" i="37"/>
  <c r="AA31" i="53"/>
  <c r="R192" i="38"/>
  <c r="O110" i="50"/>
  <c r="AF212" i="42"/>
  <c r="R508" i="33"/>
  <c r="S378" i="49"/>
  <c r="N26" i="53"/>
  <c r="AG83" i="42"/>
  <c r="J7" i="39"/>
  <c r="X244" i="49"/>
  <c r="AB204" i="49"/>
  <c r="I20" i="39"/>
  <c r="Z36" i="49"/>
  <c r="C93" i="34"/>
  <c r="AF122" i="42"/>
  <c r="B10" i="51"/>
  <c r="AB8" i="50"/>
  <c r="E16" i="45"/>
  <c r="O46" i="47"/>
  <c r="S77" i="47"/>
  <c r="N262" i="49"/>
  <c r="AB384" i="49"/>
  <c r="Z78" i="49"/>
  <c r="M22" i="51"/>
  <c r="AB343" i="49"/>
  <c r="X287" i="49"/>
  <c r="Z12" i="49"/>
  <c r="E11" i="59"/>
  <c r="D17" i="41"/>
  <c r="Y3" i="53"/>
  <c r="X15" i="51"/>
  <c r="T49" i="49"/>
  <c r="J8" i="10"/>
  <c r="AB46" i="47"/>
  <c r="O199" i="49"/>
  <c r="Q157" i="33"/>
  <c r="R168" i="39"/>
  <c r="O137" i="49"/>
  <c r="T88" i="50"/>
  <c r="M35" i="41"/>
  <c r="AF119" i="43"/>
  <c r="AB197" i="49"/>
  <c r="J20" i="49"/>
  <c r="S10" i="38"/>
  <c r="S93" i="38"/>
  <c r="Z106" i="49"/>
  <c r="O346" i="49"/>
  <c r="T61" i="50"/>
  <c r="C92" i="34"/>
  <c r="O86" i="48"/>
  <c r="X26" i="49"/>
  <c r="Y50" i="51"/>
  <c r="I23" i="39"/>
  <c r="R218" i="39"/>
  <c r="O183" i="49"/>
  <c r="AA101" i="49"/>
  <c r="X58" i="48"/>
  <c r="S16" i="53"/>
  <c r="N53" i="47"/>
  <c r="AA23" i="50"/>
  <c r="X204" i="49"/>
  <c r="S76" i="49"/>
  <c r="N52" i="53"/>
  <c r="AF100" i="42"/>
  <c r="Y128" i="49"/>
  <c r="T66" i="53"/>
  <c r="AA347" i="49"/>
  <c r="S66" i="47"/>
  <c r="N17" i="48"/>
  <c r="I14" i="38"/>
  <c r="T78" i="49"/>
  <c r="AB166" i="49"/>
  <c r="X110" i="50"/>
  <c r="S55" i="49"/>
  <c r="R439" i="33"/>
  <c r="AA34" i="50"/>
  <c r="J13" i="35"/>
  <c r="S292" i="49"/>
  <c r="N70" i="49"/>
  <c r="F5" i="39"/>
  <c r="AG104" i="43"/>
  <c r="AF68" i="43"/>
  <c r="M39" i="51"/>
  <c r="S219" i="39"/>
  <c r="O61" i="53"/>
  <c r="N3" i="38"/>
  <c r="J32" i="35"/>
  <c r="X170" i="49"/>
  <c r="S264" i="49"/>
  <c r="R415" i="33"/>
  <c r="G3" i="37"/>
  <c r="Q18" i="33"/>
  <c r="Z114" i="50"/>
  <c r="R46" i="51"/>
  <c r="X232" i="49"/>
  <c r="AA278" i="49"/>
  <c r="Y277" i="49"/>
  <c r="AC17" i="45"/>
  <c r="X2" i="18"/>
  <c r="S93" i="39"/>
  <c r="S135" i="38"/>
  <c r="Z34" i="53"/>
  <c r="S177" i="38"/>
  <c r="G66" i="34"/>
  <c r="S97" i="37"/>
  <c r="AA3" i="53"/>
  <c r="O5" i="50"/>
  <c r="AG100" i="42"/>
  <c r="S186" i="49"/>
  <c r="AF18" i="44"/>
  <c r="O215" i="49"/>
  <c r="S127" i="38"/>
  <c r="Q136" i="33"/>
  <c r="N373" i="49"/>
  <c r="O284" i="49"/>
  <c r="O70" i="48"/>
  <c r="Z76" i="50"/>
  <c r="Y31" i="51"/>
  <c r="Y114" i="50"/>
  <c r="E6" i="44"/>
  <c r="AA105" i="50"/>
  <c r="S113" i="38"/>
  <c r="M50" i="51"/>
  <c r="AA209" i="49"/>
  <c r="AD11" i="51"/>
  <c r="N5" i="49"/>
  <c r="Z47" i="49"/>
  <c r="O75" i="50"/>
  <c r="X184" i="49"/>
  <c r="N18" i="47"/>
  <c r="S88" i="50"/>
  <c r="AF125" i="42"/>
  <c r="T27" i="50"/>
  <c r="T28" i="53"/>
  <c r="AF112" i="43"/>
  <c r="Z310" i="49"/>
  <c r="X81" i="49"/>
  <c r="AF33" i="43"/>
  <c r="AA4" i="50"/>
  <c r="AF36" i="42"/>
  <c r="R270" i="33"/>
  <c r="O21" i="53"/>
  <c r="T386" i="49"/>
  <c r="AB15" i="48"/>
  <c r="R64" i="37"/>
  <c r="Z84" i="50"/>
  <c r="AB88" i="48"/>
  <c r="S303" i="49"/>
  <c r="Y91" i="50"/>
  <c r="S238" i="49"/>
  <c r="N117" i="50"/>
  <c r="AF145" i="42"/>
  <c r="L7" i="51"/>
  <c r="N314" i="49"/>
  <c r="Z183" i="49"/>
  <c r="S387" i="49"/>
  <c r="N64" i="50"/>
  <c r="Y18" i="51"/>
  <c r="S9" i="37"/>
  <c r="J22" i="43"/>
  <c r="S156" i="37"/>
  <c r="AG36" i="42"/>
  <c r="O287" i="49"/>
  <c r="S55" i="48"/>
  <c r="R41" i="51"/>
  <c r="G13" i="37"/>
  <c r="A6" i="35"/>
  <c r="X58" i="50"/>
  <c r="S22" i="50"/>
  <c r="J57" i="47"/>
  <c r="O30" i="49"/>
  <c r="AF131" i="43"/>
  <c r="AH12" i="49"/>
  <c r="X104" i="50"/>
  <c r="S206" i="39"/>
  <c r="AH16" i="50"/>
  <c r="C121" i="34"/>
  <c r="R15" i="33"/>
  <c r="R258" i="37"/>
  <c r="R234" i="39"/>
  <c r="J5" i="39"/>
  <c r="Y49" i="48"/>
  <c r="S10" i="37"/>
  <c r="D46" i="34"/>
  <c r="N6" i="51"/>
  <c r="S37" i="47"/>
  <c r="Y40" i="48"/>
  <c r="Q308" i="33"/>
  <c r="N255" i="49"/>
  <c r="R35" i="37"/>
  <c r="AA123" i="50"/>
  <c r="X13" i="47"/>
  <c r="Q398" i="33"/>
  <c r="H18" i="36"/>
  <c r="Y29" i="51"/>
  <c r="R82" i="38"/>
  <c r="AF96" i="42"/>
  <c r="Q459" i="33"/>
  <c r="N65" i="50"/>
  <c r="R67" i="38"/>
  <c r="T140" i="49"/>
  <c r="S87" i="50"/>
  <c r="T60" i="53"/>
  <c r="Z19" i="48"/>
  <c r="Z163" i="49"/>
  <c r="Y248" i="49"/>
  <c r="Y82" i="53"/>
  <c r="AG12" i="51"/>
  <c r="S58" i="53"/>
  <c r="T168" i="49"/>
  <c r="R406" i="33"/>
  <c r="X67" i="53"/>
  <c r="S195" i="39"/>
  <c r="AG30" i="43"/>
  <c r="Y378" i="49"/>
  <c r="L20" i="51"/>
  <c r="AA93" i="50"/>
  <c r="T349" i="49"/>
  <c r="O127" i="49"/>
  <c r="O325" i="49"/>
  <c r="R105" i="38"/>
  <c r="S207" i="37"/>
  <c r="O281" i="49"/>
  <c r="S26" i="40"/>
  <c r="J24" i="9"/>
  <c r="Q26" i="51"/>
  <c r="AB94" i="49"/>
  <c r="O44" i="47"/>
  <c r="F12" i="38"/>
  <c r="E8" i="38"/>
  <c r="C41" i="34"/>
  <c r="C41" i="53"/>
  <c r="AB66" i="47"/>
  <c r="N88" i="49"/>
  <c r="AA368" i="49"/>
  <c r="AF17" i="49"/>
  <c r="S64" i="37"/>
  <c r="O347" i="49"/>
  <c r="N99" i="50"/>
  <c r="R120" i="38"/>
  <c r="S209" i="37"/>
  <c r="X32" i="49"/>
  <c r="AA73" i="47"/>
  <c r="AB33" i="49"/>
  <c r="O6" i="53"/>
  <c r="M8" i="41"/>
  <c r="N36" i="48"/>
  <c r="T50" i="49"/>
  <c r="G7" i="12"/>
  <c r="S210" i="39"/>
  <c r="S188" i="49"/>
  <c r="T172" i="49"/>
  <c r="C28" i="34"/>
  <c r="AB11" i="47"/>
  <c r="AA75" i="49"/>
  <c r="AB35" i="49"/>
  <c r="AB91" i="48"/>
  <c r="S197" i="39"/>
  <c r="T77" i="50"/>
  <c r="AB225" i="49"/>
  <c r="AB7" i="47"/>
  <c r="Z31" i="53"/>
  <c r="N110" i="49"/>
  <c r="J6" i="10"/>
  <c r="Y31" i="50"/>
  <c r="N90" i="49"/>
  <c r="R23" i="33"/>
  <c r="AG104" i="42"/>
  <c r="AA120" i="50"/>
  <c r="AA26" i="49"/>
  <c r="O24" i="53"/>
  <c r="Q295" i="33"/>
  <c r="N87" i="53"/>
  <c r="AB230" i="49"/>
  <c r="G17" i="47"/>
  <c r="Z242" i="49"/>
  <c r="V49" i="51"/>
  <c r="Q172" i="33"/>
  <c r="AF89" i="43"/>
  <c r="O31" i="53"/>
  <c r="N59" i="47"/>
  <c r="R108" i="39"/>
  <c r="D14" i="61" a="1"/>
  <c r="S159" i="38"/>
  <c r="AA48" i="53"/>
  <c r="S135" i="39"/>
  <c r="Y95" i="49"/>
  <c r="R168" i="38"/>
  <c r="L28" i="51"/>
  <c r="AB102" i="50"/>
  <c r="N60" i="53"/>
  <c r="O42" i="47"/>
  <c r="K21" i="43"/>
  <c r="X84" i="48"/>
  <c r="C38" i="34"/>
  <c r="X31" i="51"/>
  <c r="R52" i="33"/>
  <c r="AA45" i="53"/>
  <c r="R243" i="33"/>
  <c r="S227" i="37"/>
  <c r="AG204" i="42"/>
  <c r="E11" i="37"/>
  <c r="AB138" i="49"/>
  <c r="R127" i="39"/>
  <c r="AF233" i="42"/>
  <c r="B12" i="51"/>
  <c r="AB6" i="50"/>
  <c r="AF8" i="42"/>
  <c r="X20" i="49"/>
  <c r="Z5" i="47"/>
  <c r="Q227" i="33"/>
  <c r="S37" i="39"/>
  <c r="D77" i="34"/>
  <c r="J8" i="50"/>
  <c r="N282" i="49"/>
  <c r="S52" i="50"/>
  <c r="W9" i="51"/>
  <c r="O36" i="53"/>
  <c r="N39" i="49"/>
  <c r="AF74" i="42"/>
  <c r="X154" i="49"/>
  <c r="S321" i="49"/>
  <c r="S51" i="49"/>
  <c r="M15" i="33"/>
  <c r="AA78" i="49"/>
  <c r="S367" i="49"/>
  <c r="AF38" i="43"/>
  <c r="Q327" i="33"/>
  <c r="L36" i="51"/>
  <c r="AA3" i="48"/>
  <c r="N84" i="48"/>
  <c r="S83" i="39"/>
  <c r="Z18" i="49"/>
  <c r="R136" i="37"/>
  <c r="S97" i="50"/>
  <c r="R96" i="33"/>
  <c r="F33" i="35"/>
  <c r="N15" i="50"/>
  <c r="J9" i="7"/>
  <c r="Z30" i="47"/>
  <c r="Q223" i="33"/>
  <c r="O43" i="48"/>
  <c r="R374" i="33"/>
  <c r="L4" i="43"/>
  <c r="H19" i="36"/>
  <c r="S337" i="49"/>
  <c r="Z65" i="47"/>
  <c r="F12" i="39"/>
  <c r="R47" i="37"/>
  <c r="D22" i="52"/>
  <c r="Z66" i="49"/>
  <c r="AG122" i="43"/>
  <c r="AA234" i="49"/>
  <c r="T22" i="53"/>
  <c r="AA68" i="49"/>
  <c r="X231" i="49"/>
  <c r="O244" i="49"/>
  <c r="S108" i="49"/>
  <c r="S379" i="49"/>
  <c r="F17" i="39"/>
  <c r="N231" i="49"/>
  <c r="N15" i="53"/>
  <c r="L11" i="51"/>
  <c r="O203" i="49"/>
  <c r="S223" i="39"/>
  <c r="AA376" i="49"/>
  <c r="X55" i="51"/>
  <c r="L4" i="51"/>
  <c r="Z376" i="49"/>
  <c r="O163" i="49"/>
  <c r="AF15" i="51"/>
  <c r="AB34" i="53"/>
  <c r="Z30" i="53"/>
  <c r="O63" i="50"/>
  <c r="O60" i="48"/>
  <c r="S344" i="49"/>
  <c r="X171" i="49"/>
  <c r="Y292" i="49"/>
  <c r="D90" i="34"/>
  <c r="N116" i="50"/>
  <c r="Z77" i="50"/>
  <c r="D7" i="32"/>
  <c r="AG80" i="42"/>
  <c r="Q257" i="33"/>
  <c r="L5" i="59"/>
  <c r="T3" i="42" a="1"/>
  <c r="G9" i="38"/>
  <c r="J28" i="24"/>
  <c r="H17" i="51"/>
  <c r="Z385" i="49"/>
  <c r="AA8" i="47"/>
  <c r="N324" i="49"/>
  <c r="X12" i="50"/>
  <c r="R197" i="39"/>
  <c r="Y170" i="49"/>
  <c r="N115" i="50"/>
  <c r="AA18" i="47"/>
  <c r="Z233" i="49"/>
  <c r="Y3" i="44" a="1"/>
  <c r="N57" i="47"/>
  <c r="Y5" i="51"/>
  <c r="Q12" i="51"/>
  <c r="AG4" i="44"/>
  <c r="AF9" i="43"/>
  <c r="S184" i="37"/>
  <c r="R67" i="33"/>
  <c r="S50" i="37"/>
  <c r="X2" i="16"/>
  <c r="X16" i="48"/>
  <c r="O56" i="47"/>
  <c r="AB60" i="47"/>
  <c r="N35" i="48"/>
  <c r="AF60" i="44"/>
  <c r="AA295" i="49"/>
  <c r="AA15" i="47"/>
  <c r="N54" i="48"/>
  <c r="S67" i="49"/>
  <c r="Q65" i="33"/>
  <c r="Y190" i="49"/>
  <c r="AB389" i="49"/>
  <c r="AG73" i="42"/>
  <c r="AB12" i="50"/>
  <c r="O16" i="53"/>
  <c r="R166" i="38"/>
  <c r="Z96" i="49"/>
  <c r="Q53" i="51"/>
  <c r="AC2" i="49" a="1"/>
  <c r="R122" i="38"/>
  <c r="D14" i="52"/>
  <c r="S79" i="50"/>
  <c r="H45" i="51"/>
  <c r="T10" i="50"/>
  <c r="AB380" i="49"/>
  <c r="S65" i="48"/>
  <c r="N339" i="49"/>
  <c r="AB6" i="48"/>
  <c r="R41" i="38"/>
  <c r="O78" i="49"/>
  <c r="AA90" i="49"/>
  <c r="Y339" i="49"/>
  <c r="Q54" i="51"/>
  <c r="X389" i="49"/>
  <c r="T42" i="53"/>
  <c r="AG42" i="44"/>
  <c r="S15" i="49"/>
  <c r="G64" i="34"/>
  <c r="S12" i="39"/>
  <c r="T62" i="48"/>
  <c r="M15" i="61"/>
  <c r="S22" i="39"/>
  <c r="T147" i="49"/>
  <c r="X166" i="49"/>
  <c r="S62" i="48"/>
  <c r="AB180" i="49"/>
  <c r="S218" i="39"/>
  <c r="X32" i="50"/>
  <c r="O93" i="50"/>
  <c r="R259" i="39"/>
  <c r="Z333" i="49"/>
  <c r="AF68" i="42"/>
  <c r="S70" i="53"/>
  <c r="B80" i="34"/>
  <c r="R69" i="38"/>
  <c r="Q230" i="33"/>
  <c r="AG20" i="43"/>
  <c r="N81" i="50"/>
  <c r="AG33" i="42"/>
  <c r="H11" i="38"/>
  <c r="O53" i="47"/>
  <c r="N39" i="47"/>
  <c r="S73" i="49"/>
  <c r="R59" i="33"/>
  <c r="Q43" i="33"/>
  <c r="Y143" i="49"/>
  <c r="S103" i="50"/>
  <c r="S71" i="50"/>
  <c r="S26" i="39"/>
  <c r="N15" i="37"/>
  <c r="X15" i="49"/>
  <c r="AB46" i="53"/>
  <c r="S144" i="38"/>
  <c r="O139" i="49"/>
  <c r="T28" i="47"/>
  <c r="C48" i="53"/>
  <c r="AA277" i="49"/>
  <c r="N74" i="49"/>
  <c r="F6" i="38"/>
  <c r="N80" i="48"/>
  <c r="Y299" i="49"/>
  <c r="AB276" i="49"/>
  <c r="N50" i="53"/>
  <c r="T79" i="53"/>
  <c r="AG194" i="42"/>
  <c r="S158" i="49"/>
  <c r="Y35" i="47"/>
  <c r="Q200" i="33"/>
  <c r="AF50" i="44"/>
  <c r="X225" i="49"/>
  <c r="E14" i="37"/>
  <c r="N239" i="49"/>
  <c r="Z9" i="53"/>
  <c r="Y19" i="50"/>
  <c r="S3" i="50"/>
  <c r="T150" i="49"/>
  <c r="R96" i="39"/>
  <c r="Z87" i="48"/>
  <c r="R200" i="39"/>
  <c r="L24" i="43"/>
  <c r="H34" i="51"/>
  <c r="L5" i="44"/>
  <c r="C31" i="50"/>
  <c r="T284" i="49"/>
  <c r="Q130" i="33"/>
  <c r="G41" i="24"/>
  <c r="R180" i="39"/>
  <c r="AA261" i="49"/>
  <c r="R82" i="39"/>
  <c r="D19" i="34"/>
  <c r="X26" i="50"/>
  <c r="Z97" i="50"/>
  <c r="G18" i="24"/>
  <c r="Y28" i="48"/>
  <c r="J21" i="35"/>
  <c r="G10" i="49"/>
  <c r="N62" i="50"/>
  <c r="S171" i="37"/>
  <c r="T264" i="49"/>
  <c r="S118" i="37"/>
  <c r="Z3" i="48"/>
  <c r="AA51" i="49"/>
  <c r="AA364" i="49"/>
  <c r="S47" i="37"/>
  <c r="D36" i="52"/>
  <c r="R7" i="39"/>
  <c r="B129" i="34"/>
  <c r="S126" i="49"/>
  <c r="T219" i="49"/>
  <c r="B22" i="34"/>
  <c r="O341" i="49"/>
  <c r="T142" i="49"/>
  <c r="S233" i="38"/>
  <c r="AG209" i="42"/>
  <c r="AA8" i="50"/>
  <c r="S29" i="47"/>
  <c r="R88" i="37"/>
  <c r="AG38" i="44"/>
  <c r="X151" i="49"/>
  <c r="Z74" i="50"/>
  <c r="Z384" i="49"/>
  <c r="AA345" i="49"/>
  <c r="J7" i="50"/>
  <c r="R160" i="37"/>
  <c r="T341" i="49"/>
  <c r="I19" i="39"/>
  <c r="C81" i="34"/>
  <c r="AK3" i="34"/>
  <c r="R74" i="33"/>
  <c r="D41" i="34"/>
  <c r="R364" i="33"/>
  <c r="G6" i="24"/>
  <c r="S139" i="38"/>
  <c r="Y44" i="47"/>
  <c r="H8" i="37"/>
  <c r="C52" i="52"/>
  <c r="Z44" i="53"/>
  <c r="Q238" i="33"/>
  <c r="S229" i="37"/>
  <c r="Z178" i="49"/>
  <c r="N133" i="49"/>
  <c r="R218" i="33"/>
  <c r="O148" i="49"/>
  <c r="N119" i="49"/>
  <c r="R44" i="33"/>
  <c r="R57" i="33"/>
  <c r="Q119" i="33"/>
  <c r="N110" i="50"/>
  <c r="R168" i="33"/>
  <c r="R116" i="38"/>
  <c r="H9" i="37"/>
  <c r="Z241" i="49"/>
  <c r="S143" i="49"/>
  <c r="AB39" i="47"/>
  <c r="AF104" i="43"/>
  <c r="AA349" i="49"/>
  <c r="J33" i="10"/>
  <c r="H53" i="51"/>
  <c r="T29" i="40"/>
  <c r="T8" i="40"/>
  <c r="X89" i="53"/>
  <c r="F20" i="35"/>
  <c r="X347" i="49"/>
  <c r="X5" i="49"/>
  <c r="N61" i="47"/>
  <c r="AA118" i="49"/>
  <c r="Z86" i="50"/>
  <c r="Z100" i="50"/>
  <c r="AB260" i="49"/>
  <c r="N49" i="50"/>
  <c r="Y373" i="49"/>
  <c r="AB143" i="49"/>
  <c r="Y70" i="48"/>
  <c r="S261" i="49"/>
  <c r="S44" i="49"/>
  <c r="N19" i="50"/>
  <c r="AA266" i="49"/>
  <c r="AA56" i="47"/>
  <c r="AA22" i="47"/>
  <c r="O18" i="48"/>
  <c r="S56" i="53"/>
  <c r="AF256" i="42"/>
  <c r="S149" i="39"/>
  <c r="S236" i="49"/>
  <c r="S308" i="49"/>
  <c r="W33" i="51"/>
  <c r="X346" i="49"/>
  <c r="J10" i="24"/>
  <c r="S298" i="49"/>
  <c r="Y83" i="50"/>
  <c r="O202" i="49"/>
  <c r="AG94" i="43"/>
  <c r="O45" i="47"/>
  <c r="R240" i="39"/>
  <c r="L24" i="51"/>
  <c r="S30" i="39"/>
  <c r="L32" i="51"/>
  <c r="D97" i="34"/>
  <c r="Y35" i="48"/>
  <c r="S2" i="59"/>
  <c r="R118" i="39"/>
  <c r="R242" i="33"/>
  <c r="X64" i="53"/>
  <c r="T337" i="49"/>
  <c r="T13" i="53"/>
  <c r="AA104" i="50"/>
  <c r="N121" i="50"/>
  <c r="X29" i="50"/>
  <c r="S38" i="38"/>
  <c r="Y147" i="49"/>
  <c r="O330" i="49"/>
  <c r="T198" i="49"/>
  <c r="Z17" i="47"/>
  <c r="N43" i="47"/>
  <c r="AF115" i="42"/>
  <c r="AF94" i="43"/>
  <c r="N309" i="49"/>
  <c r="AB238" i="49"/>
  <c r="R202" i="38"/>
  <c r="F18" i="45"/>
  <c r="AA46" i="48"/>
  <c r="Q482" i="33"/>
  <c r="AA241" i="49"/>
  <c r="W4" i="51"/>
  <c r="F1" i="58"/>
  <c r="O356" i="49"/>
  <c r="S73" i="38"/>
  <c r="T66" i="47"/>
  <c r="X30" i="51"/>
  <c r="S205" i="39"/>
  <c r="S108" i="38"/>
  <c r="AA116" i="50"/>
  <c r="S14" i="48"/>
  <c r="AB185" i="49"/>
  <c r="S350" i="49"/>
  <c r="AA386" i="49"/>
  <c r="Y51" i="48"/>
  <c r="R289" i="33"/>
  <c r="AF21" i="48"/>
  <c r="N150" i="49"/>
  <c r="X10" i="49"/>
  <c r="X230" i="49"/>
  <c r="Z64" i="47"/>
  <c r="M20" i="41"/>
  <c r="O192" i="49"/>
  <c r="R387" i="33"/>
  <c r="I3" i="59"/>
  <c r="C103" i="34"/>
  <c r="O373" i="49"/>
  <c r="AB97" i="50"/>
  <c r="R251" i="38"/>
  <c r="X59" i="53"/>
  <c r="D93" i="34"/>
  <c r="Z68" i="48"/>
  <c r="T112" i="50"/>
  <c r="Y21" i="49"/>
  <c r="T213" i="49"/>
  <c r="AF10" i="43"/>
  <c r="O375" i="49"/>
  <c r="AA87" i="48"/>
  <c r="AF211" i="42"/>
  <c r="N20" i="48"/>
  <c r="T290" i="49"/>
  <c r="Q251" i="33"/>
  <c r="AB48" i="49"/>
  <c r="S79" i="47"/>
  <c r="AB58" i="48"/>
  <c r="J343" i="49"/>
  <c r="AF83" i="42"/>
  <c r="Q442" i="33"/>
  <c r="J44" i="49"/>
  <c r="R169" i="39"/>
  <c r="B117" i="34"/>
  <c r="Z53" i="48"/>
  <c r="R90" i="38"/>
  <c r="H41" i="51"/>
  <c r="AG41" i="43"/>
  <c r="O80" i="50"/>
  <c r="AA77" i="53"/>
  <c r="X243" i="49"/>
  <c r="X335" i="49"/>
  <c r="Y74" i="49"/>
  <c r="C111" i="34"/>
  <c r="X135" i="49"/>
  <c r="X59" i="50"/>
  <c r="Q42" i="33"/>
  <c r="X313" i="49"/>
  <c r="AA50" i="47"/>
  <c r="AB15" i="50"/>
  <c r="X26" i="47"/>
  <c r="O90" i="50"/>
  <c r="G23" i="24"/>
  <c r="AF40" i="43"/>
  <c r="N13" i="38"/>
  <c r="Y96" i="50"/>
  <c r="R228" i="33"/>
  <c r="N63" i="50"/>
  <c r="V21" i="51"/>
  <c r="N161" i="49"/>
  <c r="T117" i="50"/>
  <c r="E18" i="39"/>
  <c r="X3" i="61"/>
  <c r="R181" i="33"/>
  <c r="AA76" i="49"/>
  <c r="Y92" i="48"/>
  <c r="O380" i="49"/>
  <c r="S244" i="49"/>
  <c r="AB70" i="49"/>
  <c r="R494" i="33"/>
  <c r="Z259" i="49"/>
  <c r="S78" i="48"/>
  <c r="N12" i="51"/>
  <c r="AB87" i="53"/>
  <c r="R149" i="39"/>
  <c r="X27" i="47"/>
  <c r="X31" i="49"/>
  <c r="J14" i="38"/>
  <c r="R80" i="37"/>
  <c r="N105" i="49"/>
  <c r="S187" i="38"/>
  <c r="R134" i="38"/>
  <c r="S299" i="49"/>
  <c r="Q444" i="33"/>
  <c r="N122" i="50"/>
  <c r="T84" i="48"/>
  <c r="S110" i="38"/>
  <c r="R42" i="38"/>
  <c r="Z37" i="51"/>
  <c r="M11" i="51"/>
  <c r="AB19" i="53"/>
  <c r="AA76" i="50"/>
  <c r="AG34" i="42"/>
  <c r="AA39" i="49"/>
  <c r="AA181" i="49"/>
  <c r="Y74" i="50"/>
  <c r="T9" i="48"/>
  <c r="AG66" i="42"/>
  <c r="AA193" i="49"/>
  <c r="S106" i="37"/>
  <c r="S64" i="53"/>
  <c r="N89" i="48"/>
  <c r="S48" i="37"/>
  <c r="W47" i="51"/>
  <c r="S4" i="48"/>
  <c r="T72" i="49"/>
  <c r="AA6" i="47"/>
  <c r="AF21" i="42"/>
  <c r="AF13" i="43"/>
  <c r="AF8" i="43"/>
  <c r="AG75" i="42"/>
  <c r="AB16" i="47"/>
  <c r="Y336" i="49"/>
  <c r="S170" i="39"/>
  <c r="N20" i="39"/>
  <c r="B25" i="51"/>
  <c r="J5" i="53"/>
  <c r="Z45" i="53"/>
  <c r="R129" i="33"/>
  <c r="AB17" i="49"/>
  <c r="AF185" i="42"/>
  <c r="AG64" i="43"/>
  <c r="N61" i="49"/>
  <c r="AB73" i="53"/>
  <c r="L30" i="51"/>
  <c r="Z14" i="47"/>
  <c r="R372" i="33"/>
  <c r="R277" i="33"/>
  <c r="Z293" i="49"/>
  <c r="X98" i="49"/>
  <c r="Y40" i="49"/>
  <c r="S69" i="48"/>
  <c r="R240" i="33"/>
  <c r="X218" i="49"/>
  <c r="X259" i="49"/>
  <c r="R476" i="33"/>
  <c r="Y280" i="49"/>
  <c r="AG120" i="43"/>
  <c r="S51" i="47"/>
  <c r="T228" i="49"/>
  <c r="J12" i="49"/>
  <c r="Y77" i="49"/>
  <c r="C55" i="34"/>
  <c r="S13" i="49"/>
  <c r="S79" i="38"/>
  <c r="Q265" i="33"/>
  <c r="R229" i="38"/>
  <c r="O70" i="53"/>
  <c r="F16" i="45"/>
  <c r="V24" i="51"/>
  <c r="O66" i="47"/>
  <c r="AA17" i="48"/>
  <c r="N111" i="49"/>
  <c r="N13" i="48"/>
  <c r="Z41" i="48"/>
  <c r="O63" i="48"/>
  <c r="Y95" i="50"/>
  <c r="S10" i="48"/>
  <c r="H3" i="54"/>
  <c r="T289" i="49"/>
  <c r="T39" i="49"/>
  <c r="E16" i="41"/>
  <c r="R187" i="37"/>
  <c r="S364" i="49"/>
  <c r="J37" i="48"/>
  <c r="AB38" i="48"/>
  <c r="X13" i="50"/>
  <c r="N29" i="48"/>
  <c r="AA216" i="49"/>
  <c r="Y168" i="49"/>
  <c r="S45" i="48"/>
  <c r="T31" i="53"/>
  <c r="Y66" i="50"/>
  <c r="AA40" i="48"/>
  <c r="T316" i="49"/>
  <c r="G7" i="45"/>
  <c r="S106" i="49"/>
  <c r="S233" i="37"/>
  <c r="N48" i="48"/>
  <c r="O198" i="49"/>
  <c r="R87" i="37"/>
  <c r="Q339" i="33"/>
  <c r="X2" i="17"/>
  <c r="O13" i="49"/>
  <c r="J19" i="48"/>
  <c r="R16" i="51"/>
  <c r="AG162" i="42"/>
  <c r="AG17" i="51"/>
  <c r="AA239" i="49"/>
  <c r="Y32" i="48"/>
  <c r="J19" i="9"/>
  <c r="S12" i="48"/>
  <c r="O23" i="53"/>
  <c r="X14" i="48"/>
  <c r="F13" i="39"/>
  <c r="R340" i="33"/>
  <c r="X268" i="49"/>
  <c r="AF23" i="51"/>
  <c r="H4" i="44"/>
  <c r="S30" i="50"/>
  <c r="AG56" i="43"/>
  <c r="Q463" i="33"/>
  <c r="S199" i="49"/>
  <c r="K6" i="42"/>
  <c r="Q426" i="33"/>
  <c r="AG16" i="51"/>
  <c r="Q3" i="40"/>
  <c r="Y32" i="47"/>
  <c r="G16" i="47"/>
  <c r="V37" i="51"/>
  <c r="Y26" i="53"/>
  <c r="V14" i="51"/>
  <c r="AG20" i="42"/>
  <c r="O79" i="48"/>
  <c r="Y21" i="50"/>
  <c r="T27" i="53"/>
  <c r="AB119" i="49"/>
  <c r="O58" i="48"/>
  <c r="R37" i="51"/>
  <c r="R246" i="33"/>
  <c r="X50" i="47"/>
  <c r="R16" i="33"/>
  <c r="S53" i="53"/>
  <c r="G11" i="47"/>
  <c r="R335" i="33"/>
  <c r="R42" i="51"/>
  <c r="Y23" i="49"/>
  <c r="T126" i="49"/>
  <c r="AF12" i="48"/>
  <c r="AF78" i="42"/>
  <c r="AB28" i="50"/>
  <c r="S46" i="50"/>
  <c r="X46" i="47"/>
  <c r="AB82" i="49"/>
  <c r="R184" i="33"/>
  <c r="AB27" i="49"/>
  <c r="T67" i="50"/>
  <c r="F4" i="38"/>
  <c r="T78" i="53"/>
  <c r="AG131" i="43"/>
  <c r="T41" i="53"/>
  <c r="AC19" i="45"/>
  <c r="R139" i="38"/>
  <c r="Q47" i="33"/>
  <c r="R162" i="38"/>
  <c r="AB38" i="49"/>
  <c r="U5" i="40"/>
  <c r="Z9" i="49"/>
  <c r="S82" i="48"/>
  <c r="Y367" i="49"/>
  <c r="AB43" i="50"/>
  <c r="M56" i="51"/>
  <c r="J31" i="7"/>
  <c r="Y45" i="48"/>
  <c r="O63" i="53"/>
  <c r="O26" i="50"/>
  <c r="T376" i="49"/>
  <c r="AB23" i="53"/>
  <c r="X24" i="50"/>
  <c r="O112" i="49"/>
  <c r="L16" i="44"/>
  <c r="S158" i="38"/>
  <c r="S3" i="49"/>
  <c r="N256" i="49"/>
  <c r="Z40" i="50"/>
  <c r="T18" i="49"/>
  <c r="T301" i="49"/>
  <c r="N44" i="50"/>
  <c r="Y376" i="49"/>
  <c r="S176" i="39"/>
  <c r="T31" i="50"/>
  <c r="Q306" i="33"/>
  <c r="G88" i="34"/>
  <c r="S306" i="49"/>
  <c r="S67" i="47"/>
  <c r="R262" i="38"/>
  <c r="S199" i="37"/>
  <c r="S36" i="53"/>
  <c r="X78" i="53"/>
  <c r="X78" i="48"/>
  <c r="Z43" i="53"/>
  <c r="R56" i="38"/>
  <c r="I12" i="39"/>
  <c r="E21" i="38"/>
  <c r="AB351" i="49"/>
  <c r="R84" i="38"/>
  <c r="S194" i="37"/>
  <c r="X376" i="49"/>
  <c r="AB155" i="49"/>
  <c r="AG114" i="42"/>
  <c r="T36" i="48"/>
  <c r="R29" i="51"/>
  <c r="N250" i="49"/>
  <c r="AA354" i="49"/>
  <c r="R82" i="33"/>
  <c r="O27" i="50"/>
  <c r="AB186" i="49"/>
  <c r="D31" i="34"/>
  <c r="Q334" i="33"/>
  <c r="AF126" i="42"/>
  <c r="T276" i="49"/>
  <c r="O65" i="47"/>
  <c r="X150" i="49"/>
  <c r="O274" i="49"/>
  <c r="C32" i="34"/>
  <c r="R247" i="38"/>
  <c r="S72" i="53"/>
  <c r="R61" i="39"/>
  <c r="N15" i="59"/>
  <c r="T39" i="47"/>
  <c r="AA44" i="47"/>
  <c r="AA73" i="50"/>
  <c r="S132" i="49"/>
  <c r="N65" i="49"/>
  <c r="Y14" i="51"/>
  <c r="AB53" i="53"/>
  <c r="AB18" i="49"/>
  <c r="AF21" i="44"/>
  <c r="S105" i="38"/>
  <c r="Q31" i="33"/>
  <c r="S107" i="38"/>
  <c r="E15" i="44"/>
  <c r="AA31" i="48"/>
  <c r="S164" i="38"/>
  <c r="N47" i="47"/>
  <c r="N21" i="38"/>
  <c r="T62" i="49"/>
  <c r="R233" i="38"/>
  <c r="T77" i="49"/>
  <c r="T3" i="49"/>
  <c r="S202" i="38"/>
  <c r="Y100" i="50"/>
  <c r="J28" i="50"/>
  <c r="AA296" i="49"/>
  <c r="M5" i="41"/>
  <c r="R402" i="33"/>
  <c r="L17" i="43"/>
  <c r="AA53" i="53"/>
  <c r="J12" i="48"/>
  <c r="S76" i="47"/>
  <c r="S27" i="40"/>
  <c r="X75" i="49"/>
  <c r="AF7" i="42"/>
  <c r="Y108" i="49"/>
  <c r="D2" i="5"/>
  <c r="AB38" i="53"/>
  <c r="AF70" i="42"/>
  <c r="AF19" i="44"/>
  <c r="B46" i="34"/>
  <c r="R28" i="33"/>
  <c r="AA64" i="53"/>
  <c r="AB32" i="53"/>
  <c r="N64" i="49"/>
  <c r="S217" i="38"/>
  <c r="Q153" i="33"/>
  <c r="AB9" i="53"/>
  <c r="O46" i="53"/>
  <c r="Q396" i="33"/>
  <c r="R227" i="33"/>
  <c r="R110" i="33"/>
  <c r="Q366" i="33"/>
  <c r="Q158" i="33"/>
  <c r="O236" i="49"/>
  <c r="L43" i="51"/>
  <c r="S40" i="39"/>
  <c r="AB386" i="49"/>
  <c r="J25" i="7"/>
  <c r="AA85" i="49"/>
  <c r="Q5" i="40"/>
  <c r="T202" i="49"/>
  <c r="S246" i="49"/>
  <c r="AA53" i="49"/>
  <c r="Q216" i="33"/>
  <c r="N12" i="48"/>
  <c r="Y8" i="48"/>
  <c r="AA12" i="53"/>
  <c r="Y39" i="47"/>
  <c r="AA131" i="49"/>
  <c r="Q282" i="33"/>
  <c r="U3" i="51" a="1"/>
  <c r="AA149" i="49"/>
  <c r="T38" i="53"/>
  <c r="AF14" i="50"/>
  <c r="J36" i="35"/>
  <c r="V51" i="51"/>
  <c r="S23" i="53"/>
  <c r="Q88" i="33"/>
  <c r="AA136" i="49"/>
  <c r="AB18" i="48"/>
  <c r="Z68" i="47"/>
  <c r="AG72" i="42"/>
  <c r="O59" i="49"/>
  <c r="H29" i="51"/>
  <c r="S10" i="39"/>
  <c r="S86" i="49"/>
  <c r="T25" i="50"/>
  <c r="AA97" i="50"/>
  <c r="T69" i="49"/>
  <c r="C95" i="34"/>
  <c r="AA198" i="49"/>
  <c r="AB338" i="49"/>
  <c r="T207" i="49"/>
  <c r="N34" i="53"/>
  <c r="D52" i="34"/>
  <c r="I6" i="25"/>
  <c r="M16" i="41"/>
  <c r="S46" i="39"/>
  <c r="R186" i="37"/>
  <c r="AA204" i="49"/>
  <c r="Y33" i="49"/>
  <c r="S110" i="50"/>
  <c r="T9" i="49"/>
  <c r="Y62" i="50"/>
  <c r="X281" i="49"/>
  <c r="Y24" i="53"/>
  <c r="X53" i="51"/>
  <c r="X45" i="47"/>
  <c r="D16" i="51"/>
  <c r="Z18" i="47"/>
  <c r="Q42" i="51"/>
  <c r="Y89" i="49"/>
  <c r="M24" i="51"/>
  <c r="AB134" i="49"/>
  <c r="AB18" i="53"/>
  <c r="Y17" i="53"/>
  <c r="S249" i="37"/>
  <c r="Y61" i="48"/>
  <c r="Y279" i="49"/>
  <c r="AA66" i="53"/>
  <c r="D24" i="41"/>
  <c r="N49" i="53"/>
  <c r="R84" i="33"/>
  <c r="Z143" i="49"/>
  <c r="S62" i="37"/>
  <c r="B114" i="34"/>
  <c r="N67" i="53"/>
  <c r="AA83" i="48"/>
  <c r="S53" i="39"/>
  <c r="AF76" i="43"/>
  <c r="AB114" i="49"/>
  <c r="N170" i="49"/>
  <c r="E20" i="42"/>
  <c r="X189" i="49"/>
  <c r="S139" i="37"/>
  <c r="V22" i="51"/>
  <c r="S44" i="38"/>
  <c r="O4" i="12"/>
  <c r="AB333" i="49"/>
  <c r="AG33" i="43"/>
  <c r="T66" i="48"/>
  <c r="X24" i="51"/>
  <c r="O299" i="49"/>
  <c r="N317" i="49"/>
  <c r="R158" i="37"/>
  <c r="R125" i="37"/>
  <c r="AA14" i="49"/>
  <c r="Y254" i="49"/>
  <c r="AB200" i="49"/>
  <c r="Y132" i="49"/>
  <c r="Y210" i="49"/>
  <c r="Z168" i="49"/>
  <c r="N123" i="49"/>
  <c r="N274" i="49"/>
  <c r="S254" i="49"/>
  <c r="B24" i="34"/>
  <c r="Y52" i="50"/>
  <c r="J6" i="24"/>
  <c r="R235" i="37"/>
  <c r="U3" i="44" a="1"/>
  <c r="J58" i="50"/>
  <c r="W40" i="51"/>
  <c r="S346" i="49"/>
  <c r="O378" i="49"/>
  <c r="AF34" i="43"/>
  <c r="T72" i="47"/>
  <c r="S324" i="49"/>
  <c r="N13" i="53"/>
  <c r="V15" i="51"/>
  <c r="S197" i="49"/>
  <c r="S193" i="38"/>
  <c r="S203" i="39"/>
  <c r="B93" i="34"/>
  <c r="S77" i="49"/>
  <c r="Z34" i="50"/>
  <c r="D122" i="34"/>
  <c r="Q473" i="33"/>
  <c r="Y13" i="42" a="1"/>
  <c r="U5" i="61"/>
  <c r="O69" i="47"/>
  <c r="AA72" i="53"/>
  <c r="AB295" i="49"/>
  <c r="N90" i="48"/>
  <c r="Z52" i="47"/>
  <c r="Y172" i="49"/>
  <c r="AA17" i="47"/>
  <c r="AB26" i="50"/>
  <c r="AG37" i="42"/>
  <c r="AB76" i="47"/>
  <c r="Y74" i="53"/>
  <c r="E19" i="59"/>
  <c r="K12" i="33"/>
  <c r="G50" i="34"/>
  <c r="Z75" i="53"/>
  <c r="AB112" i="50"/>
  <c r="Y50" i="47"/>
  <c r="AG71" i="43"/>
  <c r="R250" i="33"/>
  <c r="T44" i="53"/>
  <c r="O24" i="48"/>
  <c r="AG237" i="42"/>
  <c r="AB300" i="49"/>
  <c r="L31" i="51"/>
  <c r="Z320" i="49"/>
  <c r="S122" i="39"/>
  <c r="Q268" i="33"/>
  <c r="T377" i="49"/>
  <c r="Q365" i="33"/>
  <c r="C45" i="53"/>
  <c r="Y35" i="51"/>
  <c r="R83" i="39"/>
  <c r="N95" i="50"/>
  <c r="AA384" i="49"/>
  <c r="Q39" i="51"/>
  <c r="S88" i="53"/>
  <c r="AA89" i="48"/>
  <c r="Z81" i="53"/>
  <c r="Q57" i="51"/>
  <c r="R119" i="37"/>
  <c r="S3" i="47"/>
  <c r="X41" i="50"/>
  <c r="R160" i="33"/>
  <c r="G8" i="39"/>
  <c r="AB26" i="49"/>
  <c r="S129" i="39"/>
  <c r="Y71" i="47"/>
  <c r="D8" i="34"/>
  <c r="Y199" i="49"/>
  <c r="R425" i="33"/>
  <c r="Y216" i="49"/>
  <c r="G42" i="24"/>
  <c r="J28" i="7"/>
  <c r="T40" i="50"/>
  <c r="Z105" i="49"/>
  <c r="S26" i="53"/>
  <c r="R233" i="33"/>
  <c r="S121" i="50"/>
  <c r="O39" i="48"/>
  <c r="U9" i="45" a="1"/>
  <c r="Z34" i="49"/>
  <c r="N313" i="49"/>
  <c r="Y15" i="53"/>
  <c r="T247" i="49"/>
  <c r="X88" i="48"/>
  <c r="AA33" i="49"/>
  <c r="S261" i="39"/>
  <c r="Q56" i="51"/>
  <c r="T332" i="49"/>
  <c r="Q214" i="33"/>
  <c r="T79" i="49"/>
  <c r="S47" i="47"/>
  <c r="O369" i="49"/>
  <c r="O60" i="50"/>
  <c r="AA19" i="53"/>
  <c r="N4" i="37"/>
  <c r="Z71" i="47"/>
  <c r="AB56" i="47"/>
  <c r="J40" i="49"/>
  <c r="S37" i="50"/>
  <c r="AG119" i="42"/>
  <c r="R111" i="33"/>
  <c r="J8" i="11"/>
  <c r="R49" i="37"/>
  <c r="T21" i="50"/>
  <c r="J23" i="10"/>
  <c r="AB311" i="49"/>
  <c r="AG47" i="44"/>
  <c r="R9" i="51"/>
  <c r="X207" i="49"/>
  <c r="R41" i="37"/>
  <c r="H9" i="51"/>
  <c r="O256" i="49"/>
  <c r="D14" i="59"/>
  <c r="Q394" i="33"/>
  <c r="N66" i="48"/>
  <c r="O254" i="49"/>
  <c r="O196" i="49"/>
  <c r="Q170" i="33"/>
  <c r="O205" i="49"/>
  <c r="S88" i="39"/>
  <c r="R23" i="38"/>
  <c r="Y65" i="47"/>
  <c r="L6" i="51"/>
  <c r="S198" i="49"/>
  <c r="AA69" i="50"/>
  <c r="AA48" i="48"/>
  <c r="J14" i="9"/>
  <c r="S278" i="49"/>
  <c r="AS3" i="34"/>
  <c r="Q51" i="33"/>
  <c r="J22" i="53"/>
  <c r="Y28" i="50"/>
  <c r="X221" i="49"/>
  <c r="AA73" i="49"/>
  <c r="J2" i="35"/>
  <c r="Y33" i="53"/>
  <c r="Q144" i="33"/>
  <c r="S170" i="49"/>
  <c r="Y55" i="53"/>
  <c r="R502" i="33"/>
  <c r="T372" i="49"/>
  <c r="N82" i="53"/>
  <c r="R145" i="38"/>
  <c r="N100" i="49"/>
  <c r="N3" i="37"/>
  <c r="S204" i="38"/>
  <c r="C18" i="51"/>
  <c r="O126" i="49"/>
  <c r="AB58" i="47"/>
  <c r="Q55" i="51"/>
  <c r="S44" i="53"/>
  <c r="X61" i="53"/>
  <c r="AG242" i="42"/>
  <c r="T24" i="48"/>
  <c r="AB242" i="49"/>
  <c r="AF22" i="49"/>
  <c r="O27" i="53"/>
  <c r="AB49" i="50"/>
  <c r="AB256" i="49"/>
  <c r="AG65" i="43"/>
  <c r="N56" i="47"/>
  <c r="Z224" i="49"/>
  <c r="W24" i="51"/>
  <c r="G7" i="38"/>
  <c r="T365" i="49"/>
  <c r="R382" i="33"/>
  <c r="E25" i="41"/>
  <c r="L57" i="51"/>
  <c r="S29" i="40"/>
  <c r="S349" i="49"/>
  <c r="X54" i="49"/>
  <c r="D128" i="34"/>
  <c r="Z278" i="49"/>
  <c r="AB306" i="49"/>
  <c r="Q355" i="33"/>
  <c r="R416" i="33"/>
  <c r="G25" i="34"/>
  <c r="R22" i="51"/>
  <c r="T4" i="53"/>
  <c r="S211" i="49"/>
  <c r="AB220" i="49"/>
  <c r="AG19" i="51"/>
  <c r="Z141" i="49"/>
  <c r="N13" i="59"/>
  <c r="J7" i="49"/>
  <c r="AF154" i="42"/>
  <c r="H7" i="45"/>
  <c r="AA366" i="49"/>
  <c r="Y35" i="53"/>
  <c r="N287" i="49"/>
  <c r="AB224" i="49"/>
  <c r="X114" i="49"/>
  <c r="X6" i="53"/>
  <c r="S171" i="49"/>
  <c r="I23" i="52"/>
  <c r="AG176" i="42"/>
  <c r="M43" i="51"/>
  <c r="R29" i="38"/>
  <c r="Q73" i="33"/>
  <c r="R324" i="33"/>
  <c r="AB4" i="48"/>
  <c r="Y18" i="50"/>
  <c r="J7" i="8"/>
  <c r="S66" i="39"/>
  <c r="AA145" i="49"/>
  <c r="D18" i="36"/>
  <c r="O64" i="49"/>
  <c r="S271" i="49"/>
  <c r="O76" i="49"/>
  <c r="N46" i="47"/>
  <c r="AB8" i="49"/>
  <c r="R376" i="33"/>
  <c r="N217" i="49"/>
  <c r="T373" i="49"/>
  <c r="T267" i="49"/>
  <c r="S23" i="50"/>
  <c r="S226" i="49"/>
  <c r="T53" i="53"/>
  <c r="D37" i="34"/>
  <c r="R504" i="33"/>
  <c r="Z67" i="48"/>
  <c r="O38" i="50"/>
  <c r="B13" i="34"/>
  <c r="S164" i="39"/>
  <c r="Y34" i="49"/>
  <c r="R38" i="33"/>
  <c r="X122" i="49"/>
  <c r="O208" i="49"/>
  <c r="O224" i="49"/>
  <c r="S222" i="37"/>
  <c r="AG11" i="44"/>
  <c r="BC2" i="34"/>
  <c r="G59" i="34"/>
  <c r="S211" i="38"/>
  <c r="J24" i="53"/>
  <c r="H51" i="51"/>
  <c r="AA96" i="50"/>
  <c r="X332" i="49"/>
  <c r="X45" i="53"/>
  <c r="G5" i="43"/>
  <c r="AA11" i="50"/>
  <c r="O56" i="50"/>
  <c r="AA23" i="48"/>
  <c r="Z84" i="48"/>
  <c r="Y135" i="49"/>
  <c r="Z15" i="50"/>
  <c r="X348" i="49"/>
  <c r="S52" i="48"/>
  <c r="Z67" i="49"/>
  <c r="C51" i="59"/>
  <c r="Z53" i="51"/>
  <c r="AB95" i="50"/>
  <c r="S78" i="50"/>
  <c r="T382" i="49"/>
  <c r="S17" i="50"/>
  <c r="AB104" i="50"/>
  <c r="M14" i="41"/>
  <c r="R108" i="38"/>
  <c r="S118" i="49"/>
  <c r="O314" i="49"/>
  <c r="AC5" i="45"/>
  <c r="N160" i="49"/>
  <c r="T16" i="48"/>
  <c r="X25" i="48"/>
  <c r="N19" i="39"/>
  <c r="Y8" i="47"/>
  <c r="N215" i="49"/>
  <c r="T120" i="49"/>
  <c r="N65" i="47"/>
  <c r="Z71" i="49"/>
  <c r="M3" i="40"/>
  <c r="AF18" i="42"/>
  <c r="C36" i="50"/>
  <c r="I7" i="38"/>
  <c r="Z42" i="50"/>
  <c r="O81" i="50"/>
  <c r="Y60" i="53"/>
  <c r="Z92" i="48"/>
  <c r="N68" i="47"/>
  <c r="AA72" i="50"/>
  <c r="AF61" i="43"/>
  <c r="N191" i="49"/>
  <c r="S83" i="38"/>
  <c r="Y32" i="50"/>
  <c r="AG220" i="42"/>
  <c r="X317" i="49"/>
  <c r="AC24" i="45"/>
  <c r="R17" i="39"/>
  <c r="AB152" i="49"/>
  <c r="L8" i="40"/>
  <c r="S142" i="38"/>
  <c r="T7" i="40"/>
  <c r="G15" i="39"/>
  <c r="Y144" i="49"/>
  <c r="R162" i="39"/>
  <c r="O23" i="49"/>
  <c r="J17" i="7"/>
  <c r="Z39" i="48"/>
  <c r="X210" i="49"/>
  <c r="S81" i="49"/>
  <c r="T378" i="49"/>
  <c r="S28" i="49"/>
  <c r="S179" i="39"/>
  <c r="AF15" i="43"/>
  <c r="R141" i="33"/>
  <c r="T114" i="50"/>
  <c r="Y15" i="49"/>
  <c r="O354" i="49"/>
  <c r="R194" i="38"/>
  <c r="R100" i="39"/>
  <c r="AG48" i="42"/>
  <c r="AG218" i="42"/>
  <c r="X74" i="49"/>
  <c r="O124" i="50"/>
  <c r="AA153" i="49"/>
  <c r="Z75" i="47"/>
  <c r="S151" i="37"/>
  <c r="AF129" i="43"/>
  <c r="AI16" i="49"/>
  <c r="R408" i="33"/>
  <c r="AA74" i="50"/>
  <c r="AG8" i="44"/>
  <c r="R431" i="33"/>
  <c r="AA76" i="53"/>
  <c r="AG149" i="42"/>
  <c r="S196" i="37"/>
  <c r="D104" i="34"/>
  <c r="J24" i="43"/>
  <c r="G8" i="12"/>
  <c r="Y70" i="47"/>
  <c r="AF201" i="42"/>
  <c r="AF49" i="42"/>
  <c r="P3" i="45" a="1"/>
  <c r="R89" i="39"/>
  <c r="AO3" i="34"/>
  <c r="S70" i="48"/>
  <c r="T145" i="49"/>
  <c r="X71" i="50"/>
  <c r="S8" i="47"/>
  <c r="AF60" i="43"/>
  <c r="X27" i="53"/>
  <c r="AI23" i="48"/>
  <c r="Y63" i="49"/>
  <c r="M38" i="41"/>
  <c r="AA65" i="48"/>
  <c r="S2" i="29"/>
  <c r="N132" i="49"/>
  <c r="AA287" i="49"/>
  <c r="AB178" i="49"/>
  <c r="E13" i="38"/>
  <c r="Y298" i="49"/>
  <c r="E39" i="41"/>
  <c r="N29" i="49"/>
  <c r="Z30" i="51"/>
  <c r="Q107" i="33"/>
  <c r="B88" i="34"/>
  <c r="L41" i="51"/>
  <c r="T5" i="53"/>
  <c r="Z130" i="49"/>
  <c r="Q44" i="51"/>
  <c r="Y76" i="49"/>
  <c r="AB387" i="49"/>
  <c r="AB240" i="49"/>
  <c r="Y13" i="48"/>
  <c r="X80" i="49"/>
  <c r="T99" i="49"/>
  <c r="S3" i="39"/>
  <c r="I5" i="37"/>
  <c r="R229" i="39"/>
  <c r="Z340" i="49"/>
  <c r="D4" i="60"/>
  <c r="W27" i="51"/>
  <c r="AB54" i="47"/>
  <c r="Y3" i="47"/>
  <c r="J6" i="53"/>
  <c r="N35" i="47"/>
  <c r="S178" i="49"/>
  <c r="Z184" i="49"/>
  <c r="Y93" i="50"/>
  <c r="X378" i="49"/>
  <c r="R295" i="33"/>
  <c r="S124" i="50"/>
  <c r="B36" i="34"/>
  <c r="X325" i="49"/>
  <c r="Y182" i="49"/>
  <c r="O349" i="49"/>
  <c r="D31" i="46"/>
  <c r="Y42" i="49"/>
  <c r="L8" i="51"/>
  <c r="S276" i="49"/>
  <c r="AG137" i="42"/>
  <c r="S102" i="37"/>
  <c r="AF13" i="48"/>
  <c r="E22" i="42"/>
  <c r="I19" i="59"/>
  <c r="S14" i="39"/>
  <c r="T70" i="48"/>
  <c r="T51" i="49"/>
  <c r="S49" i="53"/>
  <c r="N42" i="53"/>
  <c r="S38" i="48"/>
  <c r="Y312" i="49"/>
  <c r="D7" i="45"/>
  <c r="AA319" i="49"/>
  <c r="T93" i="50"/>
  <c r="Z50" i="51"/>
  <c r="AB79" i="50"/>
  <c r="X300" i="49"/>
  <c r="C49" i="34"/>
  <c r="S53" i="38"/>
  <c r="S150" i="37"/>
  <c r="AB103" i="49"/>
  <c r="T272" i="49"/>
  <c r="S268" i="49"/>
  <c r="C89" i="34"/>
  <c r="X41" i="47"/>
  <c r="T303" i="49"/>
  <c r="Y355" i="49"/>
  <c r="S122" i="49"/>
  <c r="Z46" i="49"/>
  <c r="N383" i="49"/>
  <c r="Y192" i="49"/>
  <c r="S82" i="39"/>
  <c r="T57" i="49"/>
  <c r="Q37" i="51"/>
  <c r="Y365" i="49"/>
  <c r="O49" i="48"/>
  <c r="M1" i="40"/>
  <c r="O33" i="50"/>
  <c r="O132" i="49"/>
  <c r="N26" i="50"/>
  <c r="G20" i="39"/>
  <c r="Y94" i="50"/>
  <c r="L3" i="42"/>
  <c r="AB35" i="50"/>
  <c r="AG132" i="42"/>
  <c r="AA7" i="47"/>
  <c r="M32" i="51"/>
  <c r="AG125" i="43"/>
  <c r="R173" i="38"/>
  <c r="D28" i="41"/>
  <c r="AG76" i="43"/>
  <c r="N53" i="48"/>
  <c r="O138" i="49"/>
  <c r="X282" i="49"/>
  <c r="H30" i="51"/>
  <c r="D3" i="41"/>
  <c r="N106" i="49"/>
  <c r="AB81" i="49"/>
  <c r="J20" i="38"/>
  <c r="Z60" i="47"/>
  <c r="Y131" i="49"/>
  <c r="S316" i="49"/>
  <c r="G77" i="34"/>
  <c r="J32" i="50"/>
  <c r="AB378" i="49"/>
  <c r="Q6" i="40"/>
  <c r="T161" i="49"/>
  <c r="T16" i="53"/>
  <c r="AA90" i="50"/>
  <c r="J15" i="7"/>
  <c r="N23" i="53"/>
  <c r="R231" i="33"/>
  <c r="S89" i="49"/>
  <c r="Z12" i="47"/>
  <c r="N51" i="53"/>
  <c r="Z26" i="50"/>
  <c r="O25" i="50"/>
  <c r="R379" i="33"/>
  <c r="R381" i="33"/>
  <c r="Z29" i="51"/>
  <c r="AG81" i="42"/>
  <c r="W21" i="51"/>
  <c r="S198" i="37"/>
  <c r="B2" i="55" a="1"/>
  <c r="AH11" i="48"/>
  <c r="S59" i="37"/>
  <c r="AA61" i="49"/>
  <c r="N10" i="47"/>
  <c r="Z19" i="49"/>
  <c r="J16" i="24"/>
  <c r="AG52" i="44"/>
  <c r="Z99" i="50"/>
  <c r="T76" i="49"/>
  <c r="E18" i="41"/>
  <c r="N249" i="49"/>
  <c r="AL3" i="51"/>
  <c r="Z43" i="48"/>
  <c r="Y235" i="49"/>
  <c r="Z41" i="49"/>
  <c r="T352" i="49"/>
  <c r="J5" i="11"/>
  <c r="Y203" i="49"/>
  <c r="AA336" i="49"/>
  <c r="AB16" i="49"/>
  <c r="Q104" i="33"/>
  <c r="AF92" i="43"/>
  <c r="Z261" i="49"/>
  <c r="AG32" i="44"/>
  <c r="S167" i="37"/>
  <c r="S97" i="39"/>
  <c r="Q242" i="33"/>
  <c r="AH17" i="49"/>
  <c r="S220" i="39"/>
  <c r="N12" i="38"/>
  <c r="R158" i="38"/>
  <c r="AB52" i="49"/>
  <c r="F20" i="39"/>
  <c r="S35" i="49"/>
  <c r="Z207" i="49"/>
  <c r="R86" i="39"/>
  <c r="S138" i="38"/>
  <c r="CE4" i="34"/>
  <c r="M40" i="41"/>
  <c r="AG46" i="42"/>
  <c r="S265" i="49"/>
  <c r="R241" i="37"/>
  <c r="S205" i="49"/>
  <c r="AA139" i="49"/>
  <c r="X49" i="48"/>
  <c r="N54" i="50"/>
  <c r="AF155" i="42"/>
  <c r="Y337" i="49"/>
  <c r="E14" i="39"/>
  <c r="C66" i="34"/>
  <c r="Y19" i="51"/>
  <c r="O165" i="49"/>
  <c r="S48" i="38"/>
  <c r="H21" i="52"/>
  <c r="O72" i="50"/>
  <c r="X17" i="51"/>
  <c r="O60" i="49"/>
  <c r="J33" i="11"/>
  <c r="AB113" i="50"/>
  <c r="O16" i="47"/>
  <c r="Y300" i="49"/>
  <c r="X322" i="49"/>
  <c r="S30" i="48"/>
  <c r="Y152" i="49"/>
  <c r="Z69" i="53"/>
  <c r="J94" i="53"/>
  <c r="T72" i="50"/>
  <c r="M29" i="51"/>
  <c r="N333" i="49"/>
  <c r="T214" i="49"/>
  <c r="Z230" i="49"/>
  <c r="AB270" i="49"/>
  <c r="AB150" i="49"/>
  <c r="S15" i="47"/>
  <c r="R238" i="39"/>
  <c r="AG226" i="42"/>
  <c r="T83" i="53"/>
  <c r="Z364" i="49"/>
  <c r="Z113" i="50"/>
  <c r="S96" i="38"/>
  <c r="X185" i="49"/>
  <c r="X293" i="49"/>
  <c r="S5" i="49"/>
  <c r="R154" i="38"/>
  <c r="N248" i="49"/>
  <c r="N266" i="49"/>
  <c r="L19" i="43"/>
  <c r="AG125" i="42"/>
  <c r="Z81" i="48"/>
  <c r="N9" i="47"/>
  <c r="AF15" i="49"/>
  <c r="O313" i="49"/>
  <c r="F15" i="45"/>
  <c r="Z18" i="53"/>
  <c r="N31" i="53"/>
  <c r="AF121" i="43"/>
  <c r="AG40" i="42"/>
  <c r="AF239" i="42"/>
  <c r="C124" i="34"/>
  <c r="T68" i="48"/>
  <c r="Z119" i="50"/>
  <c r="Y66" i="53"/>
  <c r="R100" i="37"/>
  <c r="H3" i="51"/>
  <c r="X2" i="20"/>
  <c r="R38" i="38"/>
  <c r="G91" i="34"/>
  <c r="F17" i="45"/>
  <c r="Q470" i="33"/>
  <c r="S228" i="39"/>
  <c r="N88" i="50"/>
  <c r="AB252" i="49"/>
  <c r="S289" i="49"/>
  <c r="A10" i="35"/>
  <c r="O295" i="49"/>
  <c r="N91" i="49"/>
  <c r="Z124" i="49"/>
  <c r="Z38" i="48"/>
  <c r="Y307" i="49"/>
  <c r="T170" i="49"/>
  <c r="R179" i="37"/>
  <c r="T43" i="49"/>
  <c r="S30" i="53"/>
  <c r="Z27" i="47"/>
  <c r="T23" i="47"/>
  <c r="D4" i="41"/>
  <c r="AA263" i="49"/>
  <c r="N264" i="49"/>
  <c r="X173" i="49"/>
  <c r="S24" i="49"/>
  <c r="R413" i="33"/>
  <c r="X128" i="49"/>
  <c r="R163" i="39"/>
  <c r="S118" i="38"/>
  <c r="N345" i="49"/>
  <c r="AB345" i="49"/>
  <c r="AG35" i="44"/>
  <c r="Z16" i="53"/>
  <c r="Y61" i="49"/>
  <c r="S189" i="38"/>
  <c r="AB279" i="49"/>
  <c r="E18" i="44"/>
  <c r="R243" i="38"/>
  <c r="X146" i="49"/>
  <c r="F21" i="38"/>
  <c r="AF172" i="42"/>
  <c r="S272" i="49"/>
  <c r="Z28" i="48"/>
  <c r="R210" i="38"/>
  <c r="X72" i="50"/>
  <c r="N67" i="47"/>
  <c r="C54" i="53"/>
  <c r="AA172" i="49"/>
  <c r="K5" i="44"/>
  <c r="Y20" i="50"/>
  <c r="Y6" i="47"/>
  <c r="G50" i="59"/>
  <c r="S128" i="38"/>
  <c r="Z116" i="50"/>
  <c r="S16" i="38"/>
  <c r="L17" i="42"/>
  <c r="S381" i="49"/>
  <c r="D35" i="46"/>
  <c r="S254" i="38"/>
  <c r="S323" i="49"/>
  <c r="R317" i="33"/>
  <c r="O82" i="53"/>
  <c r="Y306" i="49"/>
  <c r="R105" i="33"/>
  <c r="AF135" i="42"/>
  <c r="R86" i="37"/>
  <c r="AG82" i="43"/>
  <c r="S46" i="48"/>
  <c r="G52" i="34"/>
  <c r="S3" i="48"/>
  <c r="X200" i="49"/>
  <c r="T105" i="50"/>
  <c r="I22" i="39"/>
  <c r="AG31" i="42"/>
  <c r="S386" i="49"/>
  <c r="X93" i="50"/>
  <c r="Y204" i="49"/>
  <c r="N384" i="49"/>
  <c r="Z66" i="53"/>
  <c r="T34" i="53"/>
  <c r="R251" i="37"/>
  <c r="X90" i="49"/>
  <c r="Z53" i="50"/>
  <c r="T241" i="49"/>
  <c r="S8" i="48"/>
  <c r="O43" i="50"/>
  <c r="X43" i="53"/>
  <c r="L2" i="56"/>
  <c r="A9" i="35"/>
  <c r="AB62" i="53"/>
  <c r="AF66" i="43"/>
  <c r="AB278" i="49"/>
  <c r="T103" i="50"/>
  <c r="AF39" i="44"/>
  <c r="T34" i="49"/>
  <c r="AA320" i="49"/>
  <c r="AF90" i="43"/>
  <c r="C102" i="34"/>
  <c r="R197" i="37"/>
  <c r="AJ3" i="47"/>
  <c r="C19" i="36"/>
  <c r="O90" i="49"/>
  <c r="Z300" i="49"/>
  <c r="O181" i="49"/>
  <c r="N5" i="48"/>
  <c r="R249" i="37"/>
  <c r="J72" i="53"/>
  <c r="C35" i="59"/>
  <c r="Y167" i="49"/>
  <c r="N23" i="49"/>
  <c r="R104" i="38"/>
  <c r="S83" i="37"/>
  <c r="S170" i="37"/>
  <c r="AI22" i="48"/>
  <c r="T32" i="49"/>
  <c r="X24" i="47"/>
  <c r="R191" i="37"/>
  <c r="J32" i="49"/>
  <c r="I9" i="38"/>
  <c r="Y222" i="49"/>
  <c r="N259" i="49"/>
  <c r="S71" i="39"/>
  <c r="O386" i="49"/>
  <c r="S57" i="53"/>
  <c r="Q417" i="33"/>
  <c r="AB5" i="45"/>
  <c r="Z7" i="51"/>
  <c r="J14" i="10"/>
  <c r="S139" i="49"/>
  <c r="S96" i="37"/>
  <c r="Y78" i="53"/>
  <c r="AF48" i="43"/>
  <c r="AA258" i="49"/>
  <c r="AQ2" i="34"/>
  <c r="R141" i="38"/>
  <c r="N32" i="49"/>
  <c r="O32" i="50"/>
  <c r="J64" i="47"/>
  <c r="N15" i="39"/>
  <c r="F14" i="38"/>
  <c r="J83" i="47"/>
  <c r="S175" i="49"/>
  <c r="S294" i="49"/>
  <c r="L17" i="44"/>
  <c r="J17" i="49"/>
  <c r="G4" i="42"/>
  <c r="AH17" i="50"/>
  <c r="X112" i="50"/>
  <c r="O144" i="49"/>
  <c r="O64" i="50"/>
  <c r="AB56" i="48"/>
  <c r="AF209" i="42"/>
  <c r="X257" i="49"/>
  <c r="AA112" i="49"/>
  <c r="AA289" i="49"/>
  <c r="AG27" i="42"/>
  <c r="J57" i="49"/>
  <c r="AB77" i="47"/>
  <c r="Y120" i="49"/>
  <c r="Z56" i="53"/>
  <c r="AA249" i="49"/>
  <c r="X61" i="48"/>
  <c r="R410" i="33"/>
  <c r="AB36" i="50"/>
  <c r="S280" i="49"/>
  <c r="N25" i="59"/>
  <c r="X2" i="21"/>
  <c r="Y200" i="49"/>
  <c r="N28" i="50"/>
  <c r="Q368" i="33"/>
  <c r="AG221" i="42"/>
  <c r="D26" i="54"/>
  <c r="AB154" i="49"/>
  <c r="S36" i="38"/>
  <c r="S190" i="39"/>
  <c r="AF39" i="42"/>
  <c r="AG78" i="43"/>
  <c r="AH17" i="48"/>
  <c r="Q4" i="51"/>
  <c r="R139" i="39"/>
  <c r="X71" i="49"/>
  <c r="S39" i="47"/>
  <c r="R273" i="33"/>
  <c r="O53" i="48"/>
  <c r="N10" i="49"/>
  <c r="Z33" i="53"/>
  <c r="O55" i="48"/>
  <c r="Z48" i="50"/>
  <c r="AA18" i="50"/>
  <c r="L5" i="42"/>
  <c r="Z64" i="50"/>
  <c r="AB22" i="49"/>
  <c r="X51" i="51"/>
  <c r="G7" i="34"/>
  <c r="O285" i="49"/>
  <c r="S28" i="39"/>
  <c r="S66" i="37"/>
  <c r="R115" i="33"/>
  <c r="R137" i="38"/>
  <c r="R42" i="37"/>
  <c r="AB49" i="48"/>
  <c r="S50" i="39"/>
  <c r="O26" i="49"/>
  <c r="AG169" i="42"/>
  <c r="V26" i="51"/>
  <c r="AF11" i="51"/>
  <c r="Y115" i="49"/>
  <c r="X8" i="50"/>
  <c r="AC3" i="34"/>
  <c r="R153" i="37"/>
  <c r="Z372" i="49"/>
  <c r="AF150" i="42"/>
  <c r="AF18" i="51"/>
  <c r="R259" i="33"/>
  <c r="J17" i="10"/>
  <c r="O107" i="50"/>
  <c r="N184" i="49"/>
  <c r="Z117" i="50"/>
  <c r="AB328" i="49"/>
  <c r="R79" i="37"/>
  <c r="S3" i="43" a="1"/>
  <c r="T274" i="49"/>
  <c r="N43" i="48"/>
  <c r="R443" i="33"/>
  <c r="O207" i="49"/>
  <c r="AB284" i="49"/>
  <c r="S45" i="49"/>
  <c r="Z61" i="49"/>
  <c r="S14" i="47"/>
  <c r="Y104" i="49"/>
  <c r="Q84" i="33"/>
  <c r="T8" i="48"/>
  <c r="AA82" i="48"/>
  <c r="X97" i="50"/>
  <c r="AG19" i="43"/>
  <c r="Y53" i="53"/>
  <c r="S251" i="49"/>
  <c r="AA381" i="49"/>
  <c r="X25" i="49"/>
  <c r="T36" i="53"/>
  <c r="R266" i="33"/>
  <c r="AA10" i="53"/>
  <c r="S235" i="38"/>
  <c r="S301" i="49"/>
  <c r="AA237" i="49"/>
  <c r="K15" i="33"/>
  <c r="S29" i="39"/>
  <c r="AB76" i="48"/>
  <c r="J59" i="48"/>
  <c r="F22" i="39"/>
  <c r="G3" i="49"/>
  <c r="O40" i="48"/>
  <c r="F15" i="37"/>
  <c r="Z48" i="49"/>
  <c r="X42" i="51"/>
  <c r="Y43" i="48"/>
  <c r="Q440" i="33"/>
  <c r="X213" i="49"/>
  <c r="AF37" i="43"/>
  <c r="S215" i="39"/>
  <c r="X78" i="47"/>
  <c r="X28" i="49"/>
  <c r="Y99" i="49"/>
  <c r="T83" i="50"/>
  <c r="Z39" i="47"/>
  <c r="G30" i="24"/>
  <c r="Y122" i="50"/>
  <c r="R238" i="33"/>
  <c r="AB10" i="50"/>
  <c r="N311" i="49"/>
  <c r="Z20" i="53"/>
  <c r="O77" i="49"/>
  <c r="N14" i="59"/>
  <c r="L33" i="51"/>
  <c r="Y51" i="53"/>
  <c r="S17" i="53"/>
  <c r="Y287" i="49"/>
  <c r="AH18" i="50"/>
  <c r="AA90" i="48"/>
  <c r="Y6" i="53"/>
  <c r="R18" i="38"/>
  <c r="D58" i="34"/>
  <c r="L1" i="40"/>
  <c r="AB43" i="53"/>
  <c r="W3" i="50" a="1"/>
  <c r="AB316" i="49"/>
  <c r="T55" i="48"/>
  <c r="Z63" i="53"/>
  <c r="T246" i="49"/>
  <c r="AG55" i="42"/>
  <c r="Q236" i="33"/>
  <c r="O133" i="49"/>
  <c r="AB285" i="49"/>
  <c r="Y225" i="49"/>
  <c r="S18" i="39"/>
  <c r="AB205" i="49"/>
  <c r="R256" i="33"/>
  <c r="AB101" i="50"/>
  <c r="AF41" i="42"/>
  <c r="Z30" i="49"/>
  <c r="Y74" i="48"/>
  <c r="O62" i="47"/>
  <c r="AF22" i="42"/>
  <c r="D9" i="36"/>
  <c r="R204" i="33"/>
  <c r="C14" i="51"/>
  <c r="T249" i="49"/>
  <c r="S92" i="48"/>
  <c r="AB121" i="49"/>
  <c r="X59" i="49"/>
  <c r="G20" i="38"/>
  <c r="AB39" i="48"/>
  <c r="AB110" i="49"/>
  <c r="AA77" i="48"/>
  <c r="Y12" i="49"/>
  <c r="S72" i="39"/>
  <c r="AB19" i="45"/>
  <c r="O95" i="49"/>
  <c r="S52" i="39"/>
  <c r="AA124" i="49"/>
  <c r="Y250" i="49"/>
  <c r="O17" i="53"/>
  <c r="Y268" i="49"/>
  <c r="Z21" i="50"/>
  <c r="S209" i="38"/>
  <c r="S42" i="48"/>
  <c r="Q331" i="33"/>
  <c r="L27" i="51"/>
  <c r="V40" i="51"/>
  <c r="AA17" i="49"/>
  <c r="S20" i="50"/>
  <c r="S28" i="50"/>
  <c r="AG96" i="43"/>
  <c r="O263" i="49"/>
  <c r="O210" i="49"/>
  <c r="J8" i="39"/>
  <c r="AA79" i="48"/>
  <c r="N6" i="49"/>
  <c r="N98" i="50"/>
  <c r="C52" i="53"/>
  <c r="O119" i="50"/>
  <c r="T56" i="47"/>
  <c r="AB76" i="49"/>
  <c r="AI23" i="50"/>
  <c r="S130" i="37"/>
  <c r="AA25" i="48"/>
  <c r="S27" i="50"/>
  <c r="R132" i="39"/>
  <c r="O238" i="49"/>
  <c r="G101" i="34"/>
  <c r="J16" i="42"/>
  <c r="N34" i="50"/>
  <c r="X47" i="49"/>
  <c r="Z299" i="49"/>
  <c r="Z50" i="47"/>
  <c r="N172" i="49"/>
  <c r="N48" i="50"/>
  <c r="N104" i="50"/>
  <c r="O29" i="48"/>
  <c r="Y261" i="49"/>
  <c r="G45" i="34"/>
  <c r="W38" i="51"/>
  <c r="C46" i="53"/>
  <c r="N25" i="48"/>
  <c r="Y94" i="49"/>
  <c r="Y9" i="47"/>
  <c r="N98" i="49"/>
  <c r="X137" i="49"/>
  <c r="E17" i="38"/>
  <c r="C43" i="50"/>
  <c r="R138" i="33"/>
  <c r="Y238" i="49"/>
  <c r="AI22" i="50"/>
  <c r="AB183" i="49"/>
  <c r="R148" i="37"/>
  <c r="AB15" i="53"/>
  <c r="S81" i="53"/>
  <c r="H4" i="51"/>
  <c r="S164" i="49"/>
  <c r="N61" i="53"/>
  <c r="Q181" i="33"/>
  <c r="O60" i="47"/>
  <c r="X286" i="49"/>
  <c r="R250" i="39"/>
  <c r="S30" i="47"/>
  <c r="G18" i="38"/>
  <c r="N36" i="49"/>
  <c r="R57" i="39"/>
  <c r="R65" i="33"/>
  <c r="O41" i="53"/>
  <c r="C15" i="51"/>
  <c r="X35" i="53"/>
  <c r="Y266" i="49"/>
  <c r="S217" i="49"/>
  <c r="N130" i="49"/>
  <c r="T59" i="48"/>
  <c r="R105" i="37"/>
  <c r="Z56" i="48"/>
  <c r="R457" i="33"/>
  <c r="S81" i="37"/>
  <c r="T47" i="47"/>
  <c r="O225" i="49"/>
  <c r="E5" i="38"/>
  <c r="J39" i="24"/>
  <c r="T299" i="49"/>
  <c r="R150" i="39"/>
  <c r="S25" i="48"/>
  <c r="X9" i="47"/>
  <c r="J21" i="47"/>
  <c r="J70" i="53"/>
  <c r="X3" i="50"/>
  <c r="N73" i="53"/>
  <c r="Y47" i="48"/>
  <c r="E33" i="41"/>
  <c r="AA12" i="47"/>
  <c r="AG130" i="43"/>
  <c r="S43" i="48"/>
  <c r="F6" i="43"/>
  <c r="W18" i="51"/>
  <c r="S63" i="39"/>
  <c r="R256" i="37"/>
  <c r="B105" i="34"/>
  <c r="AA161" i="49"/>
  <c r="AA3" i="49"/>
  <c r="X39" i="48"/>
  <c r="J5" i="37"/>
  <c r="S69" i="38"/>
  <c r="AF10" i="42"/>
  <c r="R7" i="33"/>
  <c r="H16" i="45"/>
  <c r="AF128" i="43"/>
  <c r="W55" i="51"/>
  <c r="X203" i="49"/>
  <c r="Z106" i="50"/>
  <c r="S69" i="53"/>
  <c r="T34" i="48"/>
  <c r="S172" i="37"/>
  <c r="X291" i="49"/>
  <c r="Y39" i="48"/>
  <c r="E15" i="45"/>
  <c r="AA389" i="49"/>
  <c r="AG23" i="51"/>
  <c r="T206" i="49"/>
  <c r="G120" i="34"/>
  <c r="O193" i="49"/>
  <c r="Q495" i="33"/>
  <c r="R38" i="39"/>
  <c r="E5" i="41"/>
  <c r="O8" i="53"/>
  <c r="O335" i="49"/>
  <c r="O359" i="49"/>
  <c r="Q3" i="45" a="1"/>
  <c r="E9" i="37"/>
  <c r="AG111" i="43"/>
  <c r="R230" i="38"/>
  <c r="R30" i="51"/>
  <c r="T298" i="49"/>
  <c r="AF51" i="42"/>
  <c r="AA34" i="48"/>
  <c r="S82" i="49"/>
  <c r="R49" i="38"/>
  <c r="O26" i="48"/>
  <c r="X96" i="50"/>
  <c r="A3" i="35"/>
  <c r="N57" i="53"/>
  <c r="N26" i="49"/>
  <c r="Q3" i="51"/>
  <c r="A3" i="55" a="1"/>
  <c r="R17" i="37"/>
  <c r="AB24" i="48"/>
  <c r="D5" i="44"/>
  <c r="AG29" i="43"/>
  <c r="V41" i="51"/>
  <c r="O352" i="49"/>
  <c r="O119" i="49"/>
  <c r="R365" i="33"/>
  <c r="N119" i="50"/>
  <c r="R56" i="51"/>
  <c r="O279" i="49"/>
  <c r="R254" i="33"/>
  <c r="D108" i="34"/>
  <c r="AB40" i="48"/>
  <c r="R329" i="33"/>
  <c r="AF14" i="44"/>
  <c r="AA40" i="53"/>
  <c r="H6" i="44"/>
  <c r="Y315" i="49"/>
  <c r="S228" i="49"/>
  <c r="R142" i="33"/>
  <c r="K7" i="43"/>
  <c r="AG148" i="42"/>
  <c r="C98" i="34"/>
  <c r="Y79" i="47"/>
  <c r="X6" i="51"/>
  <c r="X57" i="47"/>
  <c r="AG91" i="42"/>
  <c r="Y20" i="47"/>
  <c r="X23" i="53"/>
  <c r="Y50" i="53"/>
  <c r="N20" i="53"/>
  <c r="X70" i="47"/>
  <c r="Y24" i="49"/>
  <c r="AA41" i="47"/>
  <c r="X69" i="48"/>
  <c r="R117" i="39"/>
  <c r="N166" i="49"/>
  <c r="R263" i="33"/>
  <c r="N148" i="49"/>
  <c r="N14" i="47"/>
  <c r="Y70" i="53"/>
  <c r="R127" i="38"/>
  <c r="Z62" i="48"/>
  <c r="AB20" i="49"/>
  <c r="R28" i="38"/>
  <c r="F24" i="35"/>
  <c r="J40" i="48"/>
  <c r="X49" i="53"/>
  <c r="Y308" i="49"/>
  <c r="Z26" i="53"/>
  <c r="AB327" i="49"/>
  <c r="T285" i="49"/>
  <c r="R118" i="33"/>
  <c r="I19" i="36"/>
  <c r="C44" i="50"/>
  <c r="L22" i="43"/>
  <c r="S235" i="49"/>
  <c r="S60" i="37"/>
  <c r="R243" i="39"/>
  <c r="S26" i="37"/>
  <c r="Q263" i="33"/>
  <c r="O92" i="48"/>
  <c r="AF65" i="42"/>
  <c r="G122" i="34"/>
  <c r="S388" i="49"/>
  <c r="T177" i="49"/>
  <c r="X46" i="53"/>
  <c r="T39" i="48"/>
  <c r="S240" i="37"/>
  <c r="T311" i="49"/>
  <c r="T85" i="49"/>
  <c r="S58" i="48"/>
  <c r="AG192" i="42"/>
  <c r="C126" i="34"/>
  <c r="AA114" i="50"/>
  <c r="R55" i="39"/>
  <c r="X117" i="49"/>
  <c r="AI3" i="53"/>
  <c r="AN3" i="48"/>
  <c r="Z70" i="49"/>
  <c r="Z330" i="49"/>
  <c r="R143" i="37"/>
  <c r="D34" i="34"/>
  <c r="S70" i="49"/>
  <c r="Y126" i="49"/>
  <c r="S123" i="39"/>
  <c r="J15" i="49"/>
  <c r="Z75" i="50"/>
  <c r="S35" i="37"/>
  <c r="Z88" i="50"/>
  <c r="F10" i="37"/>
  <c r="Z20" i="51"/>
  <c r="AG229" i="42"/>
  <c r="J32" i="10"/>
  <c r="M36" i="51"/>
  <c r="R152" i="38"/>
  <c r="S22" i="53"/>
  <c r="S109" i="50"/>
  <c r="H5" i="44"/>
  <c r="Y102" i="50"/>
  <c r="Q400" i="33"/>
  <c r="Y10" i="47"/>
  <c r="Z62" i="50"/>
  <c r="T32" i="48"/>
  <c r="AB195" i="49"/>
  <c r="AB25" i="47"/>
  <c r="S76" i="39"/>
  <c r="AB346" i="49"/>
  <c r="X19" i="53"/>
  <c r="AK2" i="34"/>
  <c r="D28" i="34"/>
  <c r="AA60" i="49"/>
  <c r="N11" i="47"/>
  <c r="D91" i="34"/>
  <c r="M30" i="51"/>
  <c r="O83" i="50"/>
  <c r="G36" i="34"/>
  <c r="S22" i="49"/>
  <c r="Y19" i="47"/>
  <c r="N111" i="50"/>
  <c r="S61" i="38"/>
  <c r="AA21" i="53"/>
  <c r="Z215" i="49"/>
  <c r="Y267" i="49"/>
  <c r="Q228" i="33"/>
  <c r="S39" i="49"/>
  <c r="Y84" i="53"/>
  <c r="AB315" i="49"/>
  <c r="H7" i="39"/>
  <c r="AG239" i="42"/>
  <c r="AG12" i="42"/>
  <c r="S150" i="39"/>
  <c r="Y125" i="49"/>
  <c r="O72" i="47"/>
  <c r="X266" i="49"/>
  <c r="N10" i="50"/>
  <c r="J19" i="43"/>
  <c r="AI13" i="50"/>
  <c r="X387" i="49"/>
  <c r="M6" i="40"/>
  <c r="O120" i="49"/>
  <c r="N77" i="48"/>
  <c r="O10" i="47"/>
  <c r="N51" i="50"/>
  <c r="R23" i="51"/>
  <c r="N359" i="49"/>
  <c r="R224" i="38"/>
  <c r="C29" i="34"/>
  <c r="O140" i="49"/>
  <c r="AA159" i="49"/>
  <c r="S56" i="39"/>
  <c r="B51" i="34"/>
  <c r="AB241" i="49"/>
  <c r="W44" i="51"/>
  <c r="G86" i="34"/>
  <c r="C86" i="34"/>
  <c r="Y40" i="47"/>
  <c r="S198" i="39"/>
  <c r="T42" i="48"/>
  <c r="AB5" i="53"/>
  <c r="N62" i="47"/>
  <c r="AA208" i="49"/>
  <c r="AA185" i="49"/>
  <c r="T317" i="49"/>
  <c r="Q9" i="33"/>
  <c r="AA232" i="49"/>
  <c r="N357" i="49"/>
  <c r="T78" i="48"/>
  <c r="Z210" i="49"/>
  <c r="T191" i="49"/>
  <c r="AB3" i="47"/>
  <c r="R347" i="33"/>
  <c r="Q41" i="51"/>
  <c r="R67" i="39"/>
  <c r="R245" i="38"/>
  <c r="N198" i="49"/>
  <c r="Z212" i="49"/>
  <c r="AA124" i="50"/>
  <c r="Z36" i="53"/>
  <c r="S212" i="37"/>
  <c r="O5" i="49"/>
  <c r="X97" i="49"/>
  <c r="O58" i="49"/>
  <c r="N210" i="49"/>
  <c r="O185" i="49"/>
  <c r="Z283" i="49"/>
  <c r="S382" i="49"/>
  <c r="Z37" i="47"/>
  <c r="R220" i="39"/>
  <c r="O273" i="49"/>
  <c r="O302" i="49"/>
  <c r="AB73" i="47"/>
  <c r="R66" i="33"/>
  <c r="R193" i="37"/>
  <c r="B79" i="34"/>
  <c r="R247" i="37"/>
  <c r="S9" i="48"/>
  <c r="Y68" i="53"/>
  <c r="Q85" i="33"/>
  <c r="AB22" i="53"/>
  <c r="D34" i="59"/>
  <c r="X65" i="50"/>
  <c r="AI16" i="48"/>
  <c r="Y202" i="49"/>
  <c r="B25" i="34"/>
  <c r="AA28" i="50"/>
  <c r="AG227" i="42"/>
  <c r="AG18" i="42"/>
  <c r="Z255" i="49"/>
  <c r="AD17" i="51"/>
  <c r="AG34" i="44"/>
  <c r="T29" i="50"/>
  <c r="AH14" i="48"/>
  <c r="R234" i="33"/>
  <c r="X33" i="53"/>
  <c r="N66" i="53"/>
  <c r="R147" i="33"/>
  <c r="R31" i="33"/>
  <c r="R233" i="37"/>
  <c r="AF223" i="42"/>
  <c r="N13" i="51"/>
  <c r="AG22" i="42"/>
  <c r="L6" i="44"/>
  <c r="AF4" i="44"/>
  <c r="R144" i="33"/>
  <c r="AA59" i="49"/>
  <c r="Z50" i="49"/>
  <c r="Z343" i="49"/>
  <c r="S154" i="39"/>
  <c r="T4" i="47"/>
  <c r="AB145" i="49"/>
  <c r="J23" i="24"/>
  <c r="Q124" i="33"/>
  <c r="F11" i="37"/>
  <c r="AB382" i="49"/>
  <c r="X176" i="49"/>
  <c r="L45" i="51"/>
  <c r="Z380" i="49"/>
  <c r="H49" i="51"/>
  <c r="T110" i="49"/>
  <c r="AB55" i="47"/>
  <c r="O258" i="49"/>
  <c r="Z42" i="49"/>
  <c r="T236" i="49"/>
  <c r="L7" i="42"/>
  <c r="N292" i="49"/>
  <c r="Y180" i="49"/>
  <c r="AF16" i="49"/>
  <c r="Q52" i="51"/>
  <c r="S5" i="53"/>
  <c r="Y3" i="50"/>
  <c r="K19" i="42"/>
  <c r="O45" i="48"/>
  <c r="R40" i="51"/>
  <c r="Y54" i="53"/>
  <c r="K18" i="42"/>
  <c r="C21" i="52"/>
  <c r="R151" i="39"/>
  <c r="Q2" i="34"/>
  <c r="AB78" i="53"/>
  <c r="J50" i="48"/>
  <c r="AA127" i="49"/>
  <c r="X295" i="49"/>
  <c r="Y224" i="49"/>
  <c r="AA49" i="48"/>
  <c r="S53" i="47"/>
  <c r="AG25" i="44"/>
  <c r="B49" i="34"/>
  <c r="S49" i="37"/>
  <c r="Q126" i="33"/>
  <c r="S165" i="49"/>
  <c r="X56" i="51"/>
  <c r="O37" i="50"/>
  <c r="Z34" i="47"/>
  <c r="Y319" i="49"/>
  <c r="T288" i="49"/>
  <c r="N73" i="50"/>
  <c r="AB51" i="50"/>
  <c r="AF127" i="43"/>
  <c r="AG128" i="42"/>
  <c r="AB58" i="53"/>
  <c r="S146" i="39"/>
  <c r="O41" i="49"/>
  <c r="G128" i="34"/>
  <c r="AA97" i="49"/>
  <c r="S186" i="39"/>
  <c r="G24" i="24"/>
  <c r="Z52" i="50"/>
  <c r="X40" i="53"/>
  <c r="I11" i="39"/>
  <c r="S330" i="49"/>
  <c r="S157" i="38"/>
  <c r="B15" i="51"/>
  <c r="C35" i="46"/>
  <c r="N60" i="48"/>
  <c r="AG135" i="42"/>
  <c r="X36" i="47"/>
  <c r="M25" i="41"/>
  <c r="AA54" i="49"/>
  <c r="S13" i="47"/>
  <c r="AA36" i="50"/>
  <c r="N73" i="48"/>
  <c r="Z5" i="53"/>
  <c r="O326" i="49"/>
  <c r="R29" i="37"/>
  <c r="G10" i="47"/>
  <c r="C41" i="50"/>
  <c r="N80" i="49"/>
  <c r="Z13" i="50"/>
  <c r="Z91" i="48"/>
  <c r="O99" i="49"/>
  <c r="S32" i="53"/>
  <c r="S100" i="49"/>
  <c r="X43" i="50"/>
  <c r="Y71" i="49"/>
  <c r="AG30" i="44"/>
  <c r="AB144" i="49"/>
  <c r="AG92" i="42"/>
  <c r="T277" i="49"/>
  <c r="N8" i="48"/>
  <c r="AA78" i="53"/>
  <c r="R80" i="39"/>
  <c r="G29" i="24"/>
  <c r="AB42" i="49"/>
  <c r="S96" i="39"/>
  <c r="R463" i="33"/>
  <c r="Z24" i="50"/>
  <c r="Q39" i="33"/>
  <c r="S43" i="50"/>
  <c r="S363" i="49"/>
  <c r="C27" i="34"/>
  <c r="Z218" i="49"/>
  <c r="S184" i="39"/>
  <c r="R22" i="37"/>
  <c r="S107" i="50"/>
  <c r="AB33" i="48"/>
  <c r="M32" i="41"/>
  <c r="O3" i="45" a="1"/>
  <c r="B4" i="58" a="1"/>
  <c r="Y377" i="49"/>
  <c r="N246" i="49"/>
  <c r="AG113" i="43"/>
  <c r="Z110" i="50"/>
  <c r="X39" i="53"/>
  <c r="X47" i="53"/>
  <c r="J25" i="47"/>
  <c r="R43" i="38"/>
  <c r="S11" i="37"/>
  <c r="AG49" i="43"/>
  <c r="J33" i="24"/>
  <c r="Z15" i="51"/>
  <c r="S33" i="48"/>
  <c r="S260" i="37"/>
  <c r="AA118" i="50"/>
  <c r="R162" i="33"/>
  <c r="AF195" i="42"/>
  <c r="O6" i="50"/>
  <c r="S21" i="47"/>
  <c r="AG48" i="44"/>
  <c r="AB219" i="49"/>
  <c r="Z55" i="50"/>
  <c r="R166" i="37"/>
  <c r="AA388" i="49"/>
  <c r="Y91" i="48"/>
  <c r="R19" i="37"/>
  <c r="K21" i="44"/>
  <c r="Z108" i="49"/>
  <c r="Q41" i="33"/>
  <c r="S17" i="47"/>
  <c r="D61" i="34"/>
  <c r="R58" i="39"/>
  <c r="Z200" i="49"/>
  <c r="AH16" i="48"/>
  <c r="T75" i="53"/>
  <c r="Z325" i="49"/>
  <c r="Z120" i="50"/>
  <c r="O136" i="49"/>
  <c r="O66" i="53"/>
  <c r="Q173" i="33"/>
  <c r="Z318" i="49"/>
  <c r="M5" i="51"/>
  <c r="Y30" i="50"/>
  <c r="E24" i="41"/>
  <c r="D11" i="41"/>
  <c r="AG58" i="44"/>
  <c r="T83" i="48"/>
  <c r="S13" i="37"/>
  <c r="Q15" i="33"/>
  <c r="O217" i="49"/>
  <c r="W2" i="34"/>
  <c r="S237" i="38"/>
  <c r="R37" i="39"/>
  <c r="R342" i="33"/>
  <c r="R50" i="37"/>
  <c r="R28" i="37"/>
  <c r="Y228" i="49"/>
  <c r="F13" i="38"/>
  <c r="S242" i="39"/>
  <c r="S90" i="50"/>
  <c r="S325" i="49"/>
  <c r="Y54" i="47"/>
  <c r="Q281" i="33"/>
  <c r="L20" i="43"/>
  <c r="O47" i="53"/>
  <c r="AA9" i="50"/>
  <c r="Y45" i="53"/>
  <c r="O50" i="47"/>
  <c r="W53" i="51"/>
  <c r="Y159" i="49"/>
  <c r="S190" i="37"/>
  <c r="S242" i="38"/>
  <c r="AF240" i="42"/>
  <c r="AF81" i="42"/>
  <c r="AF144" i="42"/>
  <c r="X269" i="49"/>
  <c r="J18" i="47"/>
  <c r="S68" i="48"/>
  <c r="AB43" i="49"/>
  <c r="X37" i="51"/>
  <c r="O125" i="49"/>
  <c r="S51" i="48"/>
  <c r="AB42" i="47"/>
  <c r="S160" i="37"/>
  <c r="AF183" i="42"/>
  <c r="R84" i="39"/>
  <c r="R125" i="39"/>
  <c r="T119" i="49"/>
  <c r="AF221" i="42"/>
  <c r="Y85" i="50"/>
  <c r="R29" i="39"/>
  <c r="N9" i="53"/>
  <c r="R231" i="38"/>
  <c r="Q490" i="33"/>
  <c r="AY2" i="34"/>
  <c r="AB14" i="53"/>
  <c r="Z40" i="51"/>
  <c r="AA15" i="53"/>
  <c r="AB27" i="53"/>
  <c r="Y26" i="49"/>
  <c r="S43" i="38"/>
  <c r="N14" i="50"/>
  <c r="S33" i="47"/>
  <c r="X19" i="49"/>
  <c r="U6" i="40"/>
  <c r="B101" i="34"/>
  <c r="R199" i="37"/>
  <c r="AA55" i="48"/>
  <c r="Q195" i="33"/>
  <c r="W57" i="51"/>
  <c r="AG21" i="44"/>
  <c r="O75" i="49"/>
  <c r="AB98" i="50"/>
  <c r="Z22" i="51"/>
  <c r="BK2" i="34"/>
  <c r="Z368" i="49"/>
  <c r="AA369" i="49"/>
  <c r="N69" i="50"/>
  <c r="R240" i="38"/>
  <c r="M35" i="51"/>
  <c r="T64" i="53"/>
  <c r="Z25" i="53"/>
  <c r="S357" i="49"/>
  <c r="Z214" i="49"/>
  <c r="Y317" i="49"/>
  <c r="R113" i="39"/>
  <c r="O98" i="49"/>
  <c r="X37" i="49"/>
  <c r="S245" i="49"/>
  <c r="Z31" i="50"/>
  <c r="AB233" i="49"/>
  <c r="Q237" i="33"/>
  <c r="R101" i="38"/>
  <c r="X66" i="49"/>
  <c r="H56" i="51"/>
  <c r="J32" i="48"/>
  <c r="Q148" i="33"/>
  <c r="Y119" i="49"/>
  <c r="X3" i="51"/>
  <c r="T121" i="49"/>
  <c r="T12" i="50"/>
  <c r="T58" i="53"/>
  <c r="S69" i="39"/>
  <c r="T10" i="49"/>
  <c r="T313" i="49"/>
  <c r="O55" i="50"/>
  <c r="AA291" i="49"/>
  <c r="R90" i="39"/>
  <c r="C62" i="34"/>
  <c r="N11" i="59"/>
  <c r="E38" i="35"/>
  <c r="J55" i="48"/>
  <c r="R65" i="38"/>
  <c r="B17" i="51"/>
  <c r="H52" i="51"/>
  <c r="R18" i="33"/>
  <c r="I37" i="52"/>
  <c r="X9" i="50"/>
  <c r="Y263" i="49"/>
  <c r="T36" i="50"/>
  <c r="AG51" i="44"/>
  <c r="AA308" i="49"/>
  <c r="O311" i="49"/>
  <c r="Y27" i="47"/>
  <c r="S31" i="48"/>
  <c r="W41" i="51"/>
  <c r="AB48" i="53"/>
  <c r="O260" i="49"/>
  <c r="R81" i="38"/>
  <c r="S60" i="48"/>
  <c r="M21" i="51"/>
  <c r="S20" i="37"/>
  <c r="S212" i="38"/>
  <c r="Q303" i="33"/>
  <c r="L5" i="43"/>
  <c r="S106" i="38"/>
  <c r="S72" i="47"/>
  <c r="R187" i="33"/>
  <c r="D116" i="34"/>
  <c r="T86" i="48"/>
  <c r="O51" i="48"/>
  <c r="O84" i="48"/>
  <c r="R269" i="33"/>
  <c r="Y309" i="49"/>
  <c r="N24" i="48"/>
  <c r="S136" i="39"/>
  <c r="S64" i="50"/>
  <c r="R121" i="38"/>
  <c r="AA18" i="53"/>
  <c r="AI14" i="48"/>
  <c r="S129" i="37"/>
  <c r="O83" i="48"/>
  <c r="AG205" i="42"/>
  <c r="AG68" i="42"/>
  <c r="AB52" i="47"/>
  <c r="AG177" i="42"/>
  <c r="V34" i="51"/>
  <c r="J24" i="49"/>
  <c r="X149" i="49"/>
  <c r="G15" i="24"/>
  <c r="AB10" i="49"/>
  <c r="N229" i="49"/>
  <c r="O10" i="53"/>
  <c r="X308" i="49"/>
  <c r="O253" i="49"/>
  <c r="AA194" i="49"/>
  <c r="AA3" i="50"/>
  <c r="Z155" i="49"/>
  <c r="N30" i="48"/>
  <c r="Z268" i="49"/>
  <c r="R389" i="33"/>
  <c r="S76" i="38"/>
  <c r="R21" i="33"/>
  <c r="S220" i="37"/>
  <c r="S116" i="39"/>
  <c r="Q6" i="51"/>
  <c r="F2" i="35"/>
  <c r="N192" i="49"/>
  <c r="T7" i="53"/>
  <c r="C117" i="34"/>
  <c r="Y71" i="53"/>
  <c r="I21" i="52"/>
  <c r="X56" i="48"/>
  <c r="O57" i="49"/>
  <c r="O113" i="50"/>
  <c r="S58" i="39"/>
  <c r="Q40" i="51"/>
  <c r="AA46" i="49"/>
  <c r="O266" i="49"/>
  <c r="Q69" i="33"/>
  <c r="O62" i="53"/>
  <c r="O3" i="49"/>
  <c r="S81" i="50"/>
  <c r="T370" i="49"/>
  <c r="Z5" i="48"/>
  <c r="S117" i="49"/>
  <c r="Z7" i="49"/>
  <c r="R378" i="33"/>
  <c r="N18" i="38"/>
  <c r="R151" i="37"/>
  <c r="AA44" i="48"/>
  <c r="T358" i="49"/>
  <c r="S129" i="49"/>
  <c r="Q24" i="51"/>
  <c r="L19" i="61"/>
  <c r="X77" i="53"/>
  <c r="AB292" i="49"/>
  <c r="S253" i="49"/>
  <c r="Z47" i="51"/>
  <c r="S30" i="37"/>
  <c r="W15" i="51"/>
  <c r="Y301" i="49"/>
  <c r="S258" i="37"/>
  <c r="R4" i="51"/>
  <c r="R399" i="33"/>
  <c r="N135" i="49"/>
  <c r="Q275" i="33"/>
  <c r="AA163" i="49"/>
  <c r="G8" i="38"/>
  <c r="V3" i="37"/>
  <c r="T15" i="48"/>
  <c r="C34" i="46"/>
  <c r="I4" i="39"/>
  <c r="F38" i="35"/>
  <c r="Z63" i="48"/>
  <c r="N11" i="51"/>
  <c r="H54" i="51"/>
  <c r="S94" i="39"/>
  <c r="Z239" i="49"/>
  <c r="R163" i="38"/>
  <c r="AB53" i="50"/>
  <c r="T208" i="49"/>
  <c r="M49" i="51"/>
  <c r="Z213" i="49"/>
  <c r="R152" i="37"/>
  <c r="S123" i="38"/>
  <c r="AB360" i="49"/>
  <c r="R403" i="33"/>
  <c r="S354" i="49"/>
  <c r="X323" i="49"/>
  <c r="AI19" i="49"/>
  <c r="Y48" i="48"/>
  <c r="T295" i="49"/>
  <c r="X363" i="49"/>
  <c r="V18" i="51"/>
  <c r="AF231" i="42"/>
  <c r="R121" i="33"/>
  <c r="G19" i="38"/>
  <c r="N40" i="53"/>
  <c r="R260" i="39"/>
  <c r="C96" i="34"/>
  <c r="Y229" i="49"/>
  <c r="N3" i="36"/>
  <c r="O67" i="50"/>
  <c r="S134" i="37"/>
  <c r="AA105" i="49"/>
  <c r="N124" i="49"/>
  <c r="AG84" i="43"/>
  <c r="S38" i="49"/>
  <c r="D4" i="35"/>
  <c r="AB54" i="50"/>
  <c r="J17" i="38"/>
  <c r="N71" i="50"/>
  <c r="Z8" i="48"/>
  <c r="Q140" i="33"/>
  <c r="R174" i="33"/>
  <c r="O243" i="49"/>
  <c r="Z69" i="47"/>
  <c r="R405" i="33"/>
  <c r="N83" i="49"/>
  <c r="X122" i="50"/>
  <c r="AA68" i="53"/>
  <c r="Z7" i="48"/>
  <c r="J37" i="8"/>
  <c r="AA26" i="48"/>
  <c r="AB330" i="49"/>
  <c r="R158" i="33"/>
  <c r="Y360" i="49"/>
  <c r="AB235" i="49"/>
  <c r="AG43" i="43"/>
  <c r="Z216" i="49"/>
  <c r="R176" i="37"/>
  <c r="G82" i="34"/>
  <c r="S279" i="49"/>
  <c r="R26" i="40"/>
  <c r="S190" i="49"/>
  <c r="S252" i="49"/>
  <c r="AF114" i="43"/>
  <c r="AA150" i="49"/>
  <c r="V4" i="38"/>
  <c r="S43" i="49"/>
  <c r="X72" i="47"/>
  <c r="D10" i="46"/>
  <c r="Q29" i="51"/>
  <c r="AA80" i="48"/>
  <c r="O34" i="48"/>
  <c r="D13" i="52"/>
  <c r="O111" i="50"/>
  <c r="S9" i="49"/>
  <c r="Y194" i="49"/>
  <c r="Y97" i="50"/>
  <c r="Y102" i="49"/>
  <c r="S139" i="39"/>
  <c r="R57" i="37"/>
  <c r="N188" i="49"/>
  <c r="Z37" i="50"/>
  <c r="AB88" i="53"/>
  <c r="S68" i="39"/>
  <c r="N27" i="47"/>
  <c r="AC21" i="45"/>
  <c r="L21" i="43"/>
  <c r="S89" i="53"/>
  <c r="S18" i="50"/>
  <c r="O51" i="47"/>
  <c r="O27" i="48"/>
  <c r="X30" i="50"/>
  <c r="R179" i="33"/>
  <c r="AG241" i="42"/>
  <c r="AB247" i="49"/>
  <c r="AG215" i="42"/>
  <c r="X61" i="50"/>
  <c r="Q92" i="33"/>
  <c r="AF170" i="42"/>
  <c r="C123" i="34"/>
  <c r="AB269" i="49"/>
  <c r="R230" i="33"/>
  <c r="R166" i="39"/>
  <c r="AB176" i="49"/>
  <c r="AF19" i="42"/>
  <c r="T50" i="50"/>
  <c r="O170" i="49"/>
  <c r="AF200" i="42"/>
  <c r="R249" i="38"/>
  <c r="Y379" i="49"/>
  <c r="AH21" i="49"/>
  <c r="C97" i="34"/>
  <c r="X11" i="53"/>
  <c r="R152" i="33"/>
  <c r="Y276" i="49"/>
  <c r="R186" i="39"/>
  <c r="H6" i="38"/>
  <c r="R491" i="33"/>
  <c r="T58" i="49"/>
  <c r="S213" i="49"/>
  <c r="N310" i="49"/>
  <c r="AA311" i="49"/>
  <c r="G8" i="34"/>
  <c r="Q499" i="33"/>
  <c r="H6" i="42"/>
  <c r="AF204" i="42"/>
  <c r="S145" i="38"/>
  <c r="J21" i="39"/>
  <c r="O228" i="49"/>
  <c r="S236" i="39"/>
  <c r="Z208" i="49"/>
  <c r="S19" i="48"/>
  <c r="Q427" i="33"/>
  <c r="Q203" i="33"/>
  <c r="N225" i="49"/>
  <c r="R196" i="38"/>
  <c r="S107" i="49"/>
  <c r="Z39" i="49"/>
  <c r="K16" i="43"/>
  <c r="Q468" i="33"/>
  <c r="Z306" i="49"/>
  <c r="Z328" i="49"/>
  <c r="R418" i="33"/>
  <c r="X78" i="50"/>
  <c r="K3" i="42"/>
  <c r="S117" i="50"/>
  <c r="J85" i="50"/>
  <c r="R130" i="33"/>
  <c r="T314" i="49"/>
  <c r="R49" i="33"/>
  <c r="AF73" i="43"/>
  <c r="N75" i="48"/>
  <c r="W25" i="51"/>
  <c r="U13" i="45" a="1"/>
  <c r="R13" i="38"/>
  <c r="AA75" i="53"/>
  <c r="Y9" i="43" a="1"/>
  <c r="AB61" i="48"/>
  <c r="S80" i="53"/>
  <c r="AF30" i="42"/>
  <c r="Z154" i="49"/>
  <c r="O336" i="49"/>
  <c r="AB36" i="49"/>
  <c r="R39" i="37"/>
  <c r="Y80" i="48"/>
  <c r="J5" i="48"/>
  <c r="AF228" i="42"/>
  <c r="J27" i="50"/>
  <c r="Z44" i="51"/>
  <c r="C30" i="34"/>
  <c r="C42" i="50"/>
  <c r="T5" i="40"/>
  <c r="R467" i="33"/>
  <c r="O182" i="49"/>
  <c r="Q326" i="33"/>
  <c r="R499" i="33"/>
  <c r="S207" i="38"/>
  <c r="X18" i="50"/>
  <c r="Z39" i="53"/>
  <c r="O307" i="49"/>
  <c r="C13" i="34"/>
  <c r="S33" i="38"/>
  <c r="AA64" i="50"/>
  <c r="Q20" i="33"/>
  <c r="T109" i="50"/>
  <c r="N367" i="49"/>
  <c r="X8" i="51"/>
  <c r="N73" i="49"/>
  <c r="R77" i="38"/>
  <c r="J62" i="50"/>
  <c r="H37" i="52"/>
  <c r="AA52" i="48"/>
  <c r="Y51" i="51"/>
  <c r="R177" i="39"/>
  <c r="L51" i="51"/>
  <c r="R70" i="33"/>
  <c r="AB5" i="50"/>
  <c r="AG189" i="42"/>
  <c r="AB79" i="53"/>
  <c r="R338" i="33"/>
  <c r="S63" i="50"/>
  <c r="AA10" i="47"/>
  <c r="O39" i="53"/>
  <c r="J80" i="53"/>
  <c r="D18" i="54"/>
  <c r="O35" i="49"/>
  <c r="S142" i="49"/>
  <c r="AG7" i="44"/>
  <c r="AA69" i="47"/>
  <c r="Z24" i="51"/>
  <c r="Z35" i="53"/>
  <c r="S26" i="50"/>
  <c r="R34" i="38"/>
  <c r="AG44" i="42"/>
  <c r="Z30" i="48"/>
  <c r="R393" i="33"/>
  <c r="B22" i="51"/>
  <c r="K3" i="44"/>
  <c r="AG22" i="44"/>
  <c r="T19" i="49"/>
  <c r="L15" i="42"/>
  <c r="K22" i="43"/>
  <c r="AB175" i="49"/>
  <c r="AF50" i="43"/>
  <c r="X2" i="13"/>
  <c r="R58" i="33"/>
  <c r="R446" i="33"/>
  <c r="O9" i="47"/>
  <c r="AA170" i="49"/>
  <c r="AA353" i="49"/>
  <c r="G11" i="24"/>
  <c r="B63" i="34"/>
  <c r="S131" i="49"/>
  <c r="S118" i="39"/>
  <c r="AB68" i="48"/>
  <c r="V53" i="51"/>
  <c r="S71" i="53"/>
  <c r="O197" i="49"/>
  <c r="R63" i="39"/>
  <c r="O11" i="47"/>
  <c r="O14" i="47"/>
  <c r="M4" i="52"/>
  <c r="R78" i="37"/>
  <c r="X28" i="47"/>
  <c r="I3" i="52"/>
  <c r="O291" i="49"/>
  <c r="Y150" i="49"/>
  <c r="AF40" i="42"/>
  <c r="AD2" i="24"/>
  <c r="T54" i="53"/>
  <c r="L7" i="43"/>
  <c r="AB282" i="49"/>
  <c r="S7" i="37"/>
  <c r="D9" i="51"/>
  <c r="R103" i="33"/>
  <c r="AB57" i="50"/>
  <c r="AB8" i="53"/>
  <c r="Z38" i="50"/>
  <c r="AB334" i="49"/>
  <c r="K15" i="43"/>
  <c r="S173" i="39"/>
  <c r="B128" i="34"/>
  <c r="G89" i="34"/>
  <c r="AF14" i="43"/>
  <c r="N59" i="49"/>
  <c r="O303" i="49"/>
  <c r="Y49" i="53"/>
  <c r="T318" i="49"/>
  <c r="S22" i="48"/>
  <c r="AA141" i="49"/>
  <c r="C51" i="34"/>
  <c r="N19" i="47"/>
  <c r="Z165" i="49"/>
  <c r="AG38" i="42"/>
  <c r="B106" i="34"/>
  <c r="T29" i="48"/>
  <c r="X186" i="49"/>
  <c r="Y89" i="48"/>
  <c r="Q435" i="33"/>
  <c r="J20" i="53"/>
  <c r="R102" i="33"/>
  <c r="AA7" i="53"/>
  <c r="AB34" i="50"/>
  <c r="J76" i="53"/>
  <c r="Z314" i="49"/>
  <c r="AA6" i="48"/>
  <c r="AG85" i="42"/>
  <c r="Q362" i="33"/>
  <c r="AB39" i="53"/>
  <c r="T51" i="53"/>
  <c r="Z211" i="49"/>
  <c r="O62" i="50"/>
  <c r="X65" i="49"/>
  <c r="S202" i="39"/>
  <c r="G40" i="34"/>
  <c r="Y145" i="49"/>
  <c r="N38" i="50"/>
  <c r="X7" i="47"/>
  <c r="O73" i="50"/>
  <c r="O66" i="49"/>
  <c r="AB130" i="49"/>
  <c r="AB75" i="53"/>
  <c r="N27" i="59"/>
  <c r="J28" i="42"/>
  <c r="O41" i="50"/>
  <c r="O75" i="47"/>
  <c r="N10" i="51"/>
  <c r="S85" i="48"/>
  <c r="S231" i="49"/>
  <c r="Y166" i="49"/>
  <c r="E5" i="37"/>
  <c r="O100" i="50"/>
  <c r="R202" i="33"/>
  <c r="S124" i="38"/>
  <c r="Z362" i="49"/>
  <c r="AF11" i="42"/>
  <c r="AB121" i="50"/>
  <c r="S6" i="47"/>
  <c r="O265" i="49"/>
  <c r="Z13" i="51"/>
  <c r="X70" i="50"/>
  <c r="N300" i="49"/>
  <c r="O223" i="49"/>
  <c r="R281" i="33"/>
  <c r="AG91" i="43"/>
  <c r="Y34" i="50"/>
  <c r="AA102" i="50"/>
  <c r="O116" i="50"/>
  <c r="AB210" i="49"/>
  <c r="Y4" i="53"/>
  <c r="S67" i="48"/>
  <c r="S105" i="37"/>
  <c r="S14" i="49"/>
  <c r="Z76" i="49"/>
  <c r="S13" i="53"/>
  <c r="Q177" i="33"/>
  <c r="X49" i="47"/>
  <c r="N202" i="49"/>
  <c r="Y380" i="49"/>
  <c r="Z54" i="51"/>
  <c r="J35" i="7"/>
  <c r="X96" i="49"/>
  <c r="T163" i="49"/>
  <c r="AG181" i="42"/>
  <c r="AG87" i="43"/>
  <c r="Q53" i="33"/>
  <c r="AH13" i="50"/>
  <c r="O32" i="49"/>
  <c r="L18" i="44"/>
  <c r="B90" i="34"/>
  <c r="X31" i="50"/>
  <c r="Y24" i="50"/>
  <c r="V7" i="51"/>
  <c r="Y41" i="51"/>
  <c r="S16" i="47"/>
  <c r="AF184" i="42"/>
  <c r="R258" i="33"/>
  <c r="Y55" i="48"/>
  <c r="X172" i="49"/>
  <c r="Y101" i="50"/>
  <c r="Q372" i="33"/>
  <c r="Z74" i="49"/>
  <c r="J82" i="53"/>
  <c r="R6" i="37"/>
  <c r="Y9" i="53"/>
  <c r="N371" i="49"/>
  <c r="D13" i="54"/>
  <c r="R300" i="33"/>
  <c r="E21" i="39"/>
  <c r="AG42" i="42"/>
  <c r="C11" i="34"/>
  <c r="X365" i="49"/>
  <c r="Y42" i="47"/>
  <c r="H5" i="45"/>
  <c r="AF146" i="42"/>
  <c r="AF16" i="42"/>
  <c r="X22" i="50"/>
  <c r="R6" i="38"/>
  <c r="R16" i="39"/>
  <c r="AB57" i="53"/>
  <c r="T3" i="44" a="1"/>
  <c r="AG126" i="43"/>
  <c r="N7" i="48"/>
  <c r="X17" i="49"/>
  <c r="O151" i="49"/>
  <c r="AG30" i="42"/>
  <c r="R111" i="38"/>
  <c r="N14" i="51"/>
  <c r="AA196" i="49"/>
  <c r="N28" i="49"/>
  <c r="S351" i="49"/>
  <c r="S69" i="50"/>
  <c r="L21" i="51"/>
  <c r="K4" i="33"/>
  <c r="S123" i="49"/>
  <c r="E5" i="42"/>
  <c r="Y13" i="44" a="1"/>
  <c r="Z83" i="50"/>
  <c r="N76" i="47"/>
  <c r="AA293" i="49"/>
  <c r="S140" i="37"/>
  <c r="AA312" i="49"/>
  <c r="R383" i="33"/>
  <c r="Y54" i="51"/>
  <c r="S20" i="47"/>
  <c r="S175" i="37"/>
  <c r="O231" i="49"/>
  <c r="N77" i="49"/>
  <c r="AB29" i="48"/>
  <c r="AF102" i="43"/>
  <c r="B71" i="34"/>
  <c r="R112" i="39"/>
  <c r="H5" i="37"/>
  <c r="AB139" i="49"/>
  <c r="O189" i="49"/>
  <c r="Z20" i="48"/>
  <c r="C12" i="34"/>
  <c r="R146" i="37"/>
  <c r="Z346" i="49"/>
  <c r="AF229" i="42"/>
  <c r="G126" i="34"/>
  <c r="O36" i="48"/>
  <c r="O19" i="49"/>
  <c r="Z61" i="53"/>
  <c r="S326" i="49"/>
  <c r="Y75" i="48"/>
  <c r="T29" i="53"/>
  <c r="S128" i="37"/>
  <c r="G45" i="24"/>
  <c r="C45" i="50"/>
  <c r="F7" i="42"/>
  <c r="Y209" i="49"/>
  <c r="Q208" i="33"/>
  <c r="N22" i="59"/>
  <c r="AF84" i="43"/>
  <c r="R170" i="38"/>
  <c r="AB30" i="48"/>
  <c r="AF76" i="42"/>
  <c r="R88" i="33"/>
  <c r="AA180" i="49"/>
  <c r="AJ4" i="47"/>
  <c r="T21" i="53"/>
  <c r="S33" i="39"/>
  <c r="D71" i="34"/>
  <c r="Z273" i="49"/>
  <c r="D69" i="34"/>
  <c r="B57" i="34"/>
  <c r="O29" i="49"/>
  <c r="S68" i="53"/>
  <c r="R72" i="37"/>
  <c r="AB115" i="49"/>
  <c r="O10" i="50"/>
  <c r="N316" i="49"/>
  <c r="T71" i="50"/>
  <c r="AG145" i="42"/>
  <c r="J85" i="53"/>
  <c r="I8" i="37"/>
  <c r="J32" i="9"/>
  <c r="N9" i="51"/>
  <c r="AG198" i="42"/>
  <c r="Y59" i="53"/>
  <c r="C43" i="34"/>
  <c r="D42" i="59"/>
  <c r="T78" i="47"/>
  <c r="Q471" i="33"/>
  <c r="Y30" i="51"/>
  <c r="AB75" i="49"/>
  <c r="Y156" i="49"/>
  <c r="Z4" i="49"/>
  <c r="W29" i="51"/>
  <c r="X211" i="49"/>
  <c r="AA21" i="48"/>
  <c r="R458" i="33"/>
  <c r="G103" i="34"/>
  <c r="Z22" i="48"/>
  <c r="AB310" i="49"/>
  <c r="S94" i="37"/>
  <c r="AG86" i="43"/>
  <c r="R203" i="38"/>
  <c r="Q496" i="33"/>
  <c r="R19" i="33"/>
  <c r="AB213" i="49"/>
  <c r="X305" i="49"/>
  <c r="O321" i="49"/>
  <c r="Q455" i="33"/>
  <c r="S148" i="49"/>
  <c r="T328" i="49"/>
  <c r="M54" i="51"/>
  <c r="AA3" i="47"/>
  <c r="AB189" i="49"/>
  <c r="AF49" i="44"/>
  <c r="G112" i="34"/>
  <c r="K20" i="43"/>
  <c r="Y72" i="53"/>
  <c r="O63" i="47"/>
  <c r="S130" i="49"/>
  <c r="I1" i="58"/>
  <c r="M50" i="59"/>
  <c r="AA299" i="49"/>
  <c r="Z148" i="49"/>
  <c r="R461" i="33"/>
  <c r="O372" i="49"/>
  <c r="Q462" i="33"/>
  <c r="Q35" i="51"/>
  <c r="Y63" i="50"/>
  <c r="X56" i="53"/>
  <c r="R77" i="37"/>
  <c r="Q138" i="33"/>
  <c r="C76" i="34"/>
  <c r="AF230" i="42"/>
  <c r="S31" i="49"/>
  <c r="H32" i="51"/>
  <c r="C87" i="34"/>
  <c r="Y252" i="49"/>
  <c r="N136" i="49"/>
  <c r="Z11" i="49"/>
  <c r="S151" i="49"/>
  <c r="S30" i="38"/>
  <c r="Y80" i="53"/>
  <c r="AB325" i="49"/>
  <c r="Z84" i="53"/>
  <c r="Q32" i="51"/>
  <c r="Z13" i="53"/>
  <c r="R133" i="39"/>
  <c r="J34" i="50"/>
  <c r="Y15" i="48"/>
  <c r="V239" i="49" l="1"/>
  <c r="V27" i="53"/>
  <c r="K26" i="51"/>
  <c r="V58" i="50"/>
  <c r="P116" i="55"/>
  <c r="O117" i="55"/>
  <c r="I110" i="55"/>
  <c r="N76" i="55"/>
  <c r="B91" i="55"/>
  <c r="D64" i="55"/>
  <c r="E67" i="55"/>
  <c r="D99" i="55"/>
  <c r="F40" i="55"/>
  <c r="D113" i="55"/>
  <c r="O54" i="55"/>
  <c r="C90" i="55"/>
  <c r="M116" i="55"/>
  <c r="E74" i="55"/>
  <c r="F7" i="55"/>
  <c r="J114" i="55"/>
  <c r="U53" i="55"/>
  <c r="B40" i="55"/>
  <c r="K88" i="55"/>
  <c r="D25" i="55"/>
  <c r="I102" i="55"/>
  <c r="P42" i="55"/>
  <c r="R60" i="55"/>
  <c r="I82" i="55"/>
  <c r="G56" i="55"/>
  <c r="M80" i="55"/>
  <c r="G118" i="55"/>
  <c r="P87" i="55"/>
  <c r="J94" i="55"/>
  <c r="L116" i="55"/>
  <c r="T66" i="55"/>
  <c r="U104" i="55"/>
  <c r="Q121" i="55"/>
  <c r="C109" i="55"/>
  <c r="D72" i="55"/>
  <c r="U39" i="55"/>
  <c r="K33" i="55"/>
  <c r="N65" i="55"/>
  <c r="G73" i="55"/>
  <c r="T21" i="55"/>
  <c r="L79" i="55"/>
  <c r="I86" i="55"/>
  <c r="L31" i="55"/>
  <c r="M78" i="55"/>
  <c r="D92" i="55"/>
  <c r="U65" i="55"/>
  <c r="G45" i="55"/>
  <c r="U24" i="55"/>
  <c r="N51" i="55"/>
  <c r="J59" i="55"/>
  <c r="Q50" i="55"/>
  <c r="N60" i="55"/>
  <c r="O34" i="55"/>
  <c r="C17" i="55"/>
  <c r="R40" i="55"/>
  <c r="N23" i="55"/>
  <c r="C94" i="55"/>
  <c r="C101" i="55"/>
  <c r="B84" i="55"/>
  <c r="H15" i="55"/>
  <c r="O18" i="55"/>
  <c r="M64" i="55"/>
  <c r="B14" i="55"/>
  <c r="P107" i="55"/>
  <c r="P108" i="55"/>
  <c r="H68" i="55"/>
  <c r="U94" i="55"/>
  <c r="S92" i="55"/>
  <c r="S53" i="55"/>
  <c r="G87" i="55"/>
  <c r="C41" i="55"/>
  <c r="L115" i="55"/>
  <c r="N93" i="55"/>
  <c r="O41" i="55"/>
  <c r="H50" i="55"/>
  <c r="Q83" i="55"/>
  <c r="C73" i="55"/>
  <c r="T54" i="55"/>
  <c r="P103" i="55"/>
  <c r="I13" i="55"/>
  <c r="K67" i="55"/>
  <c r="J33" i="55"/>
  <c r="S62" i="55"/>
  <c r="K103" i="55"/>
  <c r="O23" i="55"/>
  <c r="O44" i="55"/>
  <c r="H69" i="55"/>
  <c r="K20" i="55"/>
  <c r="L107" i="55"/>
  <c r="N55" i="55"/>
  <c r="I93" i="55"/>
  <c r="F29" i="55"/>
  <c r="S11" i="55"/>
  <c r="U41" i="55"/>
  <c r="F88" i="55"/>
  <c r="H71" i="55"/>
  <c r="M30" i="55"/>
  <c r="J15" i="55"/>
  <c r="M108" i="55"/>
  <c r="O33" i="55"/>
  <c r="G90" i="55"/>
  <c r="T16" i="55"/>
  <c r="Q51" i="55"/>
  <c r="R86" i="55"/>
  <c r="J21" i="55"/>
  <c r="F51" i="55"/>
  <c r="H103" i="55"/>
  <c r="N12" i="55"/>
  <c r="G65" i="55"/>
  <c r="P38" i="55"/>
  <c r="S75" i="55"/>
  <c r="F64" i="55"/>
  <c r="K32" i="55"/>
  <c r="S25" i="55"/>
  <c r="S40" i="55"/>
  <c r="K81" i="55"/>
  <c r="H34" i="55"/>
  <c r="O74" i="55"/>
  <c r="P99" i="55"/>
  <c r="M110" i="55"/>
  <c r="B86" i="55"/>
  <c r="D7" i="55"/>
  <c r="C70" i="55"/>
  <c r="Q87" i="55"/>
  <c r="I2" i="55"/>
  <c r="B25" i="55"/>
  <c r="N85" i="55"/>
  <c r="U62" i="55"/>
  <c r="E114" i="55"/>
  <c r="Q86" i="55"/>
  <c r="M21" i="55"/>
  <c r="E15" i="55"/>
  <c r="Q107" i="55"/>
  <c r="F46" i="55"/>
  <c r="P14" i="55"/>
  <c r="I122" i="55"/>
  <c r="E18" i="55"/>
  <c r="H84" i="55"/>
  <c r="E79" i="55"/>
  <c r="B89" i="55"/>
  <c r="D42" i="55"/>
  <c r="F71" i="55"/>
  <c r="I69" i="55"/>
  <c r="N35" i="55"/>
  <c r="H22" i="55"/>
  <c r="N116" i="55"/>
  <c r="P13" i="55"/>
  <c r="P33" i="55"/>
  <c r="C82" i="55"/>
  <c r="H42" i="55"/>
  <c r="G59" i="55"/>
  <c r="F97" i="55"/>
  <c r="C6" i="55"/>
  <c r="B10" i="55"/>
  <c r="P66" i="55"/>
  <c r="K12" i="55"/>
  <c r="H116" i="55"/>
  <c r="J103" i="55"/>
  <c r="E63" i="55"/>
  <c r="G55" i="55"/>
  <c r="L39" i="55"/>
  <c r="H63" i="55"/>
  <c r="L76" i="55"/>
  <c r="F103" i="55"/>
  <c r="L20" i="55"/>
  <c r="J97" i="55"/>
  <c r="M65" i="55"/>
  <c r="L45" i="55"/>
  <c r="M29" i="55"/>
  <c r="L14" i="55"/>
  <c r="P37" i="55"/>
  <c r="C62" i="55"/>
  <c r="E43" i="55"/>
  <c r="B110" i="55"/>
  <c r="O112" i="55"/>
  <c r="C100" i="55"/>
  <c r="C76" i="55"/>
  <c r="C47" i="55"/>
  <c r="U78" i="55"/>
  <c r="C12" i="55"/>
  <c r="O121" i="55"/>
  <c r="I84" i="55"/>
  <c r="D103" i="55"/>
  <c r="B103" i="55"/>
  <c r="H105" i="55"/>
  <c r="L6" i="55"/>
  <c r="G27" i="55"/>
  <c r="Q115" i="55"/>
  <c r="N59" i="55"/>
  <c r="R121" i="55"/>
  <c r="T96" i="55"/>
  <c r="T52" i="55"/>
  <c r="T33" i="55"/>
  <c r="E69" i="55"/>
  <c r="J63" i="55"/>
  <c r="M87" i="55"/>
  <c r="M55" i="55"/>
  <c r="J93" i="55"/>
  <c r="U75" i="55"/>
  <c r="F12" i="55"/>
  <c r="H93" i="55"/>
  <c r="O92" i="55"/>
  <c r="H45" i="55"/>
  <c r="G62" i="55"/>
  <c r="K113" i="55"/>
  <c r="O65" i="55"/>
  <c r="O29" i="55"/>
  <c r="N102" i="55"/>
  <c r="J64" i="55"/>
  <c r="L56" i="55"/>
  <c r="J29" i="55"/>
  <c r="J102" i="55"/>
  <c r="B109" i="55"/>
  <c r="G99" i="55"/>
  <c r="N117" i="55"/>
  <c r="K21" i="55"/>
  <c r="R51" i="55"/>
  <c r="I11" i="55"/>
  <c r="K84" i="55"/>
  <c r="L77" i="55"/>
  <c r="E85" i="55"/>
  <c r="K57" i="55"/>
  <c r="F18" i="55"/>
  <c r="B57" i="55"/>
  <c r="M24" i="55"/>
  <c r="Q28" i="55"/>
  <c r="S41" i="55"/>
  <c r="G26" i="55"/>
  <c r="N86" i="55"/>
  <c r="Q66" i="55"/>
  <c r="I66" i="55"/>
  <c r="J101" i="55"/>
  <c r="B82" i="55"/>
  <c r="G50" i="55"/>
  <c r="J71" i="55"/>
  <c r="H2" i="55"/>
  <c r="K31" i="55"/>
  <c r="O115" i="55"/>
  <c r="B20" i="55"/>
  <c r="C116" i="55"/>
  <c r="U106" i="55"/>
  <c r="R33" i="55"/>
  <c r="C61" i="55"/>
  <c r="Q117" i="55"/>
  <c r="L93" i="55"/>
  <c r="J46" i="55"/>
  <c r="J32" i="55"/>
  <c r="E112" i="55"/>
  <c r="R50" i="55"/>
  <c r="F72" i="55"/>
  <c r="I5" i="55"/>
  <c r="H58" i="55"/>
  <c r="I30" i="55"/>
  <c r="B94" i="55"/>
  <c r="B27" i="55"/>
  <c r="E27" i="55"/>
  <c r="G61" i="55"/>
  <c r="O24" i="55"/>
  <c r="K71" i="55"/>
  <c r="C11" i="55"/>
  <c r="T115" i="55"/>
  <c r="N95" i="55"/>
  <c r="D74" i="55"/>
  <c r="F102" i="55"/>
  <c r="Q116" i="55"/>
  <c r="R47" i="55"/>
  <c r="K53" i="55"/>
  <c r="T68" i="55"/>
  <c r="K48" i="55"/>
  <c r="E77" i="55"/>
  <c r="D57" i="55"/>
  <c r="Q103" i="55"/>
  <c r="R95" i="55"/>
  <c r="D117" i="55"/>
  <c r="B112" i="55"/>
  <c r="C36" i="55"/>
  <c r="M47" i="55"/>
  <c r="T85" i="55"/>
  <c r="J92" i="55"/>
  <c r="F59" i="55"/>
  <c r="S72" i="55"/>
  <c r="E76" i="55"/>
  <c r="P122" i="55"/>
  <c r="P91" i="55"/>
  <c r="P73" i="55"/>
  <c r="L81" i="55"/>
  <c r="U31" i="55"/>
  <c r="O86" i="55"/>
  <c r="R56" i="55"/>
  <c r="Q32" i="55"/>
  <c r="J7" i="55"/>
  <c r="B54" i="55"/>
  <c r="L55" i="55"/>
  <c r="M103" i="55"/>
  <c r="I112" i="55"/>
  <c r="T58" i="55"/>
  <c r="P93" i="55"/>
  <c r="P72" i="55"/>
  <c r="J19" i="55"/>
  <c r="U109" i="55"/>
  <c r="P70" i="55"/>
  <c r="E119" i="55"/>
  <c r="J31" i="55"/>
  <c r="E95" i="55"/>
  <c r="O42" i="55"/>
  <c r="Q118" i="55"/>
  <c r="K83" i="55"/>
  <c r="D97" i="55"/>
  <c r="P17" i="55"/>
  <c r="N66" i="55"/>
  <c r="U48" i="55"/>
  <c r="S9" i="55"/>
  <c r="I64" i="55"/>
  <c r="O107" i="55"/>
  <c r="L58" i="55"/>
  <c r="O17" i="55"/>
  <c r="C57" i="55"/>
  <c r="O69" i="55"/>
  <c r="D61" i="55"/>
  <c r="T29" i="55"/>
  <c r="L43" i="55"/>
  <c r="D100" i="55"/>
  <c r="F25" i="55"/>
  <c r="N48" i="55"/>
  <c r="K109" i="55"/>
  <c r="S5" i="55"/>
  <c r="M34" i="55"/>
  <c r="U116" i="55"/>
  <c r="J100" i="55"/>
  <c r="N79" i="55"/>
  <c r="K23" i="55"/>
  <c r="U15" i="55"/>
  <c r="L24" i="55"/>
  <c r="P58" i="55"/>
  <c r="N67" i="55"/>
  <c r="L40" i="55"/>
  <c r="G53" i="55"/>
  <c r="T94" i="55"/>
  <c r="P64" i="55"/>
  <c r="O108" i="55"/>
  <c r="S16" i="55"/>
  <c r="G91" i="55"/>
  <c r="T61" i="55"/>
  <c r="R109" i="55"/>
  <c r="L60" i="55"/>
  <c r="C13" i="55"/>
  <c r="J111" i="55"/>
  <c r="N92" i="55"/>
  <c r="I94" i="55"/>
  <c r="G31" i="55"/>
  <c r="L112" i="55"/>
  <c r="P63" i="55"/>
  <c r="E45" i="55"/>
  <c r="O26" i="55"/>
  <c r="T6" i="55"/>
  <c r="K98" i="55"/>
  <c r="E53" i="55"/>
  <c r="F76" i="55"/>
  <c r="U59" i="55"/>
  <c r="J57" i="55"/>
  <c r="J119" i="55"/>
  <c r="C29" i="55"/>
  <c r="Q31" i="55"/>
  <c r="S44" i="55"/>
  <c r="M96" i="55"/>
  <c r="Q113" i="55"/>
  <c r="S77" i="55"/>
  <c r="T100" i="55"/>
  <c r="U13" i="55"/>
  <c r="H78" i="55"/>
  <c r="I53" i="55"/>
  <c r="J37" i="55"/>
  <c r="L51" i="55"/>
  <c r="Q88" i="55"/>
  <c r="L99" i="55"/>
  <c r="K87" i="55"/>
  <c r="T28" i="55"/>
  <c r="K62" i="55"/>
  <c r="F33" i="55"/>
  <c r="S37" i="55"/>
  <c r="B105" i="55"/>
  <c r="N101" i="55"/>
  <c r="E22" i="55"/>
  <c r="Q42" i="55"/>
  <c r="S58" i="55"/>
  <c r="R2" i="55"/>
  <c r="H61" i="55"/>
  <c r="S83" i="55"/>
  <c r="Q47" i="55"/>
  <c r="E64" i="55"/>
  <c r="F96" i="55"/>
  <c r="N30" i="55"/>
  <c r="I98" i="55"/>
  <c r="R8" i="55"/>
  <c r="Q59" i="55"/>
  <c r="K104" i="55"/>
  <c r="H4" i="55"/>
  <c r="T110" i="55"/>
  <c r="D36" i="55"/>
  <c r="B48" i="55"/>
  <c r="M40" i="55"/>
  <c r="N100" i="55"/>
  <c r="O40" i="55"/>
  <c r="S103" i="55"/>
  <c r="K85" i="55"/>
  <c r="C79" i="55"/>
  <c r="L7" i="55"/>
  <c r="L95" i="55"/>
  <c r="T74" i="55"/>
  <c r="H29" i="55"/>
  <c r="F110" i="55"/>
  <c r="J54" i="55"/>
  <c r="M120" i="55"/>
  <c r="T23" i="55"/>
  <c r="R112" i="55"/>
  <c r="I118" i="55"/>
  <c r="T114" i="55"/>
  <c r="T83" i="55"/>
  <c r="B83" i="55"/>
  <c r="H80" i="55"/>
  <c r="U67" i="55"/>
  <c r="G110" i="55"/>
  <c r="P26" i="55"/>
  <c r="O53" i="55"/>
  <c r="N77" i="55"/>
  <c r="J98" i="55"/>
  <c r="C114" i="55"/>
  <c r="B47" i="55"/>
  <c r="U54" i="55"/>
  <c r="H32" i="55"/>
  <c r="I100" i="55"/>
  <c r="H21" i="55"/>
  <c r="G122" i="55"/>
  <c r="J51" i="55"/>
  <c r="P88" i="55"/>
  <c r="E12" i="55"/>
  <c r="I24" i="55"/>
  <c r="S31" i="55"/>
  <c r="M69" i="55"/>
  <c r="R64" i="55"/>
  <c r="K73" i="55"/>
  <c r="P80" i="55"/>
  <c r="R57" i="55"/>
  <c r="B22" i="55"/>
  <c r="J35" i="55"/>
  <c r="Q23" i="55"/>
  <c r="L102" i="55"/>
  <c r="G11" i="55"/>
  <c r="T89" i="55"/>
  <c r="N32" i="55"/>
  <c r="C112" i="55"/>
  <c r="O110" i="55"/>
  <c r="D86" i="55"/>
  <c r="C111" i="55"/>
  <c r="L19" i="55"/>
  <c r="N5" i="55"/>
  <c r="C21" i="55"/>
  <c r="M92" i="55"/>
  <c r="J13" i="55"/>
  <c r="P10" i="55"/>
  <c r="M48" i="55"/>
  <c r="N47" i="55"/>
  <c r="U33" i="55"/>
  <c r="E59" i="55"/>
  <c r="K47" i="55"/>
  <c r="D17" i="55"/>
  <c r="M13" i="55"/>
  <c r="J85" i="55"/>
  <c r="N84" i="55"/>
  <c r="N6" i="55"/>
  <c r="G78" i="55"/>
  <c r="Q65" i="55"/>
  <c r="N22" i="55"/>
  <c r="Q53" i="55"/>
  <c r="F19" i="55"/>
  <c r="L89" i="55"/>
  <c r="J107" i="55"/>
  <c r="H85" i="55"/>
  <c r="B98" i="55"/>
  <c r="J4" i="55"/>
  <c r="M84" i="55"/>
  <c r="U77" i="55"/>
  <c r="S19" i="55"/>
  <c r="L9" i="55"/>
  <c r="T99" i="55"/>
  <c r="F60" i="55"/>
  <c r="K119" i="55"/>
  <c r="B99" i="55"/>
  <c r="S43" i="55"/>
  <c r="S68" i="55"/>
  <c r="N31" i="55"/>
  <c r="K43" i="55"/>
  <c r="U5" i="55"/>
  <c r="K3" i="55"/>
  <c r="R62" i="55"/>
  <c r="O89" i="55"/>
  <c r="K39" i="55"/>
  <c r="K8" i="55"/>
  <c r="U112" i="55"/>
  <c r="K69" i="55"/>
  <c r="T38" i="55"/>
  <c r="G14" i="55"/>
  <c r="K90" i="55"/>
  <c r="P84" i="55"/>
  <c r="I22" i="55"/>
  <c r="T120" i="55"/>
  <c r="L13" i="55"/>
  <c r="I21" i="55"/>
  <c r="M109" i="55"/>
  <c r="M10" i="55"/>
  <c r="K118" i="55"/>
  <c r="M88" i="55"/>
  <c r="J91" i="55"/>
  <c r="R114" i="55"/>
  <c r="D80" i="55"/>
  <c r="Q11" i="55"/>
  <c r="S70" i="55"/>
  <c r="S73" i="55"/>
  <c r="G80" i="55"/>
  <c r="G17" i="55"/>
  <c r="G67" i="55"/>
  <c r="E89" i="55"/>
  <c r="I17" i="55"/>
  <c r="U52" i="55"/>
  <c r="B55" i="55"/>
  <c r="N80" i="55"/>
  <c r="K91" i="55"/>
  <c r="S60" i="55"/>
  <c r="O22" i="55"/>
  <c r="F3" i="55"/>
  <c r="F43" i="55"/>
  <c r="U14" i="55"/>
  <c r="B11" i="55"/>
  <c r="J121" i="55"/>
  <c r="L82" i="55"/>
  <c r="D16" i="55"/>
  <c r="U44" i="55"/>
  <c r="B95" i="55"/>
  <c r="B49" i="55"/>
  <c r="K63" i="55"/>
  <c r="U35" i="55"/>
  <c r="H28" i="55"/>
  <c r="O20" i="55"/>
  <c r="T104" i="55"/>
  <c r="K45" i="55"/>
  <c r="N36" i="55"/>
  <c r="E19" i="55"/>
  <c r="B61" i="55"/>
  <c r="C89" i="55"/>
  <c r="K75" i="55"/>
  <c r="L86" i="55"/>
  <c r="U72" i="55"/>
  <c r="M57" i="55"/>
  <c r="P32" i="55"/>
  <c r="E41" i="55"/>
  <c r="G47" i="55"/>
  <c r="U22" i="55"/>
  <c r="M117" i="55"/>
  <c r="O99" i="55"/>
  <c r="N62" i="55"/>
  <c r="P57" i="55"/>
  <c r="F52" i="55"/>
  <c r="H53" i="55"/>
  <c r="I55" i="55"/>
  <c r="K76" i="55"/>
  <c r="J61" i="55"/>
  <c r="K112" i="55"/>
  <c r="R20" i="55"/>
  <c r="T41" i="55"/>
  <c r="C9" i="55"/>
  <c r="H72" i="55"/>
  <c r="Q73" i="55"/>
  <c r="F22" i="55"/>
  <c r="I49" i="55"/>
  <c r="H115" i="55"/>
  <c r="C121" i="55"/>
  <c r="B72" i="55"/>
  <c r="L28" i="55"/>
  <c r="U50" i="55"/>
  <c r="O100" i="55"/>
  <c r="S32" i="55"/>
  <c r="M54" i="55"/>
  <c r="S15" i="55"/>
  <c r="I121" i="55"/>
  <c r="O45" i="55"/>
  <c r="Q63" i="55"/>
  <c r="D104" i="55"/>
  <c r="S80" i="55"/>
  <c r="O11" i="55"/>
  <c r="M72" i="55"/>
  <c r="L57" i="55"/>
  <c r="H14" i="55"/>
  <c r="L5" i="55"/>
  <c r="B9" i="55"/>
  <c r="B104" i="55"/>
  <c r="O88" i="55"/>
  <c r="R69" i="55"/>
  <c r="R116" i="55"/>
  <c r="O106" i="55"/>
  <c r="K40" i="55"/>
  <c r="U113" i="55"/>
  <c r="N97" i="55"/>
  <c r="G9" i="55"/>
  <c r="M93" i="55"/>
  <c r="B2" i="55"/>
  <c r="U36" i="55"/>
  <c r="C33" i="55"/>
  <c r="E61" i="55"/>
  <c r="G92" i="55"/>
  <c r="R53" i="55"/>
  <c r="N89" i="55"/>
  <c r="K102" i="55"/>
  <c r="T12" i="55"/>
  <c r="B101" i="55"/>
  <c r="T72" i="55"/>
  <c r="N83" i="55"/>
  <c r="S95" i="55"/>
  <c r="F113" i="55"/>
  <c r="L84" i="55"/>
  <c r="T31" i="55"/>
  <c r="G15" i="55"/>
  <c r="P90" i="55"/>
  <c r="D68" i="55"/>
  <c r="R71" i="55"/>
  <c r="Q15" i="55"/>
  <c r="M100" i="55"/>
  <c r="Q70" i="55"/>
  <c r="E8" i="55"/>
  <c r="B80" i="55"/>
  <c r="O55" i="55"/>
  <c r="T88" i="55"/>
  <c r="I109" i="55"/>
  <c r="T43" i="55"/>
  <c r="E92" i="55"/>
  <c r="E90" i="55"/>
  <c r="N18" i="55"/>
  <c r="B33" i="55"/>
  <c r="S69" i="55"/>
  <c r="Q52" i="55"/>
  <c r="S79" i="55"/>
  <c r="Q69" i="55"/>
  <c r="K99" i="55"/>
  <c r="J11" i="55"/>
  <c r="O120" i="55"/>
  <c r="R75" i="55"/>
  <c r="R81" i="55"/>
  <c r="D26" i="55"/>
  <c r="K114" i="55"/>
  <c r="R43" i="55"/>
  <c r="N121" i="55"/>
  <c r="M94" i="55"/>
  <c r="T117" i="55"/>
  <c r="S102" i="55"/>
  <c r="T108" i="55"/>
  <c r="P115" i="55"/>
  <c r="U9" i="55"/>
  <c r="B46" i="55"/>
  <c r="F101" i="55"/>
  <c r="I114" i="55"/>
  <c r="D31" i="55"/>
  <c r="M4" i="55"/>
  <c r="S57" i="55"/>
  <c r="P51" i="55"/>
  <c r="N33" i="55"/>
  <c r="D48" i="55"/>
  <c r="Q67" i="55"/>
  <c r="T36" i="55"/>
  <c r="L108" i="55"/>
  <c r="T105" i="55"/>
  <c r="U122" i="55"/>
  <c r="D78" i="55"/>
  <c r="O49" i="55"/>
  <c r="G19" i="55"/>
  <c r="Q119" i="55"/>
  <c r="G52" i="55"/>
  <c r="Q26" i="55"/>
  <c r="E60" i="55"/>
  <c r="T103" i="55"/>
  <c r="E103" i="55"/>
  <c r="R91" i="55"/>
  <c r="F24" i="55"/>
  <c r="G23" i="55"/>
  <c r="L3" i="55"/>
  <c r="K117" i="55"/>
  <c r="U8" i="55"/>
  <c r="E87" i="55"/>
  <c r="D55" i="55"/>
  <c r="H23" i="55"/>
  <c r="L73" i="55"/>
  <c r="H100" i="55"/>
  <c r="D96" i="55"/>
  <c r="L54" i="55"/>
  <c r="K11" i="55"/>
  <c r="S27" i="55"/>
  <c r="P5" i="55"/>
  <c r="Q106" i="55"/>
  <c r="G98" i="55"/>
  <c r="M32" i="55"/>
  <c r="R120" i="55"/>
  <c r="M19" i="55"/>
  <c r="G64" i="55"/>
  <c r="R19" i="55"/>
  <c r="Q102" i="55"/>
  <c r="E26" i="55"/>
  <c r="J38" i="55"/>
  <c r="T20" i="55"/>
  <c r="D21" i="55"/>
  <c r="U74" i="55"/>
  <c r="E104" i="55"/>
  <c r="N7" i="55"/>
  <c r="F120" i="55"/>
  <c r="E30" i="55"/>
  <c r="I68" i="55"/>
  <c r="C103" i="55"/>
  <c r="U87" i="55"/>
  <c r="I72" i="55"/>
  <c r="Q35" i="55"/>
  <c r="D70" i="55"/>
  <c r="L29" i="55"/>
  <c r="U55" i="55"/>
  <c r="G22" i="55"/>
  <c r="M107" i="55"/>
  <c r="F119" i="55"/>
  <c r="Q111" i="55"/>
  <c r="J96" i="55"/>
  <c r="C106" i="55"/>
  <c r="O43" i="55"/>
  <c r="K64" i="55"/>
  <c r="F106" i="55"/>
  <c r="F10" i="55"/>
  <c r="C118" i="55"/>
  <c r="T55" i="55"/>
  <c r="C48" i="55"/>
  <c r="I26" i="55"/>
  <c r="L94" i="55"/>
  <c r="G101" i="55"/>
  <c r="Q79" i="55"/>
  <c r="M71" i="55"/>
  <c r="L30" i="55"/>
  <c r="B26" i="55"/>
  <c r="C67" i="55"/>
  <c r="Q55" i="55"/>
  <c r="I117" i="55"/>
  <c r="B67" i="55"/>
  <c r="O4" i="55"/>
  <c r="L92" i="55"/>
  <c r="B115" i="55"/>
  <c r="N27" i="55"/>
  <c r="G89" i="55"/>
  <c r="P104" i="55"/>
  <c r="S82" i="55"/>
  <c r="T76" i="55"/>
  <c r="L35" i="55"/>
  <c r="M14" i="55"/>
  <c r="B63" i="55"/>
  <c r="S28" i="55"/>
  <c r="B44" i="55"/>
  <c r="U85" i="55"/>
  <c r="T17" i="55"/>
  <c r="D47" i="55"/>
  <c r="F95" i="55"/>
  <c r="B53" i="55"/>
  <c r="B96" i="55"/>
  <c r="G117" i="55"/>
  <c r="C86" i="55"/>
  <c r="F38" i="55"/>
  <c r="N58" i="55"/>
  <c r="L41" i="55"/>
  <c r="I97" i="55"/>
  <c r="K121" i="55"/>
  <c r="H55" i="55"/>
  <c r="F111" i="55"/>
  <c r="S47" i="55"/>
  <c r="K24" i="55"/>
  <c r="G114" i="55"/>
  <c r="J78" i="55"/>
  <c r="G54" i="55"/>
  <c r="D116" i="55"/>
  <c r="I33" i="55"/>
  <c r="F83" i="55"/>
  <c r="I104" i="55"/>
  <c r="F34" i="55"/>
  <c r="F57" i="55"/>
  <c r="H77" i="55"/>
  <c r="Q64" i="55"/>
  <c r="P89" i="55"/>
  <c r="I19" i="55"/>
  <c r="R77" i="55"/>
  <c r="J42" i="55"/>
  <c r="U63" i="55"/>
  <c r="C95" i="55"/>
  <c r="B64" i="55"/>
  <c r="R119" i="55"/>
  <c r="D32" i="55"/>
  <c r="G41" i="55"/>
  <c r="K2" i="55"/>
  <c r="D22" i="55"/>
  <c r="J50" i="55"/>
  <c r="F89" i="55"/>
  <c r="J82" i="55"/>
  <c r="O111" i="55"/>
  <c r="B75" i="55"/>
  <c r="B87" i="55"/>
  <c r="F67" i="55"/>
  <c r="Q60" i="55"/>
  <c r="U26" i="55"/>
  <c r="E36" i="55"/>
  <c r="U110" i="55"/>
  <c r="S59" i="55"/>
  <c r="M119" i="55"/>
  <c r="O70" i="55"/>
  <c r="E50" i="55"/>
  <c r="K100" i="55"/>
  <c r="S121" i="55"/>
  <c r="S21" i="55"/>
  <c r="G16" i="55"/>
  <c r="E93" i="55"/>
  <c r="Q25" i="55"/>
  <c r="P83" i="55"/>
  <c r="E81" i="55"/>
  <c r="N107" i="55"/>
  <c r="S63" i="55"/>
  <c r="M62" i="55"/>
  <c r="Q18" i="55"/>
  <c r="N20" i="55"/>
  <c r="H98" i="55"/>
  <c r="D8" i="55"/>
  <c r="P28" i="55"/>
  <c r="O98" i="55"/>
  <c r="N120" i="55"/>
  <c r="P79" i="55"/>
  <c r="T78" i="55"/>
  <c r="T15" i="55"/>
  <c r="H7" i="55"/>
  <c r="B68" i="55"/>
  <c r="S10" i="55"/>
  <c r="K38" i="55"/>
  <c r="F39" i="55"/>
  <c r="E6" i="55"/>
  <c r="Q29" i="55"/>
  <c r="R79" i="55"/>
  <c r="T32" i="55"/>
  <c r="B31" i="55"/>
  <c r="J23" i="55"/>
  <c r="F45" i="55"/>
  <c r="P53" i="55"/>
  <c r="R10" i="55"/>
  <c r="Q104" i="55"/>
  <c r="T77" i="55"/>
  <c r="N28" i="55"/>
  <c r="B18" i="55"/>
  <c r="G5" i="55"/>
  <c r="C69" i="55"/>
  <c r="N52" i="55"/>
  <c r="J25" i="55"/>
  <c r="P18" i="55"/>
  <c r="E117" i="55"/>
  <c r="Q76" i="55"/>
  <c r="R18" i="55"/>
  <c r="O12" i="55"/>
  <c r="R70" i="55"/>
  <c r="U25" i="55"/>
  <c r="S52" i="55"/>
  <c r="J39" i="55"/>
  <c r="L63" i="55"/>
  <c r="U68" i="55"/>
  <c r="T2" i="55"/>
  <c r="C32" i="55"/>
  <c r="O48" i="55"/>
  <c r="U120" i="55"/>
  <c r="K120" i="55"/>
  <c r="N68" i="55"/>
  <c r="L68" i="55"/>
  <c r="S93" i="55"/>
  <c r="T13" i="55"/>
  <c r="J16" i="55"/>
  <c r="O81" i="55"/>
  <c r="L52" i="55"/>
  <c r="J44" i="55"/>
  <c r="H99" i="55"/>
  <c r="S87" i="55"/>
  <c r="D106" i="55"/>
  <c r="C19" i="55"/>
  <c r="N103" i="55"/>
  <c r="D108" i="55"/>
  <c r="U38" i="55"/>
  <c r="P36" i="55"/>
  <c r="Q81" i="55"/>
  <c r="G79" i="55"/>
  <c r="S54" i="55"/>
  <c r="U102" i="55"/>
  <c r="M45" i="55"/>
  <c r="Q105" i="55"/>
  <c r="F4" i="55"/>
  <c r="B6" i="55"/>
  <c r="R45" i="55"/>
  <c r="G33" i="55"/>
  <c r="E99" i="55"/>
  <c r="C31" i="55"/>
  <c r="P67" i="55"/>
  <c r="D59" i="55"/>
  <c r="G119" i="55"/>
  <c r="B8" i="55"/>
  <c r="Q110" i="55"/>
  <c r="U46" i="55"/>
  <c r="M121" i="55"/>
  <c r="U79" i="55"/>
  <c r="Q9" i="55"/>
  <c r="Q4" i="55"/>
  <c r="C68" i="55"/>
  <c r="H38" i="55"/>
  <c r="G38" i="55"/>
  <c r="H106" i="55"/>
  <c r="F35" i="55"/>
  <c r="C93" i="55"/>
  <c r="L110" i="55"/>
  <c r="R73" i="55"/>
  <c r="N75" i="55"/>
  <c r="M46" i="55"/>
  <c r="C30" i="55"/>
  <c r="E23" i="55"/>
  <c r="U47" i="55"/>
  <c r="D3" i="55"/>
  <c r="I9" i="55"/>
  <c r="T122" i="55"/>
  <c r="K95" i="55"/>
  <c r="C10" i="55"/>
  <c r="N45" i="55"/>
  <c r="E56" i="55"/>
  <c r="T19" i="55"/>
  <c r="R24" i="55"/>
  <c r="H117" i="55"/>
  <c r="Q100" i="55"/>
  <c r="G6" i="55"/>
  <c r="H107" i="55"/>
  <c r="E121" i="55"/>
  <c r="E57" i="55"/>
  <c r="T118" i="55"/>
  <c r="I108" i="55"/>
  <c r="M37" i="55"/>
  <c r="C46" i="55"/>
  <c r="P54" i="55"/>
  <c r="D94" i="55"/>
  <c r="K46" i="55"/>
  <c r="Q93" i="55"/>
  <c r="F5" i="55"/>
  <c r="I29" i="55"/>
  <c r="R89" i="55"/>
  <c r="C25" i="55"/>
  <c r="L62" i="55"/>
  <c r="J28" i="55"/>
  <c r="O14" i="55"/>
  <c r="K6" i="55"/>
  <c r="Q19" i="55"/>
  <c r="R23" i="55"/>
  <c r="K42" i="55"/>
  <c r="U49" i="55"/>
  <c r="O8" i="55"/>
  <c r="P2" i="55"/>
  <c r="T95" i="55"/>
  <c r="Q97" i="55"/>
  <c r="K15" i="55"/>
  <c r="K9" i="55"/>
  <c r="T8" i="55"/>
  <c r="Q95" i="55"/>
  <c r="R15" i="55"/>
  <c r="C83" i="55"/>
  <c r="F70" i="55"/>
  <c r="O77" i="55"/>
  <c r="K96" i="55"/>
  <c r="H110" i="55"/>
  <c r="F114" i="55"/>
  <c r="I34" i="55"/>
  <c r="U98" i="55"/>
  <c r="N61" i="55"/>
  <c r="R122" i="55"/>
  <c r="C22" i="55"/>
  <c r="E66" i="55"/>
  <c r="H48" i="55"/>
  <c r="K108" i="55"/>
  <c r="J27" i="55"/>
  <c r="J36" i="55"/>
  <c r="Q98" i="55"/>
  <c r="D44" i="55"/>
  <c r="K65" i="55"/>
  <c r="R32" i="55"/>
  <c r="S111" i="55"/>
  <c r="H120" i="55"/>
  <c r="U117" i="55"/>
  <c r="Q10" i="55"/>
  <c r="D5" i="55"/>
  <c r="J10" i="55"/>
  <c r="E109" i="55"/>
  <c r="F14" i="55"/>
  <c r="U92" i="55"/>
  <c r="J47" i="55"/>
  <c r="J60" i="55"/>
  <c r="E70" i="55"/>
  <c r="L88" i="55"/>
  <c r="F37" i="55"/>
  <c r="C88" i="55"/>
  <c r="C20" i="55"/>
  <c r="N119" i="55"/>
  <c r="N57" i="55"/>
  <c r="U58" i="55"/>
  <c r="N118" i="55"/>
  <c r="K89" i="55"/>
  <c r="H18" i="55"/>
  <c r="T7" i="55"/>
  <c r="G72" i="55"/>
  <c r="R90" i="55"/>
  <c r="E7" i="55"/>
  <c r="F99" i="55"/>
  <c r="N10" i="55"/>
  <c r="I107" i="55"/>
  <c r="F44" i="55"/>
  <c r="N108" i="55"/>
  <c r="J117" i="55"/>
  <c r="J90" i="55"/>
  <c r="E38" i="55"/>
  <c r="L103" i="55"/>
  <c r="T63" i="55"/>
  <c r="T3" i="55"/>
  <c r="M23" i="55"/>
  <c r="P106" i="55"/>
  <c r="I59" i="55"/>
  <c r="J62" i="55"/>
  <c r="U86" i="55"/>
  <c r="S100" i="55"/>
  <c r="I44" i="55"/>
  <c r="R28" i="55"/>
  <c r="F2" i="55"/>
  <c r="J104" i="55"/>
  <c r="G76" i="55"/>
  <c r="H119" i="55"/>
  <c r="J116" i="55"/>
  <c r="L59" i="55"/>
  <c r="D85" i="55"/>
  <c r="Q5" i="55"/>
  <c r="B102" i="55"/>
  <c r="J40" i="55"/>
  <c r="O37" i="55"/>
  <c r="S46" i="55"/>
  <c r="E96" i="55"/>
  <c r="M67" i="55"/>
  <c r="G81" i="55"/>
  <c r="L80" i="55"/>
  <c r="F74" i="55"/>
  <c r="H111" i="55"/>
  <c r="D2" i="55"/>
  <c r="T121" i="55"/>
  <c r="R100" i="55"/>
  <c r="O9" i="55"/>
  <c r="R4" i="55"/>
  <c r="U88" i="55"/>
  <c r="E62" i="55"/>
  <c r="H65" i="55"/>
  <c r="I81" i="55"/>
  <c r="H37" i="55"/>
  <c r="G71" i="55"/>
  <c r="J26" i="55"/>
  <c r="T62" i="55"/>
  <c r="B73" i="55"/>
  <c r="J112" i="55"/>
  <c r="T53" i="55"/>
  <c r="C119" i="55"/>
  <c r="O51" i="55"/>
  <c r="M99" i="55"/>
  <c r="D37" i="55"/>
  <c r="T49" i="55"/>
  <c r="C15" i="55"/>
  <c r="J20" i="55"/>
  <c r="B119" i="55"/>
  <c r="B23" i="55"/>
  <c r="G46" i="55"/>
  <c r="G97" i="55"/>
  <c r="S115" i="55"/>
  <c r="S98" i="55"/>
  <c r="S61" i="55"/>
  <c r="G43" i="55"/>
  <c r="C24" i="55"/>
  <c r="Q30" i="55"/>
  <c r="J14" i="55"/>
  <c r="L4" i="55"/>
  <c r="F62" i="55"/>
  <c r="D12" i="55"/>
  <c r="E65" i="55"/>
  <c r="B39" i="55"/>
  <c r="P96" i="55"/>
  <c r="U100" i="55"/>
  <c r="O90" i="55"/>
  <c r="K10" i="55"/>
  <c r="E40" i="55"/>
  <c r="F65" i="55"/>
  <c r="E78" i="55"/>
  <c r="Q39" i="55"/>
  <c r="H13" i="55"/>
  <c r="L26" i="55"/>
  <c r="H96" i="55"/>
  <c r="Q122" i="55"/>
  <c r="D6" i="55"/>
  <c r="I6" i="55"/>
  <c r="N78" i="55"/>
  <c r="E80" i="55"/>
  <c r="M82" i="55"/>
  <c r="I36" i="55"/>
  <c r="B36" i="55"/>
  <c r="E21" i="55"/>
  <c r="K55" i="55"/>
  <c r="K77" i="55"/>
  <c r="N38" i="55"/>
  <c r="N82" i="55"/>
  <c r="N46" i="55"/>
  <c r="M79" i="55"/>
  <c r="S107" i="55"/>
  <c r="C54" i="55"/>
  <c r="N37" i="55"/>
  <c r="F55" i="55"/>
  <c r="E32" i="55"/>
  <c r="L18" i="55"/>
  <c r="C99" i="55"/>
  <c r="S7" i="55"/>
  <c r="U20" i="55"/>
  <c r="R110" i="55"/>
  <c r="E106" i="55"/>
  <c r="P25" i="55"/>
  <c r="P7" i="55"/>
  <c r="H24" i="55"/>
  <c r="B41" i="55"/>
  <c r="D120" i="55"/>
  <c r="R36" i="55"/>
  <c r="H79" i="55"/>
  <c r="I37" i="55"/>
  <c r="M59" i="55"/>
  <c r="E107" i="55"/>
  <c r="K106" i="55"/>
  <c r="T113" i="55"/>
  <c r="R29" i="55"/>
  <c r="P23" i="55"/>
  <c r="Q3" i="55"/>
  <c r="H47" i="55"/>
  <c r="D33" i="55"/>
  <c r="O27" i="55"/>
  <c r="I61" i="55"/>
  <c r="C8" i="55"/>
  <c r="C97" i="55"/>
  <c r="D76" i="55"/>
  <c r="Q68" i="55"/>
  <c r="D81" i="55"/>
  <c r="Q48" i="55"/>
  <c r="E3" i="55"/>
  <c r="N40" i="55"/>
  <c r="B38" i="55"/>
  <c r="Q78" i="55"/>
  <c r="H81" i="55"/>
  <c r="P3" i="55"/>
  <c r="Q84" i="55"/>
  <c r="P12" i="55"/>
  <c r="P112" i="55"/>
  <c r="E34" i="55"/>
  <c r="G42" i="55"/>
  <c r="J118" i="55"/>
  <c r="H57" i="55"/>
  <c r="R42" i="55"/>
  <c r="O21" i="55"/>
  <c r="P46" i="55"/>
  <c r="Q92" i="55"/>
  <c r="R61" i="55"/>
  <c r="S64" i="55"/>
  <c r="U119" i="55"/>
  <c r="H118" i="55"/>
  <c r="L90" i="55"/>
  <c r="R104" i="55"/>
  <c r="K5" i="55"/>
  <c r="H89" i="55"/>
  <c r="B114" i="55"/>
  <c r="P75" i="55"/>
  <c r="T42" i="55"/>
  <c r="G107" i="55"/>
  <c r="I27" i="55"/>
  <c r="E88" i="55"/>
  <c r="G82" i="55"/>
  <c r="G68" i="55"/>
  <c r="R27" i="55"/>
  <c r="J45" i="55"/>
  <c r="I4" i="55"/>
  <c r="B106" i="55"/>
  <c r="R59" i="55"/>
  <c r="J72" i="55"/>
  <c r="S114" i="55"/>
  <c r="R115" i="55"/>
  <c r="N81" i="55"/>
  <c r="E46" i="55"/>
  <c r="G75" i="55"/>
  <c r="L48" i="55"/>
  <c r="B7" i="55"/>
  <c r="N105" i="55"/>
  <c r="I32" i="55"/>
  <c r="D83" i="55"/>
  <c r="C91" i="55"/>
  <c r="F61" i="55"/>
  <c r="B4" i="55"/>
  <c r="Q16" i="55"/>
  <c r="C66" i="55"/>
  <c r="E11" i="55"/>
  <c r="U93" i="55"/>
  <c r="B28" i="55"/>
  <c r="P101" i="55"/>
  <c r="P50" i="55"/>
  <c r="Q114" i="55"/>
  <c r="E55" i="55"/>
  <c r="D23" i="55"/>
  <c r="P43" i="55"/>
  <c r="C122" i="55"/>
  <c r="C81" i="55"/>
  <c r="J89" i="55"/>
  <c r="T79" i="55"/>
  <c r="G29" i="55"/>
  <c r="N53" i="55"/>
  <c r="K105" i="55"/>
  <c r="J68" i="55"/>
  <c r="F6" i="55"/>
  <c r="U83" i="55"/>
  <c r="G2" i="55"/>
  <c r="Q22" i="55"/>
  <c r="R111" i="55"/>
  <c r="O79" i="55"/>
  <c r="G40" i="55"/>
  <c r="K107" i="55"/>
  <c r="I106" i="55"/>
  <c r="S122" i="55"/>
  <c r="U69" i="55"/>
  <c r="B29" i="55"/>
  <c r="G69" i="55"/>
  <c r="M52" i="55"/>
  <c r="P118" i="55"/>
  <c r="P40" i="55"/>
  <c r="P9" i="55"/>
  <c r="K97" i="55"/>
  <c r="O71" i="55"/>
  <c r="P119" i="55"/>
  <c r="B37" i="55"/>
  <c r="N64" i="55"/>
  <c r="I115" i="55"/>
  <c r="N94" i="55"/>
  <c r="R87" i="55"/>
  <c r="Q6" i="55"/>
  <c r="Q109" i="55"/>
  <c r="M81" i="55"/>
  <c r="C45" i="55"/>
  <c r="G20" i="55"/>
  <c r="J106" i="55"/>
  <c r="R52" i="55"/>
  <c r="T67" i="55"/>
  <c r="O64" i="55"/>
  <c r="M98" i="55"/>
  <c r="S42" i="55"/>
  <c r="H101" i="55"/>
  <c r="U96" i="55"/>
  <c r="L121" i="55"/>
  <c r="R30" i="55"/>
  <c r="T27" i="55"/>
  <c r="P82" i="55"/>
  <c r="H73" i="55"/>
  <c r="O58" i="55"/>
  <c r="K101" i="55"/>
  <c r="G37" i="55"/>
  <c r="F118" i="55"/>
  <c r="M97" i="55"/>
  <c r="U114" i="55"/>
  <c r="E110" i="55"/>
  <c r="G70" i="55"/>
  <c r="O118" i="55"/>
  <c r="Q49" i="55"/>
  <c r="S117" i="55"/>
  <c r="B60" i="55"/>
  <c r="R98" i="55"/>
  <c r="S34" i="55"/>
  <c r="U56" i="55"/>
  <c r="U43" i="55"/>
  <c r="C14" i="55"/>
  <c r="D11" i="55"/>
  <c r="D49" i="55"/>
  <c r="R106" i="55"/>
  <c r="S8" i="55"/>
  <c r="D38" i="55"/>
  <c r="Q2" i="55"/>
  <c r="S23" i="55"/>
  <c r="N72" i="55"/>
  <c r="P60" i="55"/>
  <c r="M105" i="55"/>
  <c r="C37" i="55"/>
  <c r="F15" i="55"/>
  <c r="N14" i="55"/>
  <c r="T47" i="55"/>
  <c r="S81" i="55"/>
  <c r="O114" i="55"/>
  <c r="E35" i="55"/>
  <c r="I42" i="55"/>
  <c r="F28" i="55"/>
  <c r="F36" i="55"/>
  <c r="I48" i="55"/>
  <c r="N109" i="55"/>
  <c r="D122" i="55"/>
  <c r="S112" i="55"/>
  <c r="T92" i="55"/>
  <c r="G25" i="55"/>
  <c r="I78" i="55"/>
  <c r="U84" i="55"/>
  <c r="E73" i="55"/>
  <c r="M83" i="55"/>
  <c r="R67" i="55"/>
  <c r="J67" i="55"/>
  <c r="R17" i="55"/>
  <c r="F94" i="55"/>
  <c r="O35" i="55"/>
  <c r="R107" i="55"/>
  <c r="Q120" i="55"/>
  <c r="O5" i="55"/>
  <c r="G7" i="55"/>
  <c r="N49" i="55"/>
  <c r="I16" i="55"/>
  <c r="P111" i="55"/>
  <c r="Q7" i="55"/>
  <c r="G94" i="55"/>
  <c r="N63" i="55"/>
  <c r="B122" i="55"/>
  <c r="L34" i="55"/>
  <c r="M28" i="55"/>
  <c r="K78" i="55"/>
  <c r="F81" i="55"/>
  <c r="S76" i="55"/>
  <c r="H49" i="55"/>
  <c r="U81" i="55"/>
  <c r="J122" i="55"/>
  <c r="Q20" i="55"/>
  <c r="M15" i="55"/>
  <c r="I87" i="55"/>
  <c r="U91" i="55"/>
  <c r="K66" i="55"/>
  <c r="M111" i="55"/>
  <c r="R12" i="55"/>
  <c r="R38" i="55"/>
  <c r="E105" i="55"/>
  <c r="D121" i="55"/>
  <c r="K13" i="55"/>
  <c r="P4" i="55"/>
  <c r="B107" i="55"/>
  <c r="H41" i="55"/>
  <c r="O116" i="55"/>
  <c r="R7" i="55"/>
  <c r="S29" i="55"/>
  <c r="O80" i="55"/>
  <c r="P34" i="55"/>
  <c r="U57" i="55"/>
  <c r="O102" i="55"/>
  <c r="H43" i="55"/>
  <c r="N2" i="55"/>
  <c r="K37" i="55"/>
  <c r="K26" i="55"/>
  <c r="F56" i="55"/>
  <c r="F93" i="55"/>
  <c r="T37" i="55"/>
  <c r="G28" i="55"/>
  <c r="R78" i="55"/>
  <c r="F20" i="55"/>
  <c r="N115" i="55"/>
  <c r="B69" i="55"/>
  <c r="S99" i="55"/>
  <c r="D71" i="55"/>
  <c r="O85" i="55"/>
  <c r="J49" i="55"/>
  <c r="L44" i="55"/>
  <c r="S110" i="55"/>
  <c r="F42" i="55"/>
  <c r="H5" i="55"/>
  <c r="K56" i="55"/>
  <c r="M42" i="55"/>
  <c r="K110" i="55"/>
  <c r="G111" i="55"/>
  <c r="F100" i="55"/>
  <c r="U99" i="55"/>
  <c r="M112" i="55"/>
  <c r="H17" i="55"/>
  <c r="J77" i="55"/>
  <c r="R108" i="55"/>
  <c r="R101" i="55"/>
  <c r="M89" i="55"/>
  <c r="H60" i="55"/>
  <c r="C18" i="55"/>
  <c r="P45" i="55"/>
  <c r="L75" i="55"/>
  <c r="F47" i="55"/>
  <c r="G83" i="55"/>
  <c r="M58" i="55"/>
  <c r="P44" i="55"/>
  <c r="S30" i="55"/>
  <c r="C56" i="55"/>
  <c r="I35" i="55"/>
  <c r="H31" i="55"/>
  <c r="O67" i="55"/>
  <c r="M77" i="55"/>
  <c r="N21" i="55"/>
  <c r="P55" i="55"/>
  <c r="H102" i="55"/>
  <c r="M95" i="55"/>
  <c r="H75" i="55"/>
  <c r="I67" i="55"/>
  <c r="O95" i="55"/>
  <c r="M39" i="55"/>
  <c r="I65" i="55"/>
  <c r="F105" i="55"/>
  <c r="U29" i="55"/>
  <c r="O61" i="55"/>
  <c r="T60" i="55"/>
  <c r="L27" i="55"/>
  <c r="T91" i="55"/>
  <c r="S113" i="55"/>
  <c r="B97" i="55"/>
  <c r="U60" i="55"/>
  <c r="J6" i="55"/>
  <c r="G48" i="55"/>
  <c r="H35" i="55"/>
  <c r="J9" i="55"/>
  <c r="D58" i="55"/>
  <c r="P117" i="55"/>
  <c r="R3" i="55"/>
  <c r="T71" i="55"/>
  <c r="R84" i="55"/>
  <c r="D88" i="55"/>
  <c r="E17" i="55"/>
  <c r="D101" i="55"/>
  <c r="Q37" i="55"/>
  <c r="I79" i="55"/>
  <c r="L72" i="55"/>
  <c r="F16" i="55"/>
  <c r="P31" i="55"/>
  <c r="I43" i="55"/>
  <c r="D40" i="55"/>
  <c r="G32" i="55"/>
  <c r="E101" i="55"/>
  <c r="J109" i="55"/>
  <c r="M61" i="55"/>
  <c r="G74" i="55"/>
  <c r="K58" i="55"/>
  <c r="E16" i="55"/>
  <c r="D29" i="55"/>
  <c r="G88" i="55"/>
  <c r="B35" i="55"/>
  <c r="L119" i="55"/>
  <c r="G4" i="55"/>
  <c r="J55" i="55"/>
  <c r="L122" i="55"/>
  <c r="T65" i="55"/>
  <c r="N112" i="55"/>
  <c r="C71" i="55"/>
  <c r="C78" i="55"/>
  <c r="H39" i="55"/>
  <c r="M12" i="55"/>
  <c r="P47" i="55"/>
  <c r="U118" i="55"/>
  <c r="Q12" i="55"/>
  <c r="P110" i="55"/>
  <c r="N74" i="55"/>
  <c r="M5" i="55"/>
  <c r="R66" i="55"/>
  <c r="Q62" i="55"/>
  <c r="L101" i="55"/>
  <c r="F17" i="55"/>
  <c r="S13" i="55"/>
  <c r="D115" i="55"/>
  <c r="C42" i="55"/>
  <c r="B24" i="55"/>
  <c r="T51" i="55"/>
  <c r="I85" i="55"/>
  <c r="P59" i="55"/>
  <c r="R58" i="55"/>
  <c r="I60" i="55"/>
  <c r="E75" i="55"/>
  <c r="D41" i="55"/>
  <c r="K93" i="55"/>
  <c r="L85" i="55"/>
  <c r="H112" i="55"/>
  <c r="J24" i="55"/>
  <c r="G60" i="55"/>
  <c r="O91" i="55"/>
  <c r="O13" i="55"/>
  <c r="O96" i="55"/>
  <c r="D110" i="55"/>
  <c r="Q17" i="55"/>
  <c r="E14" i="55"/>
  <c r="I18" i="55"/>
  <c r="E120" i="55"/>
  <c r="F53" i="55"/>
  <c r="E102" i="55"/>
  <c r="N98" i="55"/>
  <c r="S45" i="55"/>
  <c r="L97" i="55"/>
  <c r="T34" i="55"/>
  <c r="M44" i="55"/>
  <c r="I116" i="55"/>
  <c r="K25" i="55"/>
  <c r="B45" i="55"/>
  <c r="G84" i="55"/>
  <c r="Q108" i="55"/>
  <c r="I92" i="55"/>
  <c r="C27" i="55"/>
  <c r="P6" i="55"/>
  <c r="U107" i="55"/>
  <c r="M27" i="55"/>
  <c r="L118" i="55"/>
  <c r="U12" i="55"/>
  <c r="Q57" i="55"/>
  <c r="G105" i="55"/>
  <c r="K60" i="55"/>
  <c r="R74" i="55"/>
  <c r="D35" i="55"/>
  <c r="K68" i="55"/>
  <c r="F85" i="55"/>
  <c r="C59" i="55"/>
  <c r="H46" i="55"/>
  <c r="P61" i="55"/>
  <c r="F109" i="55"/>
  <c r="O94" i="55"/>
  <c r="O83" i="55"/>
  <c r="B21" i="55"/>
  <c r="P52" i="55"/>
  <c r="G35" i="55"/>
  <c r="P21" i="55"/>
  <c r="C51" i="55"/>
  <c r="M63" i="55"/>
  <c r="T39" i="55"/>
  <c r="S90" i="55"/>
  <c r="F31" i="55"/>
  <c r="M74" i="55"/>
  <c r="K52" i="55"/>
  <c r="K19" i="55"/>
  <c r="D107" i="55"/>
  <c r="O36" i="55"/>
  <c r="I58" i="55"/>
  <c r="G34" i="55"/>
  <c r="F75" i="55"/>
  <c r="B62" i="55"/>
  <c r="Q33" i="55"/>
  <c r="T30" i="55"/>
  <c r="J18" i="55"/>
  <c r="F11" i="55"/>
  <c r="K61" i="55"/>
  <c r="C5" i="55"/>
  <c r="M43" i="55"/>
  <c r="Q72" i="55"/>
  <c r="B3" i="55"/>
  <c r="E2" i="55"/>
  <c r="T109" i="55"/>
  <c r="R16" i="55"/>
  <c r="Q71" i="55"/>
  <c r="M9" i="55"/>
  <c r="S24" i="55"/>
  <c r="H33" i="55"/>
  <c r="P77" i="55"/>
  <c r="H114" i="55"/>
  <c r="T57" i="55"/>
  <c r="H108" i="55"/>
  <c r="K54" i="55"/>
  <c r="Q74" i="55"/>
  <c r="M91" i="55"/>
  <c r="Q36" i="55"/>
  <c r="F80" i="55"/>
  <c r="E58" i="55"/>
  <c r="T59" i="55"/>
  <c r="C75" i="55"/>
  <c r="C64" i="55"/>
  <c r="H40" i="55"/>
  <c r="T64" i="55"/>
  <c r="L100" i="55"/>
  <c r="L64" i="55"/>
  <c r="G21" i="55"/>
  <c r="D54" i="55"/>
  <c r="J110" i="55"/>
  <c r="B78" i="55"/>
  <c r="O68" i="55"/>
  <c r="I101" i="55"/>
  <c r="E91" i="55"/>
  <c r="J76" i="55"/>
  <c r="T82" i="55"/>
  <c r="P48" i="55"/>
  <c r="H90" i="55"/>
  <c r="O103" i="55"/>
  <c r="N114" i="55"/>
  <c r="D60" i="55"/>
  <c r="B100" i="55"/>
  <c r="L98" i="55"/>
  <c r="R26" i="55"/>
  <c r="F9" i="55"/>
  <c r="U82" i="55"/>
  <c r="K70" i="55"/>
  <c r="O28" i="55"/>
  <c r="R41" i="55"/>
  <c r="S51" i="55"/>
  <c r="P35" i="55"/>
  <c r="H36" i="55"/>
  <c r="D20" i="55"/>
  <c r="P86" i="55"/>
  <c r="U70" i="55"/>
  <c r="D66" i="55"/>
  <c r="R65" i="55"/>
  <c r="E100" i="55"/>
  <c r="P69" i="55"/>
  <c r="D105" i="55"/>
  <c r="Q8" i="55"/>
  <c r="L32" i="55"/>
  <c r="N111" i="55"/>
  <c r="L111" i="55"/>
  <c r="G103" i="55"/>
  <c r="K41" i="55"/>
  <c r="M102" i="55"/>
  <c r="I54" i="55"/>
  <c r="M106" i="55"/>
  <c r="K22" i="55"/>
  <c r="P121" i="55"/>
  <c r="N70" i="55"/>
  <c r="B12" i="55"/>
  <c r="F90" i="55"/>
  <c r="G100" i="55"/>
  <c r="Q61" i="55"/>
  <c r="P105" i="55"/>
  <c r="D50" i="55"/>
  <c r="E33" i="55"/>
  <c r="S6" i="55"/>
  <c r="O30" i="55"/>
  <c r="Q24" i="55"/>
  <c r="U76" i="55"/>
  <c r="N17" i="55"/>
  <c r="N24" i="55"/>
  <c r="D9" i="55"/>
  <c r="E98" i="55"/>
  <c r="T14" i="55"/>
  <c r="I111" i="55"/>
  <c r="D24" i="55"/>
  <c r="U61" i="55"/>
  <c r="J56" i="55"/>
  <c r="E29" i="55"/>
  <c r="O87" i="55"/>
  <c r="D65" i="55"/>
  <c r="M115" i="55"/>
  <c r="B30" i="55"/>
  <c r="D109" i="55"/>
  <c r="T102" i="55"/>
  <c r="L105" i="55"/>
  <c r="C7" i="55"/>
  <c r="Q99" i="55"/>
  <c r="C4" i="55"/>
  <c r="D46" i="55"/>
  <c r="R6" i="55"/>
  <c r="H51" i="55"/>
  <c r="G10" i="55"/>
  <c r="C110" i="55"/>
  <c r="B66" i="55"/>
  <c r="J58" i="55"/>
  <c r="D28" i="55"/>
  <c r="N15" i="55"/>
  <c r="B15" i="55"/>
  <c r="I3" i="55"/>
  <c r="E9" i="55"/>
  <c r="B65" i="55"/>
  <c r="L12" i="55"/>
  <c r="C85" i="55"/>
  <c r="D91" i="55"/>
  <c r="U108" i="55"/>
  <c r="L113" i="55"/>
  <c r="I46" i="55"/>
  <c r="U21" i="55"/>
  <c r="I76" i="55"/>
  <c r="L83" i="55"/>
  <c r="Q90" i="55"/>
  <c r="E71" i="55"/>
  <c r="M66" i="55"/>
  <c r="L25" i="55"/>
  <c r="H12" i="55"/>
  <c r="T119" i="55"/>
  <c r="R35" i="55"/>
  <c r="P29" i="55"/>
  <c r="C102" i="55"/>
  <c r="R118" i="55"/>
  <c r="E111" i="55"/>
  <c r="H20" i="55"/>
  <c r="M31" i="55"/>
  <c r="K115" i="55"/>
  <c r="G96" i="55"/>
  <c r="O47" i="55"/>
  <c r="F50" i="55"/>
  <c r="U111" i="55"/>
  <c r="I45" i="55"/>
  <c r="B113" i="55"/>
  <c r="C28" i="55"/>
  <c r="K4" i="55"/>
  <c r="F84" i="55"/>
  <c r="Q94" i="55"/>
  <c r="R63" i="55"/>
  <c r="J52" i="55"/>
  <c r="O16" i="55"/>
  <c r="B90" i="55"/>
  <c r="C117" i="55"/>
  <c r="F117" i="55"/>
  <c r="D45" i="55"/>
  <c r="T50" i="55"/>
  <c r="P8" i="55"/>
  <c r="B111" i="55"/>
  <c r="C58" i="55"/>
  <c r="T10" i="55"/>
  <c r="D14" i="55"/>
  <c r="U34" i="55"/>
  <c r="M51" i="55"/>
  <c r="R37" i="55"/>
  <c r="P102" i="55"/>
  <c r="L66" i="55"/>
  <c r="O25" i="55"/>
  <c r="C35" i="55"/>
  <c r="S20" i="55"/>
  <c r="M8" i="55"/>
  <c r="T56" i="55"/>
  <c r="D90" i="55"/>
  <c r="G85" i="55"/>
  <c r="C74" i="55"/>
  <c r="G77" i="55"/>
  <c r="C77" i="55"/>
  <c r="T35" i="55"/>
  <c r="S38" i="55"/>
  <c r="I47" i="55"/>
  <c r="E44" i="55"/>
  <c r="D30" i="55"/>
  <c r="M49" i="55"/>
  <c r="U103" i="55"/>
  <c r="J8" i="55"/>
  <c r="R54" i="55"/>
  <c r="E52" i="55"/>
  <c r="H70" i="55"/>
  <c r="E4" i="55"/>
  <c r="H25" i="55"/>
  <c r="L46" i="55"/>
  <c r="B16" i="55"/>
  <c r="B85" i="55"/>
  <c r="S66" i="55"/>
  <c r="J2" i="55"/>
  <c r="R72" i="55"/>
  <c r="O57" i="55"/>
  <c r="I99" i="55"/>
  <c r="S65" i="55"/>
  <c r="K30" i="55"/>
  <c r="M3" i="55"/>
  <c r="I20" i="55"/>
  <c r="S85" i="55"/>
  <c r="B42" i="55"/>
  <c r="L67" i="55"/>
  <c r="T11" i="55"/>
  <c r="K28" i="55"/>
  <c r="T98" i="55"/>
  <c r="M122" i="55"/>
  <c r="D10" i="55"/>
  <c r="T90" i="55"/>
  <c r="J70" i="55"/>
  <c r="T107" i="55"/>
  <c r="P41" i="55"/>
  <c r="B19" i="55"/>
  <c r="P100" i="55"/>
  <c r="C115" i="55"/>
  <c r="B17" i="55"/>
  <c r="D53" i="55"/>
  <c r="M56" i="55"/>
  <c r="U16" i="55"/>
  <c r="M73" i="55"/>
  <c r="Q77" i="55"/>
  <c r="N96" i="55"/>
  <c r="H92" i="55"/>
  <c r="B32" i="55"/>
  <c r="I14" i="55"/>
  <c r="B88" i="55"/>
  <c r="I7" i="55"/>
  <c r="L78" i="55"/>
  <c r="U97" i="55"/>
  <c r="N3" i="55"/>
  <c r="O75" i="55"/>
  <c r="O119" i="55"/>
  <c r="I105" i="55"/>
  <c r="L23" i="55"/>
  <c r="M75" i="55"/>
  <c r="M22" i="55"/>
  <c r="C96" i="55"/>
  <c r="M118" i="55"/>
  <c r="K17" i="55"/>
  <c r="M18" i="55"/>
  <c r="E24" i="55"/>
  <c r="N43" i="55"/>
  <c r="O101" i="55"/>
  <c r="R88" i="55"/>
  <c r="E115" i="55"/>
  <c r="Q75" i="55"/>
  <c r="I12" i="55"/>
  <c r="U95" i="55"/>
  <c r="D62" i="55"/>
  <c r="G12" i="55"/>
  <c r="D112" i="55"/>
  <c r="M114" i="55"/>
  <c r="R39" i="55"/>
  <c r="R92" i="55"/>
  <c r="I51" i="55"/>
  <c r="G115" i="55"/>
  <c r="J108" i="55"/>
  <c r="T48" i="55"/>
  <c r="J81" i="55"/>
  <c r="I77" i="55"/>
  <c r="F87" i="55"/>
  <c r="K44" i="55"/>
  <c r="O31" i="55"/>
  <c r="M33" i="55"/>
  <c r="C23" i="55"/>
  <c r="G57" i="55"/>
  <c r="P15" i="55"/>
  <c r="Q40" i="55"/>
  <c r="N87" i="55"/>
  <c r="K80" i="55"/>
  <c r="E48" i="55"/>
  <c r="H88" i="55"/>
  <c r="S14" i="55"/>
  <c r="S104" i="55"/>
  <c r="R113" i="55"/>
  <c r="O15" i="55"/>
  <c r="G51" i="55"/>
  <c r="G112" i="55"/>
  <c r="H97" i="55"/>
  <c r="U45" i="55"/>
  <c r="I28" i="55"/>
  <c r="Q54" i="55"/>
  <c r="I39" i="55"/>
  <c r="T46" i="55"/>
  <c r="N9" i="55"/>
  <c r="R13" i="55"/>
  <c r="J73" i="55"/>
  <c r="F32" i="55"/>
  <c r="K14" i="55"/>
  <c r="G120" i="55"/>
  <c r="B71" i="55"/>
  <c r="D18" i="55"/>
  <c r="F116" i="55"/>
  <c r="U89" i="55"/>
  <c r="K18" i="55"/>
  <c r="F48" i="55"/>
  <c r="S4" i="55"/>
  <c r="N41" i="55"/>
  <c r="F79" i="55"/>
  <c r="C53" i="55"/>
  <c r="I83" i="55"/>
  <c r="P49" i="55"/>
  <c r="J105" i="55"/>
  <c r="T80" i="55"/>
  <c r="N56" i="55"/>
  <c r="C105" i="55"/>
  <c r="L91" i="55"/>
  <c r="P71" i="55"/>
  <c r="L117" i="55"/>
  <c r="D13" i="55"/>
  <c r="L37" i="55"/>
  <c r="I74" i="55"/>
  <c r="P97" i="55"/>
  <c r="L106" i="55"/>
  <c r="Q38" i="55"/>
  <c r="P22" i="55"/>
  <c r="J3" i="55"/>
  <c r="R103" i="55"/>
  <c r="U105" i="55"/>
  <c r="F86" i="55"/>
  <c r="F30" i="55"/>
  <c r="R5" i="55"/>
  <c r="J74" i="55"/>
  <c r="P16" i="55"/>
  <c r="R34" i="55"/>
  <c r="I8" i="55"/>
  <c r="Q101" i="55"/>
  <c r="J5" i="55"/>
  <c r="R55" i="55"/>
  <c r="B79" i="55"/>
  <c r="D4" i="55"/>
  <c r="T44" i="55"/>
  <c r="S56" i="55"/>
  <c r="O97" i="55"/>
  <c r="U23" i="55"/>
  <c r="O109" i="55"/>
  <c r="T4" i="55"/>
  <c r="R31" i="55"/>
  <c r="D95" i="55"/>
  <c r="M104" i="55"/>
  <c r="D52" i="55"/>
  <c r="K59" i="55"/>
  <c r="R21" i="55"/>
  <c r="Q14" i="55"/>
  <c r="I120" i="55"/>
  <c r="I70" i="55"/>
  <c r="N39" i="55"/>
  <c r="H10" i="55"/>
  <c r="J83" i="55"/>
  <c r="O82" i="55"/>
  <c r="Q85" i="55"/>
  <c r="T97" i="55"/>
  <c r="E47" i="55"/>
  <c r="L49" i="55"/>
  <c r="I31" i="55"/>
  <c r="T106" i="55"/>
  <c r="L22" i="55"/>
  <c r="H104" i="55"/>
  <c r="K16" i="55"/>
  <c r="H86" i="55"/>
  <c r="N99" i="55"/>
  <c r="G121" i="55"/>
  <c r="B74" i="55"/>
  <c r="I10" i="55"/>
  <c r="P109" i="55"/>
  <c r="F98" i="55"/>
  <c r="D98" i="55"/>
  <c r="F91" i="55"/>
  <c r="H26" i="55"/>
  <c r="K36" i="55"/>
  <c r="L42" i="55"/>
  <c r="D67" i="55"/>
  <c r="N4" i="55"/>
  <c r="G113" i="55"/>
  <c r="J88" i="55"/>
  <c r="U7" i="55"/>
  <c r="D77" i="55"/>
  <c r="J53" i="55"/>
  <c r="N106" i="55"/>
  <c r="F107" i="55"/>
  <c r="M17" i="55"/>
  <c r="M50" i="55"/>
  <c r="J79" i="55"/>
  <c r="U80" i="55"/>
  <c r="O122" i="55"/>
  <c r="M36" i="55"/>
  <c r="R46" i="55"/>
  <c r="O63" i="55"/>
  <c r="O50" i="55"/>
  <c r="F49" i="55"/>
  <c r="P95" i="55"/>
  <c r="U10" i="55"/>
  <c r="F104" i="55"/>
  <c r="H87" i="55"/>
  <c r="L38" i="55"/>
  <c r="G8" i="55"/>
  <c r="H6" i="55"/>
  <c r="N29" i="55"/>
  <c r="D102" i="55"/>
  <c r="I63" i="55"/>
  <c r="N13" i="55"/>
  <c r="O38" i="55"/>
  <c r="L69" i="55"/>
  <c r="M26" i="55"/>
  <c r="T69" i="55"/>
  <c r="C2" i="55"/>
  <c r="F82" i="55"/>
  <c r="N34" i="55"/>
  <c r="U42" i="55"/>
  <c r="B59" i="55"/>
  <c r="E68" i="55"/>
  <c r="P65" i="55"/>
  <c r="R117" i="55"/>
  <c r="L33" i="55"/>
  <c r="T73" i="55"/>
  <c r="O62" i="55"/>
  <c r="S18" i="55"/>
  <c r="O6" i="55"/>
  <c r="C98" i="55"/>
  <c r="C39" i="55"/>
  <c r="M101" i="55"/>
  <c r="N19" i="55"/>
  <c r="Q34" i="55"/>
  <c r="C34" i="55"/>
  <c r="M85" i="55"/>
  <c r="R93" i="55"/>
  <c r="B43" i="55"/>
  <c r="E113" i="55"/>
  <c r="T5" i="55"/>
  <c r="Q27" i="55"/>
  <c r="G109" i="55"/>
  <c r="L16" i="55"/>
  <c r="J120" i="55"/>
  <c r="R105" i="55"/>
  <c r="Q13" i="55"/>
  <c r="E108" i="55"/>
  <c r="T40" i="55"/>
  <c r="H121" i="55"/>
  <c r="R76" i="55"/>
  <c r="T111" i="55"/>
  <c r="D82" i="55"/>
  <c r="S39" i="55"/>
  <c r="N110" i="55"/>
  <c r="O84" i="55"/>
  <c r="H67" i="55"/>
  <c r="I91" i="55"/>
  <c r="M113" i="55"/>
  <c r="S12" i="55"/>
  <c r="S74" i="55"/>
  <c r="K51" i="55"/>
  <c r="M60" i="55"/>
  <c r="U3" i="55"/>
  <c r="S108" i="55"/>
  <c r="S91" i="55"/>
  <c r="K94" i="55"/>
  <c r="I62" i="55"/>
  <c r="D56" i="55"/>
  <c r="U32" i="55"/>
  <c r="D89" i="55"/>
  <c r="S88" i="55"/>
  <c r="N73" i="55"/>
  <c r="R102" i="55"/>
  <c r="E116" i="55"/>
  <c r="B50" i="55"/>
  <c r="K27" i="55"/>
  <c r="G44" i="55"/>
  <c r="S33" i="55"/>
  <c r="T22" i="55"/>
  <c r="O60" i="55"/>
  <c r="N91" i="55"/>
  <c r="J115" i="55"/>
  <c r="B52" i="55"/>
  <c r="R9" i="55"/>
  <c r="D63" i="55"/>
  <c r="Q112" i="55"/>
  <c r="M53" i="55"/>
  <c r="C50" i="55"/>
  <c r="P120" i="55"/>
  <c r="G102" i="55"/>
  <c r="T70" i="55"/>
  <c r="O59" i="55"/>
  <c r="G104" i="55"/>
  <c r="L96" i="55"/>
  <c r="F54" i="55"/>
  <c r="J86" i="55"/>
  <c r="F21" i="55"/>
  <c r="F69" i="55"/>
  <c r="R96" i="55"/>
  <c r="O52" i="55"/>
  <c r="J80" i="55"/>
  <c r="J95" i="55"/>
  <c r="J66" i="55"/>
  <c r="J87" i="55"/>
  <c r="S106" i="55"/>
  <c r="U30" i="55"/>
  <c r="C84" i="55"/>
  <c r="C72" i="55"/>
  <c r="M76" i="55"/>
  <c r="U71" i="55"/>
  <c r="H122" i="55"/>
  <c r="D27" i="55"/>
  <c r="H74" i="55"/>
  <c r="H62" i="55"/>
  <c r="S49" i="55"/>
  <c r="O72" i="55"/>
  <c r="S78" i="55"/>
  <c r="F13" i="55"/>
  <c r="O93" i="55"/>
  <c r="L50" i="55"/>
  <c r="U64" i="55"/>
  <c r="S105" i="55"/>
  <c r="H109" i="55"/>
  <c r="S94" i="55"/>
  <c r="S26" i="55"/>
  <c r="C52" i="55"/>
  <c r="L8" i="55"/>
  <c r="B5" i="55"/>
  <c r="M6" i="55"/>
  <c r="Q43" i="55"/>
  <c r="L104" i="55"/>
  <c r="K82" i="55"/>
  <c r="R14" i="55"/>
  <c r="M20" i="55"/>
  <c r="U6" i="55"/>
  <c r="G24" i="55"/>
  <c r="G116" i="55"/>
  <c r="P56" i="55"/>
  <c r="I90" i="55"/>
  <c r="S2" i="55"/>
  <c r="N8" i="55"/>
  <c r="R99" i="55"/>
  <c r="J41" i="55"/>
  <c r="F112" i="55"/>
  <c r="S118" i="55"/>
  <c r="O76" i="55"/>
  <c r="R85" i="55"/>
  <c r="K7" i="55"/>
  <c r="Q56" i="55"/>
  <c r="T112" i="55"/>
  <c r="L17" i="55"/>
  <c r="C104" i="55"/>
  <c r="B120" i="55"/>
  <c r="S50" i="55"/>
  <c r="R48" i="55"/>
  <c r="P62" i="55"/>
  <c r="C40" i="55"/>
  <c r="I71" i="55"/>
  <c r="K50" i="55"/>
  <c r="K79" i="55"/>
  <c r="N54" i="55"/>
  <c r="I73" i="55"/>
  <c r="F41" i="55"/>
  <c r="C38" i="55"/>
  <c r="I103" i="55"/>
  <c r="T25" i="55"/>
  <c r="N122" i="55"/>
  <c r="F23" i="55"/>
  <c r="D93" i="55"/>
  <c r="S89" i="55"/>
  <c r="Q44" i="55"/>
  <c r="I56" i="55"/>
  <c r="K92" i="55"/>
  <c r="T75" i="55"/>
  <c r="M70" i="55"/>
  <c r="I96" i="55"/>
  <c r="R11" i="55"/>
  <c r="F92" i="55"/>
  <c r="K86" i="55"/>
  <c r="Q91" i="55"/>
  <c r="G63" i="55"/>
  <c r="S71" i="55"/>
  <c r="M90" i="55"/>
  <c r="J69" i="55"/>
  <c r="O66" i="55"/>
  <c r="D19" i="55"/>
  <c r="U101" i="55"/>
  <c r="C80" i="55"/>
  <c r="U2" i="55"/>
  <c r="E54" i="55"/>
  <c r="U40" i="55"/>
  <c r="R22" i="55"/>
  <c r="L10" i="55"/>
  <c r="D73" i="55"/>
  <c r="O19" i="55"/>
  <c r="K116" i="55"/>
  <c r="L87" i="55"/>
  <c r="L11" i="55"/>
  <c r="P24" i="55"/>
  <c r="R49" i="55"/>
  <c r="B34" i="55"/>
  <c r="O46" i="55"/>
  <c r="N42" i="55"/>
  <c r="M11" i="55"/>
  <c r="U18" i="55"/>
  <c r="P11" i="55"/>
  <c r="G86" i="55"/>
  <c r="H82" i="55"/>
  <c r="N113" i="55"/>
  <c r="T18" i="55"/>
  <c r="E97" i="55"/>
  <c r="O78" i="55"/>
  <c r="B81" i="55"/>
  <c r="T26" i="55"/>
  <c r="D118" i="55"/>
  <c r="E37" i="55"/>
  <c r="L114" i="55"/>
  <c r="Q80" i="55"/>
  <c r="L65" i="55"/>
  <c r="B13" i="55"/>
  <c r="H59" i="55"/>
  <c r="D79" i="55"/>
  <c r="T9" i="55"/>
  <c r="B92" i="55"/>
  <c r="K122" i="55"/>
  <c r="N25" i="55"/>
  <c r="R94" i="55"/>
  <c r="E28" i="55"/>
  <c r="U11" i="55"/>
  <c r="I89" i="55"/>
  <c r="N11" i="55"/>
  <c r="L53" i="55"/>
  <c r="G93" i="55"/>
  <c r="N90" i="55"/>
  <c r="I95" i="55"/>
  <c r="C49" i="55"/>
  <c r="F77" i="55"/>
  <c r="P85" i="55"/>
  <c r="U19" i="55"/>
  <c r="H11" i="55"/>
  <c r="R97" i="55"/>
  <c r="E49" i="55"/>
  <c r="P113" i="55"/>
  <c r="O104" i="55"/>
  <c r="D84" i="55"/>
  <c r="O32" i="55"/>
  <c r="L109" i="55"/>
  <c r="S86" i="55"/>
  <c r="P39" i="55"/>
  <c r="C26" i="55"/>
  <c r="F73" i="55"/>
  <c r="N104" i="55"/>
  <c r="E42" i="55"/>
  <c r="C63" i="55"/>
  <c r="F66" i="55"/>
  <c r="K29" i="55"/>
  <c r="H30" i="55"/>
  <c r="I38" i="55"/>
  <c r="D51" i="55"/>
  <c r="B118" i="55"/>
  <c r="B51" i="55"/>
  <c r="J65" i="55"/>
  <c r="E118" i="55"/>
  <c r="B70" i="55"/>
  <c r="T24" i="55"/>
  <c r="R68" i="55"/>
  <c r="G13" i="55"/>
  <c r="Q45" i="55"/>
  <c r="F122" i="55"/>
  <c r="L61" i="55"/>
  <c r="S55" i="55"/>
  <c r="R83" i="55"/>
  <c r="H113" i="55"/>
  <c r="N50" i="55"/>
  <c r="J34" i="55"/>
  <c r="E31" i="55"/>
  <c r="O39" i="55"/>
  <c r="B116" i="55"/>
  <c r="B77" i="55"/>
  <c r="F68" i="55"/>
  <c r="H9" i="55"/>
  <c r="F27" i="55"/>
  <c r="M41" i="55"/>
  <c r="H19" i="55"/>
  <c r="I88" i="55"/>
  <c r="D43" i="55"/>
  <c r="H8" i="55"/>
  <c r="E5" i="55"/>
  <c r="H95" i="55"/>
  <c r="T101" i="55"/>
  <c r="M86" i="55"/>
  <c r="P76" i="55"/>
  <c r="S120" i="55"/>
  <c r="U4" i="55"/>
  <c r="I50" i="55"/>
  <c r="G3" i="55"/>
  <c r="Q58" i="55"/>
  <c r="Q41" i="55"/>
  <c r="L36" i="55"/>
  <c r="U121" i="55"/>
  <c r="E83" i="55"/>
  <c r="C44" i="55"/>
  <c r="C107" i="55"/>
  <c r="K49" i="55"/>
  <c r="S109" i="55"/>
  <c r="S48" i="55"/>
  <c r="T116" i="55"/>
  <c r="B108" i="55"/>
  <c r="B56" i="55"/>
  <c r="H44" i="55"/>
  <c r="U115" i="55"/>
  <c r="L2" i="55"/>
  <c r="H91" i="55"/>
  <c r="Q46" i="55"/>
  <c r="O73" i="55"/>
  <c r="U27" i="55"/>
  <c r="T45" i="55"/>
  <c r="E72" i="55"/>
  <c r="E20" i="55"/>
  <c r="E51" i="55"/>
  <c r="G66" i="55"/>
  <c r="P74" i="55"/>
  <c r="H66" i="55"/>
  <c r="D34" i="55"/>
  <c r="H76" i="55"/>
  <c r="H94" i="55"/>
  <c r="E94" i="55"/>
  <c r="C43" i="55"/>
  <c r="J99" i="55"/>
  <c r="G108" i="55"/>
  <c r="F26" i="55"/>
  <c r="P68" i="55"/>
  <c r="D114" i="55"/>
  <c r="C16" i="55"/>
  <c r="S116" i="55"/>
  <c r="B117" i="55"/>
  <c r="R80" i="55"/>
  <c r="L74" i="55"/>
  <c r="U66" i="55"/>
  <c r="O56" i="55"/>
  <c r="N69" i="55"/>
  <c r="N26" i="55"/>
  <c r="L71" i="55"/>
  <c r="T86" i="55"/>
  <c r="H83" i="55"/>
  <c r="G95" i="55"/>
  <c r="D75" i="55"/>
  <c r="C120" i="55"/>
  <c r="H56" i="55"/>
  <c r="U17" i="55"/>
  <c r="E25" i="55"/>
  <c r="P114" i="55"/>
  <c r="J75" i="55"/>
  <c r="O3" i="55"/>
  <c r="J48" i="55"/>
  <c r="E84" i="55"/>
  <c r="H64" i="55"/>
  <c r="P81" i="55"/>
  <c r="S84" i="55"/>
  <c r="P78" i="55"/>
  <c r="C92" i="55"/>
  <c r="T81" i="55"/>
  <c r="M16" i="55"/>
  <c r="N16" i="55"/>
  <c r="Q21" i="55"/>
  <c r="C60" i="55"/>
  <c r="C108" i="55"/>
  <c r="S3" i="55"/>
  <c r="F58" i="55"/>
  <c r="K35" i="55"/>
  <c r="E10" i="55"/>
  <c r="C55" i="55"/>
  <c r="I23" i="55"/>
  <c r="I41" i="55"/>
  <c r="E86" i="55"/>
  <c r="D111" i="55"/>
  <c r="N71" i="55"/>
  <c r="J84" i="55"/>
  <c r="S36" i="55"/>
  <c r="F63" i="55"/>
  <c r="J43" i="55"/>
  <c r="K72" i="55"/>
  <c r="L120" i="55"/>
  <c r="I80" i="55"/>
  <c r="U90" i="55"/>
  <c r="C87" i="55"/>
  <c r="M68" i="55"/>
  <c r="P98" i="55"/>
  <c r="H3" i="55"/>
  <c r="D15" i="55"/>
  <c r="P19" i="55"/>
  <c r="S97" i="55"/>
  <c r="E122" i="55"/>
  <c r="P94" i="55"/>
  <c r="G49" i="55"/>
  <c r="D87" i="55"/>
  <c r="I119" i="55"/>
  <c r="I57" i="55"/>
  <c r="T84" i="55"/>
  <c r="S96" i="55"/>
  <c r="T93" i="55"/>
  <c r="P27" i="55"/>
  <c r="B121" i="55"/>
  <c r="F121" i="55"/>
  <c r="N88" i="55"/>
  <c r="J22" i="55"/>
  <c r="K74" i="55"/>
  <c r="M7" i="55"/>
  <c r="I113" i="55"/>
  <c r="U51" i="55"/>
  <c r="F115" i="55"/>
  <c r="G106" i="55"/>
  <c r="B76" i="55"/>
  <c r="L15" i="55"/>
  <c r="S35" i="55"/>
  <c r="J30" i="55"/>
  <c r="G36" i="55"/>
  <c r="R82" i="55"/>
  <c r="N44" i="55"/>
  <c r="C3" i="55"/>
  <c r="H52" i="55"/>
  <c r="B58" i="55"/>
  <c r="Q82" i="55"/>
  <c r="B93" i="55"/>
  <c r="E13" i="55"/>
  <c r="T87" i="55"/>
  <c r="H54" i="55"/>
  <c r="O2" i="55"/>
  <c r="M2" i="55"/>
  <c r="G39" i="55"/>
  <c r="K111" i="55"/>
  <c r="I52" i="55"/>
  <c r="Q96" i="55"/>
  <c r="D119" i="55"/>
  <c r="U37" i="55"/>
  <c r="I15" i="55"/>
  <c r="P30" i="55"/>
  <c r="D39" i="55"/>
  <c r="E82" i="55"/>
  <c r="I25" i="55"/>
  <c r="M38" i="55"/>
  <c r="S67" i="55"/>
  <c r="L70" i="55"/>
  <c r="O10" i="55"/>
  <c r="L47" i="55"/>
  <c r="O7" i="55"/>
  <c r="O105" i="55"/>
  <c r="L21" i="55"/>
  <c r="R44" i="55"/>
  <c r="D69" i="55"/>
  <c r="H27" i="55"/>
  <c r="U28" i="55"/>
  <c r="F108" i="55"/>
  <c r="F8" i="55"/>
  <c r="S22" i="55"/>
  <c r="C65" i="55"/>
  <c r="K34" i="55"/>
  <c r="M35" i="55"/>
  <c r="E39" i="55"/>
  <c r="U73" i="55"/>
  <c r="J12" i="55"/>
  <c r="F78" i="55"/>
  <c r="H16" i="55"/>
  <c r="S119" i="55"/>
  <c r="G58" i="55"/>
  <c r="M25" i="55"/>
  <c r="G18" i="55"/>
  <c r="G30" i="55"/>
  <c r="P20" i="55"/>
  <c r="S17" i="55"/>
  <c r="R25" i="55"/>
  <c r="J17" i="55"/>
  <c r="P92" i="55"/>
  <c r="Q89" i="55"/>
  <c r="I75" i="55"/>
  <c r="C113" i="55"/>
  <c r="S101" i="55"/>
  <c r="J113" i="55"/>
  <c r="I40" i="55"/>
  <c r="O113" i="55"/>
  <c r="F41" i="34"/>
  <c r="K41" i="34"/>
  <c r="V28" i="49"/>
  <c r="T56" i="51"/>
  <c r="V34" i="50"/>
  <c r="M19" i="47"/>
  <c r="K11" i="39"/>
  <c r="L11" i="39" s="1"/>
  <c r="O11" i="39" s="1"/>
  <c r="V12" i="50"/>
  <c r="V200" i="49"/>
  <c r="K115" i="34"/>
  <c r="F115" i="34"/>
  <c r="V39" i="48"/>
  <c r="F61" i="34"/>
  <c r="K61" i="34"/>
  <c r="V293" i="49"/>
  <c r="B6" i="44"/>
  <c r="C42" i="59"/>
  <c r="V61" i="53"/>
  <c r="I54" i="53"/>
  <c r="H54" i="53"/>
  <c r="AL17" i="48"/>
  <c r="V6" i="53"/>
  <c r="V88" i="50"/>
  <c r="I45" i="50"/>
  <c r="H45" i="50"/>
  <c r="V387" i="49"/>
  <c r="V78" i="47"/>
  <c r="V185" i="49"/>
  <c r="M56" i="50"/>
  <c r="M12" i="49"/>
  <c r="V184" i="49"/>
  <c r="K8" i="37"/>
  <c r="L8" i="37" s="1"/>
  <c r="O8" i="37" s="1"/>
  <c r="M10" i="53"/>
  <c r="V19" i="53"/>
  <c r="V74" i="49"/>
  <c r="V41" i="50"/>
  <c r="V114" i="49"/>
  <c r="V257" i="49"/>
  <c r="V117" i="49"/>
  <c r="K3" i="51"/>
  <c r="M16" i="43"/>
  <c r="M21" i="44"/>
  <c r="V9" i="50"/>
  <c r="V335" i="49"/>
  <c r="V46" i="53"/>
  <c r="K15" i="51"/>
  <c r="V59" i="49"/>
  <c r="V122" i="49"/>
  <c r="V173" i="49"/>
  <c r="K39" i="51"/>
  <c r="M23" i="47"/>
  <c r="V35" i="50"/>
  <c r="V43" i="47"/>
  <c r="V34" i="47"/>
  <c r="V40" i="53"/>
  <c r="AJ13" i="50"/>
  <c r="V345" i="49"/>
  <c r="V97" i="49"/>
  <c r="K9" i="38"/>
  <c r="L9" i="38" s="1"/>
  <c r="O9" i="38" s="1"/>
  <c r="V28" i="47"/>
  <c r="Y10" i="43"/>
  <c r="Y9" i="43"/>
  <c r="V47" i="49"/>
  <c r="F52" i="34"/>
  <c r="K52" i="34"/>
  <c r="V291" i="49"/>
  <c r="K19" i="39"/>
  <c r="M36" i="49"/>
  <c r="V13" i="50"/>
  <c r="V70" i="47"/>
  <c r="K34" i="34"/>
  <c r="F34" i="34"/>
  <c r="M53" i="49"/>
  <c r="T5" i="42"/>
  <c r="T3" i="42"/>
  <c r="T4" i="42"/>
  <c r="O4" i="45"/>
  <c r="O3" i="45"/>
  <c r="W3" i="45" s="1" a="1"/>
  <c r="O5" i="45"/>
  <c r="M46" i="48"/>
  <c r="K46" i="34"/>
  <c r="F46" i="34"/>
  <c r="V5" i="49"/>
  <c r="V9" i="47"/>
  <c r="AJ23" i="50"/>
  <c r="D15" i="45"/>
  <c r="AF3" i="42"/>
  <c r="D19" i="42"/>
  <c r="D23" i="42"/>
  <c r="D15" i="42"/>
  <c r="AF3" i="44"/>
  <c r="D4" i="42"/>
  <c r="D16" i="45"/>
  <c r="D16" i="43"/>
  <c r="D18" i="44"/>
  <c r="D19" i="44"/>
  <c r="D22" i="42"/>
  <c r="D15" i="43"/>
  <c r="D24" i="43"/>
  <c r="D18" i="42"/>
  <c r="D4" i="45"/>
  <c r="D18" i="43"/>
  <c r="E3" i="37"/>
  <c r="R3" i="37" s="1"/>
  <c r="D19" i="43"/>
  <c r="E3" i="39"/>
  <c r="R3" i="39" s="1"/>
  <c r="AF3" i="43"/>
  <c r="D17" i="45"/>
  <c r="D17" i="43"/>
  <c r="Q26" i="40"/>
  <c r="D29" i="42"/>
  <c r="D20" i="44"/>
  <c r="D4" i="43"/>
  <c r="D17" i="44"/>
  <c r="D19" i="45"/>
  <c r="D23" i="43"/>
  <c r="D20" i="42"/>
  <c r="D21" i="43"/>
  <c r="D20" i="43"/>
  <c r="D22" i="43"/>
  <c r="D16" i="42"/>
  <c r="D16" i="44"/>
  <c r="D21" i="44"/>
  <c r="D24" i="42"/>
  <c r="AB3" i="45"/>
  <c r="D15" i="44"/>
  <c r="D18" i="45"/>
  <c r="D25" i="42"/>
  <c r="D27" i="42"/>
  <c r="D30" i="42"/>
  <c r="D26" i="42"/>
  <c r="E3" i="38"/>
  <c r="R3" i="38" s="1"/>
  <c r="D21" i="42"/>
  <c r="D17" i="42"/>
  <c r="D28" i="42"/>
  <c r="M20" i="43"/>
  <c r="M24" i="47"/>
  <c r="M18" i="49"/>
  <c r="M28" i="50"/>
  <c r="M40" i="49"/>
  <c r="V112" i="50"/>
  <c r="K5" i="45"/>
  <c r="I5" i="45"/>
  <c r="J5" i="45"/>
  <c r="V35" i="53"/>
  <c r="AJ14" i="48"/>
  <c r="V81" i="49"/>
  <c r="K7" i="38"/>
  <c r="L7" i="38" s="1"/>
  <c r="O7" i="38" s="1"/>
  <c r="V149" i="49"/>
  <c r="V347" i="49"/>
  <c r="V77" i="49"/>
  <c r="V243" i="49"/>
  <c r="M28" i="59"/>
  <c r="J5" i="59" s="1"/>
  <c r="V26" i="47"/>
  <c r="V31" i="49"/>
  <c r="AJ23" i="48"/>
  <c r="V317" i="49"/>
  <c r="T40" i="51"/>
  <c r="V25" i="48"/>
  <c r="V77" i="48"/>
  <c r="V213" i="49"/>
  <c r="V104" i="50"/>
  <c r="K22" i="39"/>
  <c r="M7" i="50"/>
  <c r="F91" i="34"/>
  <c r="K91" i="34"/>
  <c r="K10" i="38"/>
  <c r="P10" i="38" s="1"/>
  <c r="V71" i="49"/>
  <c r="V18" i="50"/>
  <c r="V27" i="47"/>
  <c r="AC69" i="49"/>
  <c r="AC26" i="49"/>
  <c r="AC354" i="49"/>
  <c r="AC341" i="49"/>
  <c r="AC251" i="49"/>
  <c r="AC304" i="49"/>
  <c r="AC340" i="49"/>
  <c r="AC384" i="49"/>
  <c r="AC93" i="49"/>
  <c r="AC312" i="49"/>
  <c r="AC92" i="49"/>
  <c r="AC239" i="49"/>
  <c r="AC128" i="49"/>
  <c r="AC275" i="49"/>
  <c r="AC120" i="49"/>
  <c r="AC252" i="49"/>
  <c r="AC108" i="49"/>
  <c r="AC326" i="49"/>
  <c r="AC84" i="49"/>
  <c r="AC135" i="49"/>
  <c r="AC212" i="49"/>
  <c r="AC132" i="49"/>
  <c r="AC264" i="49"/>
  <c r="AC172" i="49"/>
  <c r="AC164" i="49"/>
  <c r="AC303" i="49"/>
  <c r="AC297" i="49"/>
  <c r="AC296" i="49"/>
  <c r="AC176" i="49"/>
  <c r="AC153" i="49"/>
  <c r="AC192" i="49"/>
  <c r="AC228" i="49"/>
  <c r="AC52" i="49"/>
  <c r="AC227" i="49"/>
  <c r="AC331" i="49"/>
  <c r="AC195" i="49"/>
  <c r="AC258" i="49"/>
  <c r="AC199" i="49"/>
  <c r="AC168" i="49"/>
  <c r="AC35" i="49"/>
  <c r="AC174" i="49"/>
  <c r="AC333" i="49"/>
  <c r="AC226" i="49"/>
  <c r="AC344" i="49"/>
  <c r="AC37" i="49"/>
  <c r="AC140" i="49"/>
  <c r="AC138" i="49"/>
  <c r="AC295" i="49"/>
  <c r="AC353" i="49"/>
  <c r="AC203" i="49"/>
  <c r="AC378" i="49"/>
  <c r="AC183" i="49"/>
  <c r="AC229" i="49"/>
  <c r="AC281" i="49"/>
  <c r="AC391" i="49"/>
  <c r="AC350" i="49"/>
  <c r="AC214" i="49"/>
  <c r="AC367" i="49"/>
  <c r="AC310" i="49"/>
  <c r="AC96" i="49"/>
  <c r="AC12" i="49"/>
  <c r="AC7" i="49"/>
  <c r="AC359" i="49"/>
  <c r="AC322" i="49"/>
  <c r="AC119" i="49"/>
  <c r="AC107" i="49"/>
  <c r="AC386" i="49"/>
  <c r="AC166" i="49"/>
  <c r="AC246" i="49"/>
  <c r="AC342" i="49"/>
  <c r="AC180" i="49"/>
  <c r="AC169" i="49"/>
  <c r="AC284" i="49"/>
  <c r="AC230" i="49"/>
  <c r="AC48" i="49"/>
  <c r="AC144" i="49"/>
  <c r="AC58" i="49"/>
  <c r="AC185" i="49"/>
  <c r="AC220" i="49"/>
  <c r="AC276" i="49"/>
  <c r="AC91" i="49"/>
  <c r="AC266" i="49"/>
  <c r="AC184" i="49"/>
  <c r="AC383" i="49"/>
  <c r="AC42" i="49"/>
  <c r="AC71" i="49"/>
  <c r="AC311" i="49"/>
  <c r="AC121" i="49"/>
  <c r="AC292" i="49"/>
  <c r="AC167" i="49"/>
  <c r="AC130" i="49"/>
  <c r="AC111" i="49"/>
  <c r="AC189" i="49"/>
  <c r="AC83" i="49"/>
  <c r="AC148" i="49"/>
  <c r="AC242" i="49"/>
  <c r="AC348" i="49"/>
  <c r="AC115" i="49"/>
  <c r="AC263" i="49"/>
  <c r="AC30" i="49"/>
  <c r="AC325" i="49"/>
  <c r="AC113" i="49"/>
  <c r="AC245" i="49"/>
  <c r="AC28" i="49"/>
  <c r="AC389" i="49"/>
  <c r="AC299" i="49"/>
  <c r="AC209" i="49"/>
  <c r="AC65" i="49"/>
  <c r="AC352" i="49"/>
  <c r="AC280" i="49"/>
  <c r="AC294" i="49"/>
  <c r="AC75" i="49"/>
  <c r="AC248" i="49"/>
  <c r="AC282" i="49"/>
  <c r="AC298" i="49"/>
  <c r="AC320" i="49"/>
  <c r="AC208" i="49"/>
  <c r="AC374" i="49"/>
  <c r="AC89" i="49"/>
  <c r="AC53" i="49"/>
  <c r="AC126" i="49"/>
  <c r="AC4" i="49"/>
  <c r="AC323" i="49"/>
  <c r="AC76" i="49"/>
  <c r="AC156" i="49"/>
  <c r="AC314" i="49"/>
  <c r="AC204" i="49"/>
  <c r="AC271" i="49"/>
  <c r="AC15" i="49"/>
  <c r="AC365" i="49"/>
  <c r="AC308" i="49"/>
  <c r="AC301" i="49"/>
  <c r="AC219" i="49"/>
  <c r="AC95" i="49"/>
  <c r="AC125" i="49"/>
  <c r="AC345" i="49"/>
  <c r="AC34" i="49"/>
  <c r="AC306" i="49"/>
  <c r="AC118" i="49"/>
  <c r="AC234" i="49"/>
  <c r="AC109" i="49"/>
  <c r="AC124" i="49"/>
  <c r="AC265" i="49"/>
  <c r="AC105" i="49"/>
  <c r="AC247" i="49"/>
  <c r="AC63" i="49"/>
  <c r="AC39" i="49"/>
  <c r="AC254" i="49"/>
  <c r="AC9" i="49"/>
  <c r="AC86" i="49"/>
  <c r="AC223" i="49"/>
  <c r="AC290" i="49"/>
  <c r="AC225" i="49"/>
  <c r="AC40" i="49"/>
  <c r="AC43" i="49"/>
  <c r="AC122" i="49"/>
  <c r="AC270" i="49"/>
  <c r="AC235" i="49"/>
  <c r="AC328" i="49"/>
  <c r="AC114" i="49"/>
  <c r="AC366" i="49"/>
  <c r="AC18" i="49"/>
  <c r="AC187" i="49"/>
  <c r="AC103" i="49"/>
  <c r="AC21" i="49"/>
  <c r="AC385" i="49"/>
  <c r="AC81" i="49"/>
  <c r="AC335" i="49"/>
  <c r="AC286" i="49"/>
  <c r="AC231" i="49"/>
  <c r="AC241" i="49"/>
  <c r="AC60" i="49"/>
  <c r="AC194" i="49"/>
  <c r="AC332" i="49"/>
  <c r="AC149" i="49"/>
  <c r="AC62" i="49"/>
  <c r="AC357" i="49"/>
  <c r="AC73" i="49"/>
  <c r="AC134" i="49"/>
  <c r="AC171" i="49"/>
  <c r="AC102" i="49"/>
  <c r="AC215" i="49"/>
  <c r="AC61" i="49"/>
  <c r="AC82" i="49"/>
  <c r="AC217" i="49"/>
  <c r="AC159" i="49"/>
  <c r="AC309" i="49"/>
  <c r="AC10" i="49"/>
  <c r="AC64" i="49"/>
  <c r="AC202" i="49"/>
  <c r="AC269" i="49"/>
  <c r="AC3" i="49"/>
  <c r="AC339" i="49"/>
  <c r="AC25" i="49"/>
  <c r="AC224" i="49"/>
  <c r="AC256" i="49"/>
  <c r="AC198" i="49"/>
  <c r="AC22" i="49"/>
  <c r="AC160" i="49"/>
  <c r="AC274" i="49"/>
  <c r="AC255" i="49"/>
  <c r="AC196" i="49"/>
  <c r="AC41" i="49"/>
  <c r="AC197" i="49"/>
  <c r="AC349" i="49"/>
  <c r="AC289" i="49"/>
  <c r="AC49" i="49"/>
  <c r="AC88" i="49"/>
  <c r="AC146" i="49"/>
  <c r="AC327" i="49"/>
  <c r="AC318" i="49"/>
  <c r="AC259" i="49"/>
  <c r="AC387" i="49"/>
  <c r="AC283" i="49"/>
  <c r="AC218" i="49"/>
  <c r="AC307" i="49"/>
  <c r="AC376" i="49"/>
  <c r="AC369" i="49"/>
  <c r="AC13" i="49"/>
  <c r="AC330" i="49"/>
  <c r="AC316" i="49"/>
  <c r="AC139" i="49"/>
  <c r="AC155" i="49"/>
  <c r="AC206" i="49"/>
  <c r="AC368" i="49"/>
  <c r="AC285" i="49"/>
  <c r="AC343" i="49"/>
  <c r="AC288" i="49"/>
  <c r="AC388" i="49"/>
  <c r="AC131" i="49"/>
  <c r="AC101" i="49"/>
  <c r="AC163" i="49"/>
  <c r="AC324" i="49"/>
  <c r="AC104" i="49"/>
  <c r="AC117" i="49"/>
  <c r="AC364" i="49"/>
  <c r="AC182" i="49"/>
  <c r="AC59" i="49"/>
  <c r="AC17" i="49"/>
  <c r="AC371" i="49"/>
  <c r="AC321" i="49"/>
  <c r="AC142" i="49"/>
  <c r="AC133" i="49"/>
  <c r="AC129" i="49"/>
  <c r="AC23" i="49"/>
  <c r="AC99" i="49"/>
  <c r="AC377" i="49"/>
  <c r="AC287" i="49"/>
  <c r="AC305" i="49"/>
  <c r="AC100" i="49"/>
  <c r="AC379" i="49"/>
  <c r="AC380" i="49"/>
  <c r="AC16" i="49"/>
  <c r="AC110" i="49"/>
  <c r="AC243" i="49"/>
  <c r="AC31" i="49"/>
  <c r="AC47" i="49"/>
  <c r="AC278" i="49"/>
  <c r="AC372" i="49"/>
  <c r="AC277" i="49"/>
  <c r="AC158" i="49"/>
  <c r="AC233" i="49"/>
  <c r="AC338" i="49"/>
  <c r="AC210" i="49"/>
  <c r="AC50" i="49"/>
  <c r="AC11" i="49"/>
  <c r="AC260" i="49"/>
  <c r="AC20" i="49"/>
  <c r="AC361" i="49"/>
  <c r="AC152" i="49"/>
  <c r="AC250" i="49"/>
  <c r="AC147" i="49"/>
  <c r="AC77" i="49"/>
  <c r="AC363" i="49"/>
  <c r="AC97" i="49"/>
  <c r="AC19" i="49"/>
  <c r="AC211" i="49"/>
  <c r="AC141" i="49"/>
  <c r="AC257" i="49"/>
  <c r="AC334" i="49"/>
  <c r="AC262" i="49"/>
  <c r="AC5" i="49"/>
  <c r="AC360" i="49"/>
  <c r="AC151" i="49"/>
  <c r="AC319" i="49"/>
  <c r="AC390" i="49"/>
  <c r="AC55" i="49"/>
  <c r="AC116" i="49"/>
  <c r="AC336" i="49"/>
  <c r="AC85" i="49"/>
  <c r="AC145" i="49"/>
  <c r="AC161" i="49"/>
  <c r="AC222" i="49"/>
  <c r="AC381" i="49"/>
  <c r="AC150" i="49"/>
  <c r="AC188" i="49"/>
  <c r="AC33" i="49"/>
  <c r="AC382" i="49"/>
  <c r="AC54" i="49"/>
  <c r="AC98" i="49"/>
  <c r="AC157" i="49"/>
  <c r="AC8" i="49"/>
  <c r="AC29" i="49"/>
  <c r="AC221" i="49"/>
  <c r="AC94" i="49"/>
  <c r="AC200" i="49"/>
  <c r="AC370" i="49"/>
  <c r="AC253" i="49"/>
  <c r="AC2" i="49"/>
  <c r="AC170" i="49"/>
  <c r="AC240" i="49"/>
  <c r="AC272" i="49"/>
  <c r="AC80" i="49"/>
  <c r="AC291" i="49"/>
  <c r="AC106" i="49"/>
  <c r="AC232" i="49"/>
  <c r="AC213" i="49"/>
  <c r="AC162" i="49"/>
  <c r="AC45" i="49"/>
  <c r="AC267" i="49"/>
  <c r="AC90" i="49"/>
  <c r="AC44" i="49"/>
  <c r="AC66" i="49"/>
  <c r="AC46" i="49"/>
  <c r="AC358" i="49"/>
  <c r="AC127" i="49"/>
  <c r="AC347" i="49"/>
  <c r="AC375" i="49"/>
  <c r="AC193" i="49"/>
  <c r="AC79" i="49"/>
  <c r="AC337" i="49"/>
  <c r="AC154" i="49"/>
  <c r="AC6" i="49"/>
  <c r="AC68" i="49"/>
  <c r="AC186" i="49"/>
  <c r="AC56" i="49"/>
  <c r="AC302" i="49"/>
  <c r="AC57" i="49"/>
  <c r="AC201" i="49"/>
  <c r="AC205" i="49"/>
  <c r="AC136" i="49"/>
  <c r="AC207" i="49"/>
  <c r="AC273" i="49"/>
  <c r="AC238" i="49"/>
  <c r="AC313" i="49"/>
  <c r="AC67" i="49"/>
  <c r="AC351" i="49"/>
  <c r="AC346" i="49"/>
  <c r="AC14" i="49"/>
  <c r="AC190" i="49"/>
  <c r="AC175" i="49"/>
  <c r="AC300" i="49"/>
  <c r="AC279" i="49"/>
  <c r="AC123" i="49"/>
  <c r="AC51" i="49"/>
  <c r="AC38" i="49"/>
  <c r="AC329" i="49"/>
  <c r="AC237" i="49"/>
  <c r="AC173" i="49"/>
  <c r="AC191" i="49"/>
  <c r="AC244" i="49"/>
  <c r="AC143" i="49"/>
  <c r="AC268" i="49"/>
  <c r="AC179" i="49"/>
  <c r="AC178" i="49"/>
  <c r="AC137" i="49"/>
  <c r="AC74" i="49"/>
  <c r="AC216" i="49"/>
  <c r="AC112" i="49"/>
  <c r="AC177" i="49"/>
  <c r="AC24" i="49"/>
  <c r="AC165" i="49"/>
  <c r="AC36" i="49"/>
  <c r="AC181" i="49"/>
  <c r="AC355" i="49"/>
  <c r="AC315" i="49"/>
  <c r="AC261" i="49"/>
  <c r="AC72" i="49"/>
  <c r="AC293" i="49"/>
  <c r="AC87" i="49"/>
  <c r="AC70" i="49"/>
  <c r="AC373" i="49"/>
  <c r="AC362" i="49"/>
  <c r="AC32" i="49"/>
  <c r="AC356" i="49"/>
  <c r="AC317" i="49"/>
  <c r="AC27" i="49"/>
  <c r="AC78" i="49"/>
  <c r="AC249" i="49"/>
  <c r="AC236" i="49"/>
  <c r="V47" i="53"/>
  <c r="V48" i="49"/>
  <c r="V33" i="53"/>
  <c r="B75" i="58"/>
  <c r="B15" i="58"/>
  <c r="B86" i="58"/>
  <c r="B108" i="58"/>
  <c r="B76" i="58"/>
  <c r="B7" i="58"/>
  <c r="B44" i="58"/>
  <c r="B122" i="58"/>
  <c r="B41" i="58"/>
  <c r="B20" i="58"/>
  <c r="B121" i="58"/>
  <c r="B57" i="58"/>
  <c r="B91" i="58"/>
  <c r="B17" i="58"/>
  <c r="B27" i="58"/>
  <c r="B115" i="58"/>
  <c r="B34" i="58"/>
  <c r="B11" i="58"/>
  <c r="B52" i="58"/>
  <c r="B45" i="58"/>
  <c r="B47" i="58"/>
  <c r="B29" i="58"/>
  <c r="B12" i="58"/>
  <c r="B97" i="58"/>
  <c r="B30" i="58"/>
  <c r="B28" i="58"/>
  <c r="B114" i="58"/>
  <c r="B48" i="58"/>
  <c r="B36" i="58"/>
  <c r="B25" i="58"/>
  <c r="B4" i="58"/>
  <c r="B111" i="58"/>
  <c r="B80" i="58"/>
  <c r="B117" i="58"/>
  <c r="B22" i="58"/>
  <c r="B26" i="58"/>
  <c r="B87" i="58"/>
  <c r="B33" i="58"/>
  <c r="B72" i="58"/>
  <c r="B100" i="58"/>
  <c r="B113" i="58"/>
  <c r="B102" i="58"/>
  <c r="B73" i="58"/>
  <c r="B84" i="58"/>
  <c r="B9" i="58"/>
  <c r="B70" i="58"/>
  <c r="B56" i="58"/>
  <c r="B55" i="58"/>
  <c r="B19" i="58"/>
  <c r="B43" i="58"/>
  <c r="B95" i="58"/>
  <c r="B90" i="58"/>
  <c r="B71" i="58"/>
  <c r="B49" i="58"/>
  <c r="B5" i="58"/>
  <c r="B58" i="58"/>
  <c r="B16" i="58"/>
  <c r="B32" i="58"/>
  <c r="B54" i="58"/>
  <c r="B93" i="58"/>
  <c r="B13" i="58"/>
  <c r="B101" i="58"/>
  <c r="B18" i="58"/>
  <c r="B112" i="58"/>
  <c r="B51" i="58"/>
  <c r="B14" i="58"/>
  <c r="B68" i="58"/>
  <c r="B104" i="58"/>
  <c r="B82" i="58"/>
  <c r="B31" i="58"/>
  <c r="B67" i="58"/>
  <c r="B38" i="58"/>
  <c r="B65" i="58"/>
  <c r="B106" i="58"/>
  <c r="B6" i="58"/>
  <c r="B89" i="58"/>
  <c r="B42" i="58"/>
  <c r="B10" i="58"/>
  <c r="B119" i="58"/>
  <c r="B94" i="58"/>
  <c r="B61" i="58"/>
  <c r="B59" i="58"/>
  <c r="B50" i="58"/>
  <c r="B35" i="58"/>
  <c r="B69" i="58"/>
  <c r="B78" i="58"/>
  <c r="B118" i="58"/>
  <c r="B64" i="58"/>
  <c r="B83" i="58"/>
  <c r="B99" i="58"/>
  <c r="B24" i="58"/>
  <c r="B21" i="58"/>
  <c r="B40" i="58"/>
  <c r="B110" i="58"/>
  <c r="B120" i="58"/>
  <c r="B107" i="58"/>
  <c r="B62" i="58"/>
  <c r="B92" i="58"/>
  <c r="B46" i="58"/>
  <c r="B39" i="58"/>
  <c r="B37" i="58"/>
  <c r="B81" i="58"/>
  <c r="B88" i="58"/>
  <c r="B103" i="58"/>
  <c r="B77" i="58"/>
  <c r="B105" i="58"/>
  <c r="B8" i="58"/>
  <c r="B60" i="58"/>
  <c r="B53" i="58"/>
  <c r="B63" i="58"/>
  <c r="B116" i="58"/>
  <c r="B96" i="58"/>
  <c r="B74" i="58"/>
  <c r="B123" i="58"/>
  <c r="B23" i="58"/>
  <c r="B98" i="58"/>
  <c r="B109" i="58"/>
  <c r="B85" i="58"/>
  <c r="B79" i="58"/>
  <c r="B66" i="58"/>
  <c r="J7" i="45"/>
  <c r="K7" i="45"/>
  <c r="I7" i="45"/>
  <c r="V96" i="49"/>
  <c r="K71" i="34"/>
  <c r="F71" i="34"/>
  <c r="K48" i="51"/>
  <c r="V13" i="47"/>
  <c r="V45" i="47"/>
  <c r="V29" i="50"/>
  <c r="V259" i="49"/>
  <c r="M70" i="53"/>
  <c r="V89" i="53"/>
  <c r="V266" i="49"/>
  <c r="M74" i="53"/>
  <c r="K93" i="34"/>
  <c r="F93" i="34"/>
  <c r="V70" i="50"/>
  <c r="V71" i="50"/>
  <c r="V49" i="53"/>
  <c r="W78" i="50"/>
  <c r="W63" i="50"/>
  <c r="W104" i="50"/>
  <c r="W117" i="50"/>
  <c r="W45" i="50"/>
  <c r="W5" i="50"/>
  <c r="W15" i="50"/>
  <c r="W91" i="50"/>
  <c r="W93" i="50"/>
  <c r="W31" i="50"/>
  <c r="W55" i="50"/>
  <c r="W38" i="50"/>
  <c r="W65" i="50"/>
  <c r="W69" i="50"/>
  <c r="W52" i="50"/>
  <c r="W99" i="50"/>
  <c r="W50" i="50"/>
  <c r="W87" i="50"/>
  <c r="W86" i="50"/>
  <c r="W28" i="50"/>
  <c r="W66" i="50"/>
  <c r="W122" i="50"/>
  <c r="W11" i="50"/>
  <c r="W35" i="50"/>
  <c r="W25" i="50"/>
  <c r="W113" i="50"/>
  <c r="W9" i="50"/>
  <c r="W53" i="50"/>
  <c r="W90" i="50"/>
  <c r="W18" i="50"/>
  <c r="W124" i="50"/>
  <c r="W14" i="50"/>
  <c r="W36" i="50"/>
  <c r="W8" i="50"/>
  <c r="W62" i="50"/>
  <c r="W81" i="50"/>
  <c r="W115" i="50"/>
  <c r="W16" i="50"/>
  <c r="W102" i="50"/>
  <c r="W95" i="50"/>
  <c r="W82" i="50"/>
  <c r="W80" i="50"/>
  <c r="W37" i="50"/>
  <c r="W59" i="50"/>
  <c r="W51" i="50"/>
  <c r="W19" i="50"/>
  <c r="W75" i="50"/>
  <c r="W57" i="50"/>
  <c r="W106" i="50"/>
  <c r="W83" i="50"/>
  <c r="W98" i="50"/>
  <c r="W84" i="50"/>
  <c r="W61" i="50"/>
  <c r="W107" i="50"/>
  <c r="W7" i="50"/>
  <c r="W85" i="50"/>
  <c r="W71" i="50"/>
  <c r="W43" i="50"/>
  <c r="W70" i="50"/>
  <c r="W96" i="50"/>
  <c r="W22" i="50"/>
  <c r="W67" i="50"/>
  <c r="W121" i="50"/>
  <c r="W6" i="50"/>
  <c r="W23" i="50"/>
  <c r="W33" i="50"/>
  <c r="W72" i="50"/>
  <c r="W47" i="50"/>
  <c r="W42" i="50"/>
  <c r="W101" i="50"/>
  <c r="W64" i="50"/>
  <c r="W118" i="50"/>
  <c r="W26" i="50"/>
  <c r="W110" i="50"/>
  <c r="W92" i="50"/>
  <c r="W60" i="50"/>
  <c r="W114" i="50"/>
  <c r="W111" i="50"/>
  <c r="W123" i="50"/>
  <c r="W100" i="50"/>
  <c r="W76" i="50"/>
  <c r="W109" i="50"/>
  <c r="W39" i="50"/>
  <c r="W10" i="50"/>
  <c r="W30" i="50"/>
  <c r="W79" i="50"/>
  <c r="W44" i="50"/>
  <c r="W105" i="50"/>
  <c r="W21" i="50"/>
  <c r="W116" i="50"/>
  <c r="W13" i="50"/>
  <c r="W108" i="50"/>
  <c r="W24" i="50"/>
  <c r="W12" i="50"/>
  <c r="W94" i="50"/>
  <c r="W49" i="50"/>
  <c r="W103" i="50"/>
  <c r="W54" i="50"/>
  <c r="W73" i="50"/>
  <c r="W29" i="50"/>
  <c r="W40" i="50"/>
  <c r="W68" i="50"/>
  <c r="W89" i="50"/>
  <c r="W41" i="50"/>
  <c r="W97" i="50"/>
  <c r="W74" i="50"/>
  <c r="W77" i="50"/>
  <c r="W120" i="50"/>
  <c r="W34" i="50"/>
  <c r="W88" i="50"/>
  <c r="W32" i="50"/>
  <c r="W17" i="50"/>
  <c r="W58" i="50"/>
  <c r="W112" i="50"/>
  <c r="W56" i="50"/>
  <c r="W27" i="50"/>
  <c r="W119" i="50"/>
  <c r="W4" i="50"/>
  <c r="W46" i="50"/>
  <c r="W3" i="50"/>
  <c r="W48" i="50"/>
  <c r="W20" i="50"/>
  <c r="V58" i="48"/>
  <c r="V348" i="49"/>
  <c r="M5" i="43"/>
  <c r="O5" i="43"/>
  <c r="N5" i="43"/>
  <c r="I36" i="50"/>
  <c r="H36" i="50"/>
  <c r="AJ22" i="48"/>
  <c r="V172" i="49"/>
  <c r="U13" i="45"/>
  <c r="V218" i="49"/>
  <c r="V59" i="53"/>
  <c r="K90" i="34"/>
  <c r="F90" i="34"/>
  <c r="V84" i="48"/>
  <c r="V39" i="53"/>
  <c r="AL14" i="48"/>
  <c r="V72" i="50"/>
  <c r="M7" i="49"/>
  <c r="H42" i="50"/>
  <c r="I42" i="50"/>
  <c r="V3" i="50"/>
  <c r="V25" i="49"/>
  <c r="V137" i="49"/>
  <c r="M36" i="48"/>
  <c r="M21" i="43"/>
  <c r="V24" i="47"/>
  <c r="V171" i="49"/>
  <c r="V308" i="49"/>
  <c r="AJ16" i="49"/>
  <c r="K46" i="51"/>
  <c r="V389" i="49"/>
  <c r="V286" i="49"/>
  <c r="AJ16" i="48"/>
  <c r="V64" i="53"/>
  <c r="K47" i="51"/>
  <c r="C14" i="33"/>
  <c r="U39" i="51"/>
  <c r="U43" i="51"/>
  <c r="U34" i="51"/>
  <c r="U12" i="51"/>
  <c r="U21" i="51"/>
  <c r="U22" i="51"/>
  <c r="U48" i="51"/>
  <c r="U16" i="51"/>
  <c r="U30" i="51"/>
  <c r="U49" i="51"/>
  <c r="U18" i="51"/>
  <c r="U35" i="51"/>
  <c r="U52" i="51"/>
  <c r="U24" i="51"/>
  <c r="U11" i="51"/>
  <c r="U3" i="51"/>
  <c r="U53" i="51"/>
  <c r="U56" i="51"/>
  <c r="U41" i="51"/>
  <c r="U10" i="51"/>
  <c r="U19" i="51"/>
  <c r="U6" i="51"/>
  <c r="U46" i="51"/>
  <c r="U45" i="51"/>
  <c r="U36" i="51"/>
  <c r="U55" i="51"/>
  <c r="U8" i="51"/>
  <c r="U42" i="51"/>
  <c r="U25" i="51"/>
  <c r="U29" i="51"/>
  <c r="U13" i="51"/>
  <c r="U4" i="51"/>
  <c r="U44" i="51"/>
  <c r="U23" i="51"/>
  <c r="U54" i="51"/>
  <c r="U9" i="51"/>
  <c r="U32" i="51"/>
  <c r="U38" i="51"/>
  <c r="U33" i="51"/>
  <c r="U15" i="51"/>
  <c r="U31" i="51"/>
  <c r="U17" i="51"/>
  <c r="U57" i="51"/>
  <c r="U20" i="51"/>
  <c r="U50" i="51"/>
  <c r="U7" i="51"/>
  <c r="U37" i="51"/>
  <c r="U47" i="51"/>
  <c r="U28" i="51"/>
  <c r="U26" i="51"/>
  <c r="U27" i="51"/>
  <c r="U40" i="51"/>
  <c r="U5" i="51"/>
  <c r="U14" i="51"/>
  <c r="U51" i="51"/>
  <c r="I37" i="50"/>
  <c r="H37" i="50"/>
  <c r="V151" i="49"/>
  <c r="M33" i="48"/>
  <c r="V56" i="48"/>
  <c r="M18" i="42"/>
  <c r="I7" i="42"/>
  <c r="M79" i="53"/>
  <c r="V17" i="49"/>
  <c r="V152" i="49"/>
  <c r="M19" i="42"/>
  <c r="V68" i="53"/>
  <c r="V93" i="50"/>
  <c r="M60" i="47"/>
  <c r="H43" i="50"/>
  <c r="I43" i="50"/>
  <c r="V77" i="53"/>
  <c r="K43" i="51"/>
  <c r="V65" i="50"/>
  <c r="M22" i="49"/>
  <c r="V290" i="49"/>
  <c r="V256" i="49"/>
  <c r="K15" i="37"/>
  <c r="L15" i="37" s="1"/>
  <c r="O15" i="37" s="1"/>
  <c r="M18" i="53"/>
  <c r="V23" i="53"/>
  <c r="M15" i="43"/>
  <c r="M76" i="53"/>
  <c r="V122" i="50"/>
  <c r="C4" i="33"/>
  <c r="T28" i="51"/>
  <c r="V150" i="49"/>
  <c r="AH19" i="51"/>
  <c r="V221" i="49"/>
  <c r="AL16" i="48"/>
  <c r="M28" i="48"/>
  <c r="V49" i="48"/>
  <c r="C34" i="59"/>
  <c r="V207" i="49"/>
  <c r="V98" i="49"/>
  <c r="M56" i="53"/>
  <c r="K12" i="39"/>
  <c r="P12" i="39" s="1"/>
  <c r="V36" i="53"/>
  <c r="M20" i="44"/>
  <c r="F97" i="34"/>
  <c r="K97" i="34"/>
  <c r="AH21" i="51"/>
  <c r="V7" i="53"/>
  <c r="I6" i="43"/>
  <c r="V23" i="47"/>
  <c r="M337" i="49"/>
  <c r="M20" i="53"/>
  <c r="F17" i="51"/>
  <c r="F15" i="51"/>
  <c r="K50" i="51"/>
  <c r="V20" i="49"/>
  <c r="V89" i="48"/>
  <c r="I45" i="53"/>
  <c r="H45" i="53"/>
  <c r="H3" i="59"/>
  <c r="G3" i="59" s="1"/>
  <c r="V66" i="50"/>
  <c r="V41" i="47"/>
  <c r="H55" i="53"/>
  <c r="I55" i="53"/>
  <c r="V6" i="50"/>
  <c r="K104" i="34"/>
  <c r="F104" i="34"/>
  <c r="V232" i="49"/>
  <c r="V305" i="49"/>
  <c r="H52" i="53"/>
  <c r="I52" i="53"/>
  <c r="V110" i="49"/>
  <c r="V128" i="49"/>
  <c r="A94" i="55"/>
  <c r="A100" i="55"/>
  <c r="A90" i="55"/>
  <c r="A87" i="55"/>
  <c r="A33" i="55"/>
  <c r="A116" i="55"/>
  <c r="A3" i="55"/>
  <c r="A26" i="55"/>
  <c r="A27" i="55"/>
  <c r="A32" i="55"/>
  <c r="A91" i="55"/>
  <c r="A36" i="55"/>
  <c r="A84" i="55"/>
  <c r="A53" i="55"/>
  <c r="A103" i="55"/>
  <c r="A86" i="55"/>
  <c r="A51" i="55"/>
  <c r="A44" i="55"/>
  <c r="A115" i="55"/>
  <c r="A25" i="55"/>
  <c r="A54" i="55"/>
  <c r="A6" i="55"/>
  <c r="A47" i="55"/>
  <c r="A41" i="55"/>
  <c r="A52" i="55"/>
  <c r="A24" i="55"/>
  <c r="A4" i="55"/>
  <c r="A14" i="55"/>
  <c r="A12" i="55"/>
  <c r="A66" i="55"/>
  <c r="A13" i="55"/>
  <c r="A80" i="55"/>
  <c r="A75" i="55"/>
  <c r="A22" i="55"/>
  <c r="A117" i="55"/>
  <c r="A70" i="55"/>
  <c r="A82" i="55"/>
  <c r="A17" i="55"/>
  <c r="A20" i="55"/>
  <c r="A76" i="55"/>
  <c r="A42" i="55"/>
  <c r="A83" i="55"/>
  <c r="A34" i="55"/>
  <c r="A58" i="55"/>
  <c r="A50" i="55"/>
  <c r="A11" i="55"/>
  <c r="A67" i="55"/>
  <c r="A120" i="55"/>
  <c r="A37" i="55"/>
  <c r="A59" i="55"/>
  <c r="A61" i="55"/>
  <c r="A38" i="55"/>
  <c r="A99" i="55"/>
  <c r="A62" i="55"/>
  <c r="A97" i="55"/>
  <c r="A121" i="55"/>
  <c r="A96" i="55"/>
  <c r="A5" i="55"/>
  <c r="A9" i="55"/>
  <c r="A104" i="55"/>
  <c r="A105" i="55"/>
  <c r="A111" i="55"/>
  <c r="A43" i="55"/>
  <c r="A65" i="55"/>
  <c r="A78" i="55"/>
  <c r="A64" i="55"/>
  <c r="A68" i="55"/>
  <c r="A55" i="55"/>
  <c r="A69" i="55"/>
  <c r="A102" i="55"/>
  <c r="A15" i="55"/>
  <c r="A28" i="55"/>
  <c r="A119" i="55"/>
  <c r="A29" i="55"/>
  <c r="A23" i="55"/>
  <c r="A85" i="55"/>
  <c r="A122" i="55"/>
  <c r="A93" i="55"/>
  <c r="A113" i="55"/>
  <c r="A16" i="55"/>
  <c r="A18" i="55"/>
  <c r="A46" i="55"/>
  <c r="A8" i="55"/>
  <c r="A92" i="55"/>
  <c r="A71" i="55"/>
  <c r="A73" i="55"/>
  <c r="A7" i="55"/>
  <c r="A45" i="55"/>
  <c r="A49" i="55"/>
  <c r="A72" i="55"/>
  <c r="A118" i="55"/>
  <c r="A57" i="55"/>
  <c r="A48" i="55"/>
  <c r="A30" i="55"/>
  <c r="A31" i="55"/>
  <c r="A77" i="55"/>
  <c r="A98" i="55"/>
  <c r="A19" i="55"/>
  <c r="A89" i="55"/>
  <c r="A21" i="55"/>
  <c r="A81" i="55"/>
  <c r="A39" i="55"/>
  <c r="A74" i="55"/>
  <c r="A108" i="55"/>
  <c r="A110" i="55"/>
  <c r="A106" i="55"/>
  <c r="A35" i="55"/>
  <c r="A112" i="55"/>
  <c r="A10" i="55"/>
  <c r="A109" i="55"/>
  <c r="A101" i="55"/>
  <c r="A60" i="55"/>
  <c r="A88" i="55"/>
  <c r="A40" i="55"/>
  <c r="A114" i="55"/>
  <c r="A107" i="55"/>
  <c r="A63" i="55"/>
  <c r="A95" i="55"/>
  <c r="A56" i="55"/>
  <c r="A79" i="55"/>
  <c r="T36" i="51"/>
  <c r="V75" i="49"/>
  <c r="K40" i="34"/>
  <c r="F40" i="34"/>
  <c r="V313" i="49"/>
  <c r="K23" i="51"/>
  <c r="V8" i="50"/>
  <c r="V186" i="49"/>
  <c r="L3" i="59"/>
  <c r="D40" i="59"/>
  <c r="C40" i="59" s="1"/>
  <c r="K4" i="51"/>
  <c r="K7" i="39"/>
  <c r="P7" i="39" s="1"/>
  <c r="V45" i="49"/>
  <c r="V71" i="53"/>
  <c r="V351" i="49"/>
  <c r="M30" i="49"/>
  <c r="V66" i="49"/>
  <c r="K62" i="34"/>
  <c r="F62" i="34"/>
  <c r="V39" i="47"/>
  <c r="M30" i="50"/>
  <c r="V22" i="50"/>
  <c r="AH22" i="51"/>
  <c r="V255" i="49"/>
  <c r="V119" i="49"/>
  <c r="I39" i="50"/>
  <c r="H39" i="50"/>
  <c r="K113" i="34"/>
  <c r="F113" i="34"/>
  <c r="K53" i="34"/>
  <c r="F53" i="34"/>
  <c r="M6" i="44"/>
  <c r="O6" i="44"/>
  <c r="N6" i="44"/>
  <c r="V91" i="50"/>
  <c r="V281" i="49"/>
  <c r="F94" i="34"/>
  <c r="K94" i="34"/>
  <c r="V19" i="49"/>
  <c r="M64" i="53"/>
  <c r="M66" i="53"/>
  <c r="V90" i="49"/>
  <c r="T15" i="51"/>
  <c r="V57" i="48"/>
  <c r="V300" i="49"/>
  <c r="H48" i="53"/>
  <c r="I48" i="53"/>
  <c r="F14" i="51"/>
  <c r="K18" i="38"/>
  <c r="L18" i="38" s="1"/>
  <c r="O18" i="38" s="1"/>
  <c r="AH23" i="51"/>
  <c r="M30" i="47"/>
  <c r="P8" i="37"/>
  <c r="M9" i="50"/>
  <c r="M10" i="48"/>
  <c r="AJ19" i="48"/>
  <c r="V210" i="49"/>
  <c r="V61" i="48"/>
  <c r="F31" i="34"/>
  <c r="K31" i="34"/>
  <c r="V106" i="50"/>
  <c r="T34" i="51"/>
  <c r="V93" i="49"/>
  <c r="V56" i="49"/>
  <c r="M79" i="47"/>
  <c r="V45" i="53"/>
  <c r="T53" i="51"/>
  <c r="V124" i="49"/>
  <c r="E4" i="35"/>
  <c r="V8" i="48"/>
  <c r="V88" i="48"/>
  <c r="V295" i="49"/>
  <c r="N3" i="42"/>
  <c r="O3" i="42"/>
  <c r="M3" i="42"/>
  <c r="F10" i="51"/>
  <c r="V50" i="47"/>
  <c r="M88" i="53"/>
  <c r="T47" i="51"/>
  <c r="T10" i="51"/>
  <c r="H47" i="50"/>
  <c r="I47" i="50"/>
  <c r="F70" i="34"/>
  <c r="K70" i="34"/>
  <c r="V60" i="53"/>
  <c r="V73" i="53"/>
  <c r="Q27" i="40"/>
  <c r="K21" i="39"/>
  <c r="V69" i="53"/>
  <c r="AJ12" i="48"/>
  <c r="V222" i="49"/>
  <c r="V332" i="49"/>
  <c r="M23" i="50"/>
  <c r="M28" i="49"/>
  <c r="V43" i="50"/>
  <c r="V61" i="50"/>
  <c r="I3" i="43"/>
  <c r="V72" i="47"/>
  <c r="V49" i="47"/>
  <c r="V142" i="49"/>
  <c r="V63" i="53"/>
  <c r="K49" i="51"/>
  <c r="AJ11" i="49"/>
  <c r="V110" i="50"/>
  <c r="V211" i="49"/>
  <c r="M20" i="49"/>
  <c r="V365" i="49"/>
  <c r="T22" i="51"/>
  <c r="K15" i="39"/>
  <c r="L15" i="39" s="1"/>
  <c r="O15" i="39" s="1"/>
  <c r="K35" i="51"/>
  <c r="M18" i="47"/>
  <c r="F37" i="34"/>
  <c r="K37" i="34"/>
  <c r="V57" i="47"/>
  <c r="V24" i="50"/>
  <c r="V56" i="53"/>
  <c r="AJ22" i="50"/>
  <c r="K101" i="34"/>
  <c r="F101" i="34"/>
  <c r="M51" i="48"/>
  <c r="F20" i="34"/>
  <c r="K20" i="34"/>
  <c r="T4" i="44"/>
  <c r="T5" i="44"/>
  <c r="T3" i="44"/>
  <c r="V106" i="49"/>
  <c r="K24" i="51"/>
  <c r="V203" i="49"/>
  <c r="V71" i="47"/>
  <c r="M79" i="50"/>
  <c r="V154" i="49"/>
  <c r="V230" i="49"/>
  <c r="V18" i="48"/>
  <c r="V43" i="48"/>
  <c r="V346" i="49"/>
  <c r="V124" i="50"/>
  <c r="F8" i="34"/>
  <c r="K8" i="34"/>
  <c r="K108" i="34"/>
  <c r="F108" i="34"/>
  <c r="K45" i="51"/>
  <c r="M24" i="49"/>
  <c r="V339" i="49"/>
  <c r="V248" i="49"/>
  <c r="AJ21" i="49"/>
  <c r="K23" i="39"/>
  <c r="S4" i="43"/>
  <c r="S3" i="43"/>
  <c r="AA3" i="43" s="1" a="1"/>
  <c r="S5" i="43"/>
  <c r="V82" i="50"/>
  <c r="V46" i="48"/>
  <c r="H36" i="53"/>
  <c r="I36" i="53"/>
  <c r="M24" i="50"/>
  <c r="V10" i="49"/>
  <c r="M52" i="47"/>
  <c r="H46" i="50"/>
  <c r="I46" i="50"/>
  <c r="V50" i="53"/>
  <c r="V4" i="48"/>
  <c r="V59" i="50"/>
  <c r="V3" i="49"/>
  <c r="H44" i="50"/>
  <c r="I44" i="50"/>
  <c r="V225" i="49"/>
  <c r="V296" i="49"/>
  <c r="V16" i="49"/>
  <c r="D11" i="59"/>
  <c r="C11" i="59" s="1"/>
  <c r="V15" i="50"/>
  <c r="AJ19" i="49"/>
  <c r="M53" i="47"/>
  <c r="D19" i="39"/>
  <c r="M55" i="48"/>
  <c r="M22" i="53"/>
  <c r="T18" i="51"/>
  <c r="V56" i="47"/>
  <c r="V69" i="48"/>
  <c r="Y3" i="44"/>
  <c r="Y4" i="44"/>
  <c r="Y5" i="44"/>
  <c r="U9" i="45"/>
  <c r="U10" i="45"/>
  <c r="V23" i="49"/>
  <c r="V97" i="50"/>
  <c r="F82" i="34"/>
  <c r="K82" i="34"/>
  <c r="V322" i="49"/>
  <c r="V30" i="50"/>
  <c r="V325" i="49"/>
  <c r="V78" i="48"/>
  <c r="V271" i="49"/>
  <c r="V66" i="48"/>
  <c r="E7" i="35"/>
  <c r="T17" i="51"/>
  <c r="V32" i="49"/>
  <c r="V261" i="49"/>
  <c r="V88" i="53"/>
  <c r="F28" i="34"/>
  <c r="K28" i="34"/>
  <c r="K69" i="34"/>
  <c r="F69" i="34"/>
  <c r="M8" i="49"/>
  <c r="V170" i="49"/>
  <c r="AJ18" i="50"/>
  <c r="AH17" i="51"/>
  <c r="K4" i="39"/>
  <c r="L4" i="39" s="1"/>
  <c r="O4" i="39" s="1"/>
  <c r="D16" i="61"/>
  <c r="D14" i="61"/>
  <c r="K6" i="61" s="1"/>
  <c r="D17" i="61"/>
  <c r="D15" i="61"/>
  <c r="T26" i="51"/>
  <c r="M29" i="47"/>
  <c r="M32" i="50"/>
  <c r="K5" i="37"/>
  <c r="L5" i="37" s="1"/>
  <c r="O5" i="37" s="1"/>
  <c r="V92" i="49"/>
  <c r="F83" i="34"/>
  <c r="K83" i="34"/>
  <c r="V176" i="49"/>
  <c r="F12" i="51"/>
  <c r="V146" i="49"/>
  <c r="AL20" i="48"/>
  <c r="V208" i="49"/>
  <c r="M57" i="47"/>
  <c r="K12" i="51"/>
  <c r="M72" i="53"/>
  <c r="M52" i="50"/>
  <c r="V45" i="50"/>
  <c r="I29" i="58"/>
  <c r="I86" i="58"/>
  <c r="I34" i="58"/>
  <c r="I62" i="58"/>
  <c r="I24" i="58"/>
  <c r="I98" i="58"/>
  <c r="I9" i="58"/>
  <c r="I64" i="58"/>
  <c r="I15" i="58"/>
  <c r="I36" i="58"/>
  <c r="I118" i="58"/>
  <c r="I112" i="58"/>
  <c r="I43" i="58"/>
  <c r="I100" i="58"/>
  <c r="I122" i="58"/>
  <c r="I5" i="58"/>
  <c r="I27" i="58"/>
  <c r="I102" i="58"/>
  <c r="I82" i="58"/>
  <c r="I104" i="58"/>
  <c r="I93" i="58"/>
  <c r="I54" i="58"/>
  <c r="I11" i="58"/>
  <c r="I53" i="58"/>
  <c r="I38" i="58"/>
  <c r="I45" i="58"/>
  <c r="I84" i="58"/>
  <c r="I30" i="58"/>
  <c r="I16" i="58"/>
  <c r="I60" i="58"/>
  <c r="I65" i="58"/>
  <c r="I63" i="58"/>
  <c r="I111" i="58"/>
  <c r="I31" i="58"/>
  <c r="I113" i="58"/>
  <c r="I94" i="58"/>
  <c r="I108" i="58"/>
  <c r="I95" i="58"/>
  <c r="I89" i="58"/>
  <c r="I50" i="58"/>
  <c r="I96" i="58"/>
  <c r="I107" i="58"/>
  <c r="I26" i="58"/>
  <c r="I73" i="58"/>
  <c r="I12" i="58"/>
  <c r="I7" i="58"/>
  <c r="I99" i="58"/>
  <c r="I71" i="58"/>
  <c r="I10" i="58"/>
  <c r="I14" i="58"/>
  <c r="I35" i="58"/>
  <c r="I61" i="58"/>
  <c r="I57" i="58"/>
  <c r="I68" i="58"/>
  <c r="I17" i="58"/>
  <c r="I25" i="58"/>
  <c r="I115" i="58"/>
  <c r="I78" i="58"/>
  <c r="I87" i="58"/>
  <c r="I114" i="58"/>
  <c r="I109" i="58"/>
  <c r="I77" i="58"/>
  <c r="I80" i="58"/>
  <c r="I75" i="58"/>
  <c r="I81" i="58"/>
  <c r="I13" i="58"/>
  <c r="I59" i="58"/>
  <c r="I51" i="58"/>
  <c r="I92" i="58"/>
  <c r="I101" i="58"/>
  <c r="I85" i="58"/>
  <c r="I117" i="58"/>
  <c r="I39" i="58"/>
  <c r="I110" i="58"/>
  <c r="I49" i="58"/>
  <c r="I22" i="58"/>
  <c r="I58" i="58"/>
  <c r="I41" i="58"/>
  <c r="I106" i="58"/>
  <c r="I120" i="58"/>
  <c r="G1" i="58"/>
  <c r="I67" i="58"/>
  <c r="I121" i="58"/>
  <c r="I19" i="58"/>
  <c r="I23" i="58"/>
  <c r="I79" i="58"/>
  <c r="I97" i="58"/>
  <c r="I52" i="58"/>
  <c r="I123" i="58"/>
  <c r="I20" i="58"/>
  <c r="I48" i="58"/>
  <c r="I47" i="58"/>
  <c r="I103" i="58"/>
  <c r="I18" i="58"/>
  <c r="I42" i="58"/>
  <c r="I37" i="58"/>
  <c r="I74" i="58"/>
  <c r="I55" i="58"/>
  <c r="I116" i="58"/>
  <c r="I46" i="58"/>
  <c r="I69" i="58"/>
  <c r="I66" i="58"/>
  <c r="I88" i="58"/>
  <c r="I72" i="58"/>
  <c r="I8" i="58"/>
  <c r="I70" i="58"/>
  <c r="I56" i="58"/>
  <c r="I119" i="58"/>
  <c r="I91" i="58"/>
  <c r="I105" i="58"/>
  <c r="I40" i="58"/>
  <c r="I6" i="58"/>
  <c r="I83" i="58"/>
  <c r="I32" i="58"/>
  <c r="I21" i="58"/>
  <c r="I90" i="58"/>
  <c r="I4" i="58"/>
  <c r="I76" i="58"/>
  <c r="I44" i="58"/>
  <c r="I28" i="58"/>
  <c r="I33" i="58"/>
  <c r="V102" i="50"/>
  <c r="V88" i="49"/>
  <c r="V7" i="47"/>
  <c r="V373" i="49"/>
  <c r="V15" i="49"/>
  <c r="V319" i="49"/>
  <c r="V189" i="49"/>
  <c r="M31" i="50"/>
  <c r="K125" i="34"/>
  <c r="F125" i="34"/>
  <c r="H29" i="50"/>
  <c r="I29" i="50"/>
  <c r="V287" i="49"/>
  <c r="V338" i="49"/>
  <c r="V64" i="50"/>
  <c r="K20" i="39"/>
  <c r="V109" i="49"/>
  <c r="M58" i="50"/>
  <c r="V37" i="47"/>
  <c r="F128" i="34"/>
  <c r="K128" i="34"/>
  <c r="T38" i="51"/>
  <c r="V212" i="49"/>
  <c r="V60" i="47"/>
  <c r="V135" i="49"/>
  <c r="F88" i="34"/>
  <c r="K88" i="34"/>
  <c r="V235" i="49"/>
  <c r="V27" i="49"/>
  <c r="U13" i="43"/>
  <c r="AA13" i="43" s="1"/>
  <c r="F22" i="51"/>
  <c r="V3" i="48"/>
  <c r="V48" i="50"/>
  <c r="V74" i="47"/>
  <c r="M5" i="48"/>
  <c r="U4" i="44"/>
  <c r="U3" i="44"/>
  <c r="U5" i="44"/>
  <c r="T13" i="51"/>
  <c r="V231" i="49"/>
  <c r="F119" i="34"/>
  <c r="K119" i="34"/>
  <c r="AJ20" i="50"/>
  <c r="V14" i="50"/>
  <c r="V333" i="49"/>
  <c r="M35" i="50"/>
  <c r="M373" i="49"/>
  <c r="V5" i="53"/>
  <c r="V70" i="49"/>
  <c r="K38" i="51"/>
  <c r="V43" i="53"/>
  <c r="V30" i="53"/>
  <c r="V156" i="49"/>
  <c r="V33" i="47"/>
  <c r="T51" i="51"/>
  <c r="H31" i="59"/>
  <c r="G31" i="59" s="1"/>
  <c r="U28" i="40"/>
  <c r="X28" i="40" s="1"/>
  <c r="M62" i="53"/>
  <c r="M27" i="47"/>
  <c r="V69" i="47"/>
  <c r="AJ18" i="48"/>
  <c r="V316" i="49"/>
  <c r="M29" i="48"/>
  <c r="V238" i="49"/>
  <c r="V268" i="49"/>
  <c r="K27" i="34"/>
  <c r="F27" i="34"/>
  <c r="C10" i="33"/>
  <c r="V280" i="49"/>
  <c r="I32" i="50"/>
  <c r="H32" i="50"/>
  <c r="V381" i="49"/>
  <c r="K116" i="34"/>
  <c r="F116" i="34"/>
  <c r="V14" i="47"/>
  <c r="V104" i="49"/>
  <c r="M3" i="53"/>
  <c r="V44" i="50"/>
  <c r="M9" i="53"/>
  <c r="V367" i="49"/>
  <c r="K13" i="38"/>
  <c r="L13" i="38" s="1"/>
  <c r="O13" i="38" s="1"/>
  <c r="V55" i="53"/>
  <c r="V54" i="49"/>
  <c r="V145" i="49"/>
  <c r="M15" i="49"/>
  <c r="D24" i="39"/>
  <c r="V20" i="50"/>
  <c r="AJ14" i="50"/>
  <c r="V31" i="48"/>
  <c r="K79" i="34"/>
  <c r="F79" i="34"/>
  <c r="M20" i="42"/>
  <c r="M43" i="50"/>
  <c r="V79" i="53"/>
  <c r="T14" i="51"/>
  <c r="AC10" i="47"/>
  <c r="AC11" i="47"/>
  <c r="AC15" i="47"/>
  <c r="AC54" i="47"/>
  <c r="AC14" i="47"/>
  <c r="AC73" i="47"/>
  <c r="AC27" i="47"/>
  <c r="AC59" i="47"/>
  <c r="AC49" i="47"/>
  <c r="AC35" i="47"/>
  <c r="AC74" i="47"/>
  <c r="AC64" i="47"/>
  <c r="AC53" i="47"/>
  <c r="AC7" i="47"/>
  <c r="AC66" i="47"/>
  <c r="AC42" i="47"/>
  <c r="AC52" i="47"/>
  <c r="AC18" i="47"/>
  <c r="AC33" i="47"/>
  <c r="AC46" i="47"/>
  <c r="AC79" i="47"/>
  <c r="AC58" i="47"/>
  <c r="AC71" i="47"/>
  <c r="AC76" i="47"/>
  <c r="AC38" i="47"/>
  <c r="AC63" i="47"/>
  <c r="AC51" i="47"/>
  <c r="AC8" i="47"/>
  <c r="AC16" i="47"/>
  <c r="AC12" i="47"/>
  <c r="AC78" i="47"/>
  <c r="AC30" i="47"/>
  <c r="AC24" i="47"/>
  <c r="AC62" i="47"/>
  <c r="AC26" i="47"/>
  <c r="AC22" i="47"/>
  <c r="AC6" i="47"/>
  <c r="AC34" i="47"/>
  <c r="AC25" i="47"/>
  <c r="AC17" i="47"/>
  <c r="AC36" i="47"/>
  <c r="AC23" i="47"/>
  <c r="AC20" i="47"/>
  <c r="AC28" i="47"/>
  <c r="AC4" i="47"/>
  <c r="AC9" i="47"/>
  <c r="AC41" i="47"/>
  <c r="AC61" i="47"/>
  <c r="AC77" i="47"/>
  <c r="AC32" i="47"/>
  <c r="AC65" i="47"/>
  <c r="AC2" i="47"/>
  <c r="AC29" i="47"/>
  <c r="AC44" i="47"/>
  <c r="AC21" i="47"/>
  <c r="AC39" i="47"/>
  <c r="AC13" i="47"/>
  <c r="AC40" i="47"/>
  <c r="AC67" i="47"/>
  <c r="AC68" i="47"/>
  <c r="AC57" i="47"/>
  <c r="AC47" i="47"/>
  <c r="AC45" i="47"/>
  <c r="AC3" i="47"/>
  <c r="AC60" i="47"/>
  <c r="AC70" i="47"/>
  <c r="AC50" i="47"/>
  <c r="AC55" i="47"/>
  <c r="AC19" i="47"/>
  <c r="AC5" i="47"/>
  <c r="AC31" i="47"/>
  <c r="AC48" i="47"/>
  <c r="AC75" i="47"/>
  <c r="AC72" i="47"/>
  <c r="AC43" i="47"/>
  <c r="AC69" i="47"/>
  <c r="AC56" i="47"/>
  <c r="AC37" i="47"/>
  <c r="M6" i="53"/>
  <c r="V48" i="48"/>
  <c r="V337" i="49"/>
  <c r="V85" i="49"/>
  <c r="F24" i="51"/>
  <c r="F17" i="34"/>
  <c r="K17" i="34"/>
  <c r="U9" i="42"/>
  <c r="U10" i="42"/>
  <c r="V13" i="48"/>
  <c r="I7" i="43"/>
  <c r="V78" i="53"/>
  <c r="M53" i="48"/>
  <c r="I3" i="44"/>
  <c r="V126" i="49"/>
  <c r="V67" i="47"/>
  <c r="V46" i="49"/>
  <c r="M40" i="50"/>
  <c r="V82" i="49"/>
  <c r="V350" i="49"/>
  <c r="V63" i="48"/>
  <c r="V50" i="48"/>
  <c r="AJ13" i="49"/>
  <c r="AJ21" i="50"/>
  <c r="V46" i="47"/>
  <c r="F85" i="34"/>
  <c r="K85" i="34"/>
  <c r="V20" i="47"/>
  <c r="V48" i="53"/>
  <c r="V101" i="50"/>
  <c r="V38" i="48"/>
  <c r="M89" i="53"/>
  <c r="H44" i="53"/>
  <c r="I44" i="53"/>
  <c r="V83" i="48"/>
  <c r="V31" i="47"/>
  <c r="M26" i="42"/>
  <c r="M27" i="42"/>
  <c r="AH12" i="51"/>
  <c r="F23" i="51"/>
  <c r="AJ15" i="49"/>
  <c r="T49" i="51"/>
  <c r="V19" i="50"/>
  <c r="V269" i="49"/>
  <c r="V41" i="49"/>
  <c r="T19" i="40"/>
  <c r="T16" i="40"/>
  <c r="T21" i="40"/>
  <c r="T13" i="40"/>
  <c r="T17" i="40"/>
  <c r="T18" i="40"/>
  <c r="T14" i="40"/>
  <c r="T15" i="40"/>
  <c r="T20" i="40"/>
  <c r="T4" i="51"/>
  <c r="K52" i="51"/>
  <c r="V22" i="47"/>
  <c r="AJ15" i="50"/>
  <c r="V79" i="47"/>
  <c r="T33" i="51"/>
  <c r="V115" i="50"/>
  <c r="H41" i="50"/>
  <c r="I41" i="50"/>
  <c r="V162" i="49"/>
  <c r="K10" i="51"/>
  <c r="V57" i="50"/>
  <c r="K81" i="34"/>
  <c r="F81" i="34"/>
  <c r="V31" i="50"/>
  <c r="V74" i="48"/>
  <c r="V22" i="53"/>
  <c r="V11" i="49"/>
  <c r="K17" i="51"/>
  <c r="I46" i="53"/>
  <c r="H46" i="53"/>
  <c r="V75" i="53"/>
  <c r="V18" i="53"/>
  <c r="A101" i="34"/>
  <c r="A97" i="34"/>
  <c r="A79" i="34"/>
  <c r="A127" i="34"/>
  <c r="A52" i="34"/>
  <c r="A32" i="34"/>
  <c r="A91" i="34"/>
  <c r="A54" i="34"/>
  <c r="A47" i="34"/>
  <c r="A85" i="34"/>
  <c r="A80" i="34"/>
  <c r="A45" i="34"/>
  <c r="A50" i="34"/>
  <c r="A18" i="34"/>
  <c r="A14" i="34"/>
  <c r="A104" i="34"/>
  <c r="A98" i="34"/>
  <c r="A118" i="34"/>
  <c r="A41" i="34"/>
  <c r="A66" i="34"/>
  <c r="A22" i="34"/>
  <c r="A116" i="34"/>
  <c r="A114" i="34"/>
  <c r="A13" i="34"/>
  <c r="A126" i="34"/>
  <c r="A12" i="34"/>
  <c r="A78" i="34"/>
  <c r="A89" i="34"/>
  <c r="A56" i="34"/>
  <c r="A117" i="34"/>
  <c r="A27" i="34"/>
  <c r="A77" i="34"/>
  <c r="A29" i="34"/>
  <c r="A90" i="34"/>
  <c r="A111" i="34"/>
  <c r="A42" i="34"/>
  <c r="A26" i="34"/>
  <c r="A69" i="34"/>
  <c r="A43" i="34"/>
  <c r="A94" i="34"/>
  <c r="A67" i="34"/>
  <c r="A48" i="34"/>
  <c r="A39" i="34"/>
  <c r="A103" i="34"/>
  <c r="A38" i="34"/>
  <c r="A120" i="34"/>
  <c r="A55" i="34"/>
  <c r="A60" i="34"/>
  <c r="A59" i="34"/>
  <c r="A5" i="34"/>
  <c r="A15" i="34"/>
  <c r="A124" i="34"/>
  <c r="A20" i="34"/>
  <c r="A9" i="34"/>
  <c r="A72" i="34"/>
  <c r="A100" i="34"/>
  <c r="A86" i="34"/>
  <c r="A34" i="34"/>
  <c r="A110" i="34"/>
  <c r="A28" i="34"/>
  <c r="A7" i="34"/>
  <c r="A31" i="34"/>
  <c r="A64" i="34"/>
  <c r="A40" i="34"/>
  <c r="A53" i="34"/>
  <c r="A96" i="34"/>
  <c r="A88" i="34"/>
  <c r="A44" i="34"/>
  <c r="A115" i="34"/>
  <c r="A61" i="34"/>
  <c r="A30" i="34"/>
  <c r="A16" i="34"/>
  <c r="A108" i="34"/>
  <c r="A68" i="34"/>
  <c r="A121" i="34"/>
  <c r="A17" i="34"/>
  <c r="A87" i="34"/>
  <c r="A37" i="34"/>
  <c r="A49" i="34"/>
  <c r="A65" i="34"/>
  <c r="A51" i="34"/>
  <c r="A71" i="34"/>
  <c r="A122" i="34"/>
  <c r="A25" i="34"/>
  <c r="A70" i="34"/>
  <c r="A129" i="34"/>
  <c r="A62" i="34"/>
  <c r="A84" i="34"/>
  <c r="A82" i="34"/>
  <c r="A73" i="34"/>
  <c r="A105" i="34"/>
  <c r="A125" i="34"/>
  <c r="A58" i="34"/>
  <c r="A119" i="34"/>
  <c r="A11" i="34"/>
  <c r="A113" i="34"/>
  <c r="A106" i="34"/>
  <c r="A19" i="34"/>
  <c r="A75" i="34"/>
  <c r="A8" i="34"/>
  <c r="A81" i="34"/>
  <c r="A10" i="34"/>
  <c r="A93" i="34"/>
  <c r="A63" i="34"/>
  <c r="A74" i="34"/>
  <c r="A107" i="34"/>
  <c r="A36" i="34"/>
  <c r="A33" i="34"/>
  <c r="A35" i="34"/>
  <c r="A83" i="34"/>
  <c r="A112" i="34"/>
  <c r="A21" i="34"/>
  <c r="A24" i="34"/>
  <c r="A76" i="34"/>
  <c r="A109" i="34"/>
  <c r="A6" i="34"/>
  <c r="A128" i="34"/>
  <c r="A92" i="34"/>
  <c r="A99" i="34"/>
  <c r="A123" i="34"/>
  <c r="A46" i="34"/>
  <c r="A23" i="34"/>
  <c r="A102" i="34"/>
  <c r="A95" i="34"/>
  <c r="A57" i="34"/>
  <c r="V113" i="50"/>
  <c r="T21" i="51"/>
  <c r="V178" i="49"/>
  <c r="F73" i="34"/>
  <c r="K73" i="34"/>
  <c r="V267" i="49"/>
  <c r="V7" i="49"/>
  <c r="V103" i="50"/>
  <c r="V87" i="49"/>
  <c r="M82" i="53"/>
  <c r="F11" i="51"/>
  <c r="T57" i="51"/>
  <c r="V245" i="49"/>
  <c r="K3" i="38"/>
  <c r="L3" i="38" s="1"/>
  <c r="O3" i="38" s="1"/>
  <c r="V96" i="50"/>
  <c r="V388" i="49"/>
  <c r="V81" i="50"/>
  <c r="V19" i="48"/>
  <c r="V376" i="49"/>
  <c r="V47" i="47"/>
  <c r="V157" i="49"/>
  <c r="M9" i="47"/>
  <c r="V55" i="49"/>
  <c r="Y13" i="42"/>
  <c r="T25" i="51"/>
  <c r="A5" i="44"/>
  <c r="H50" i="53"/>
  <c r="I50" i="53"/>
  <c r="V77" i="47"/>
  <c r="V74" i="53"/>
  <c r="V223" i="49"/>
  <c r="V227" i="49"/>
  <c r="Q5" i="45"/>
  <c r="Q4" i="45"/>
  <c r="Q3" i="45"/>
  <c r="V242" i="49"/>
  <c r="V30" i="47"/>
  <c r="F8" i="51"/>
  <c r="T37" i="51"/>
  <c r="M29" i="50"/>
  <c r="M8" i="50"/>
  <c r="V21" i="48"/>
  <c r="V120" i="49"/>
  <c r="U16" i="40"/>
  <c r="U19" i="40"/>
  <c r="U20" i="40"/>
  <c r="U12" i="40"/>
  <c r="U17" i="40"/>
  <c r="U21" i="40"/>
  <c r="U14" i="40"/>
  <c r="U18" i="40"/>
  <c r="U13" i="40"/>
  <c r="U15" i="40"/>
  <c r="V53" i="48"/>
  <c r="M77" i="47"/>
  <c r="V80" i="48"/>
  <c r="V166" i="49"/>
  <c r="V21" i="47"/>
  <c r="V67" i="53"/>
  <c r="K11" i="38"/>
  <c r="P11" i="38" s="1"/>
  <c r="AH18" i="51"/>
  <c r="V40" i="47"/>
  <c r="Y3" i="43"/>
  <c r="Y5" i="43"/>
  <c r="Y4" i="43"/>
  <c r="K102" i="34"/>
  <c r="F102" i="34"/>
  <c r="F74" i="34"/>
  <c r="K74" i="34"/>
  <c r="V36" i="49"/>
  <c r="D17" i="39"/>
  <c r="K36" i="34"/>
  <c r="F36" i="34"/>
  <c r="V42" i="49"/>
  <c r="M39" i="50"/>
  <c r="P3" i="45"/>
  <c r="P4" i="45"/>
  <c r="P5" i="45"/>
  <c r="V195" i="49"/>
  <c r="V79" i="50"/>
  <c r="V244" i="49"/>
  <c r="V310" i="49"/>
  <c r="T43" i="51"/>
  <c r="H9" i="59"/>
  <c r="G9" i="59" s="1"/>
  <c r="K40" i="51"/>
  <c r="M27" i="48"/>
  <c r="I15" i="45"/>
  <c r="V24" i="48"/>
  <c r="AJ22" i="49"/>
  <c r="M48" i="47"/>
  <c r="V84" i="49"/>
  <c r="V330" i="49"/>
  <c r="V340" i="49"/>
  <c r="I35" i="53"/>
  <c r="H35" i="53"/>
  <c r="V278" i="49"/>
  <c r="M29" i="49"/>
  <c r="V80" i="50"/>
  <c r="I31" i="50"/>
  <c r="H31" i="50"/>
  <c r="M78" i="47"/>
  <c r="I6" i="42"/>
  <c r="K12" i="38"/>
  <c r="P12" i="38" s="1"/>
  <c r="M13" i="49"/>
  <c r="V60" i="48"/>
  <c r="C3" i="33"/>
  <c r="M36" i="50"/>
  <c r="H19" i="59"/>
  <c r="G19" i="59" s="1"/>
  <c r="V158" i="49"/>
  <c r="V26" i="53"/>
  <c r="D19" i="59"/>
  <c r="C19" i="59" s="1"/>
  <c r="M31" i="48"/>
  <c r="M17" i="53"/>
  <c r="V304" i="49"/>
  <c r="V139" i="49"/>
  <c r="K122" i="34"/>
  <c r="F122" i="34"/>
  <c r="V16" i="48"/>
  <c r="M61" i="53"/>
  <c r="V108" i="50"/>
  <c r="V4" i="47"/>
  <c r="AC87" i="53"/>
  <c r="AC2" i="53"/>
  <c r="AC34" i="53"/>
  <c r="AC46" i="53"/>
  <c r="AC15" i="53"/>
  <c r="AC74" i="53"/>
  <c r="AC45" i="53"/>
  <c r="AC57" i="53"/>
  <c r="AC61" i="53"/>
  <c r="AC37" i="53"/>
  <c r="AC10" i="53"/>
  <c r="AC11" i="53"/>
  <c r="AC24" i="53"/>
  <c r="AC75" i="53"/>
  <c r="AC63" i="53"/>
  <c r="AC58" i="53"/>
  <c r="AC12" i="53"/>
  <c r="AC27" i="53"/>
  <c r="AC53" i="53"/>
  <c r="AC51" i="53"/>
  <c r="AC81" i="53"/>
  <c r="AC47" i="53"/>
  <c r="AC26" i="53"/>
  <c r="AC86" i="53"/>
  <c r="AC14" i="53"/>
  <c r="AC20" i="53"/>
  <c r="AC3" i="53"/>
  <c r="AC50" i="53"/>
  <c r="AC13" i="53"/>
  <c r="AC54" i="53"/>
  <c r="AC76" i="53"/>
  <c r="AC6" i="53"/>
  <c r="AC8" i="53"/>
  <c r="AC68" i="53"/>
  <c r="AC21" i="53"/>
  <c r="AC36" i="53"/>
  <c r="AC48" i="53"/>
  <c r="AC38" i="53"/>
  <c r="AC42" i="53"/>
  <c r="AC80" i="53"/>
  <c r="AC35" i="53"/>
  <c r="AC65" i="53"/>
  <c r="AC19" i="53"/>
  <c r="AC16" i="53"/>
  <c r="AC64" i="53"/>
  <c r="AC22" i="53"/>
  <c r="AC59" i="53"/>
  <c r="AC79" i="53"/>
  <c r="AC67" i="53"/>
  <c r="AC18" i="53"/>
  <c r="AC28" i="53"/>
  <c r="AC78" i="53"/>
  <c r="AC73" i="53"/>
  <c r="AC41" i="53"/>
  <c r="AC69" i="53"/>
  <c r="AC62" i="53"/>
  <c r="AC72" i="53"/>
  <c r="AC4" i="53"/>
  <c r="AC52" i="53"/>
  <c r="AC33" i="53"/>
  <c r="AC82" i="53"/>
  <c r="AC44" i="53"/>
  <c r="AC55" i="53"/>
  <c r="AC30" i="53"/>
  <c r="AC23" i="53"/>
  <c r="AC77" i="53"/>
  <c r="AC43" i="53"/>
  <c r="AC70" i="53"/>
  <c r="AC31" i="53"/>
  <c r="AC84" i="53"/>
  <c r="AC88" i="53"/>
  <c r="AC71" i="53"/>
  <c r="AC9" i="53"/>
  <c r="AC40" i="53"/>
  <c r="AC29" i="53"/>
  <c r="AC85" i="53"/>
  <c r="AC39" i="53"/>
  <c r="AC32" i="53"/>
  <c r="AC5" i="53"/>
  <c r="AC17" i="53"/>
  <c r="AC7" i="53"/>
  <c r="AC49" i="53"/>
  <c r="AC60" i="53"/>
  <c r="AC56" i="53"/>
  <c r="AC66" i="53"/>
  <c r="AC89" i="53"/>
  <c r="AC25" i="53"/>
  <c r="AC83" i="53"/>
  <c r="V12" i="48"/>
  <c r="I33" i="50"/>
  <c r="H33" i="50"/>
  <c r="V74" i="50"/>
  <c r="V45" i="48"/>
  <c r="I16" i="45"/>
  <c r="V297" i="49"/>
  <c r="K57" i="51"/>
  <c r="F13" i="51"/>
  <c r="P20" i="40"/>
  <c r="P14" i="40"/>
  <c r="P15" i="40"/>
  <c r="P18" i="40"/>
  <c r="P13" i="40"/>
  <c r="P16" i="40"/>
  <c r="P19" i="40"/>
  <c r="P17" i="40"/>
  <c r="P21" i="40"/>
  <c r="V51" i="49"/>
  <c r="V7" i="50"/>
  <c r="M26" i="47"/>
  <c r="F96" i="34"/>
  <c r="K96" i="34"/>
  <c r="M23" i="53"/>
  <c r="K4" i="45"/>
  <c r="J4" i="45"/>
  <c r="I4" i="45"/>
  <c r="K3" i="37"/>
  <c r="L3" i="37" s="1"/>
  <c r="O3" i="37" s="1"/>
  <c r="C14" i="59"/>
  <c r="B1" i="58" s="1"/>
  <c r="V65" i="48"/>
  <c r="V14" i="48"/>
  <c r="F100" i="34"/>
  <c r="K100" i="34"/>
  <c r="M4" i="43"/>
  <c r="O4" i="43"/>
  <c r="N4" i="43"/>
  <c r="V78" i="50"/>
  <c r="K77" i="34"/>
  <c r="F77" i="34"/>
  <c r="M23" i="43"/>
  <c r="V63" i="47"/>
  <c r="V369" i="49"/>
  <c r="M20" i="47"/>
  <c r="C33" i="59"/>
  <c r="V25" i="53"/>
  <c r="K29" i="51"/>
  <c r="M11" i="48"/>
  <c r="M54" i="48"/>
  <c r="V6" i="48"/>
  <c r="V11" i="53"/>
  <c r="O5" i="44"/>
  <c r="N5" i="44"/>
  <c r="M5" i="44"/>
  <c r="I40" i="53"/>
  <c r="H40" i="53"/>
  <c r="V382" i="49"/>
  <c r="AL23" i="48"/>
  <c r="Y9" i="44"/>
  <c r="Y10" i="44"/>
  <c r="V204" i="49"/>
  <c r="V181" i="49"/>
  <c r="V321" i="49"/>
  <c r="V144" i="49"/>
  <c r="K5" i="34"/>
  <c r="F5" i="34"/>
  <c r="V54" i="50"/>
  <c r="V258" i="49"/>
  <c r="V127" i="49"/>
  <c r="Y13" i="44"/>
  <c r="V379" i="49"/>
  <c r="M17" i="48"/>
  <c r="M41" i="48"/>
  <c r="M66" i="50"/>
  <c r="S16" i="40"/>
  <c r="S20" i="40"/>
  <c r="S18" i="40"/>
  <c r="S14" i="40"/>
  <c r="S17" i="40"/>
  <c r="S19" i="40"/>
  <c r="S13" i="40"/>
  <c r="S21" i="40"/>
  <c r="S15" i="40"/>
  <c r="M25" i="48"/>
  <c r="M63" i="53"/>
  <c r="V191" i="49"/>
  <c r="V79" i="48"/>
  <c r="F105" i="34"/>
  <c r="K105" i="34"/>
  <c r="V47" i="50"/>
  <c r="K42" i="51"/>
  <c r="V67" i="50"/>
  <c r="V81" i="48"/>
  <c r="V11" i="48"/>
  <c r="I47" i="53"/>
  <c r="H47" i="53"/>
  <c r="V370" i="49"/>
  <c r="K6" i="51"/>
  <c r="N5" i="42"/>
  <c r="O5" i="42"/>
  <c r="M5" i="42"/>
  <c r="V94" i="50"/>
  <c r="K28" i="51"/>
  <c r="B72" i="56"/>
  <c r="B92" i="56"/>
  <c r="B113" i="56"/>
  <c r="B29" i="56"/>
  <c r="B35" i="56"/>
  <c r="B18" i="56"/>
  <c r="B63" i="56"/>
  <c r="B104" i="56"/>
  <c r="B12" i="56"/>
  <c r="B96" i="56"/>
  <c r="B69" i="56"/>
  <c r="B76" i="56"/>
  <c r="B48" i="56"/>
  <c r="B34" i="56"/>
  <c r="B58" i="56"/>
  <c r="B108" i="56"/>
  <c r="B123" i="56"/>
  <c r="B6" i="56"/>
  <c r="B111" i="56"/>
  <c r="B62" i="56"/>
  <c r="B53" i="56"/>
  <c r="B32" i="56"/>
  <c r="B101" i="56"/>
  <c r="B77" i="56"/>
  <c r="B78" i="56"/>
  <c r="B115" i="56"/>
  <c r="B44" i="56"/>
  <c r="B8" i="56"/>
  <c r="B93" i="56"/>
  <c r="B41" i="56"/>
  <c r="B98" i="56"/>
  <c r="B95" i="56"/>
  <c r="B9" i="56"/>
  <c r="B114" i="56"/>
  <c r="B74" i="56"/>
  <c r="B45" i="56"/>
  <c r="B56" i="56"/>
  <c r="B122" i="56"/>
  <c r="B87" i="56"/>
  <c r="B118" i="56"/>
  <c r="B40" i="56"/>
  <c r="B30" i="56"/>
  <c r="B42" i="56"/>
  <c r="B38" i="56"/>
  <c r="B80" i="56"/>
  <c r="B11" i="56"/>
  <c r="B15" i="56"/>
  <c r="B70" i="56"/>
  <c r="B117" i="56"/>
  <c r="B97" i="56"/>
  <c r="B85" i="56"/>
  <c r="B54" i="56"/>
  <c r="B79" i="56"/>
  <c r="B47" i="56"/>
  <c r="B82" i="56"/>
  <c r="B4" i="56"/>
  <c r="B31" i="56"/>
  <c r="B94" i="56"/>
  <c r="B120" i="56"/>
  <c r="B26" i="56"/>
  <c r="B68" i="56"/>
  <c r="B59" i="56"/>
  <c r="B109" i="56"/>
  <c r="B89" i="56"/>
  <c r="B28" i="56"/>
  <c r="B64" i="56"/>
  <c r="B90" i="56"/>
  <c r="B119" i="56"/>
  <c r="B71" i="56"/>
  <c r="B106" i="56"/>
  <c r="B43" i="56"/>
  <c r="B88" i="56"/>
  <c r="B39" i="56"/>
  <c r="B10" i="56"/>
  <c r="B103" i="56"/>
  <c r="B61" i="56"/>
  <c r="B24" i="56"/>
  <c r="B83" i="56"/>
  <c r="B17" i="56"/>
  <c r="B107" i="56"/>
  <c r="B23" i="56"/>
  <c r="B27" i="56"/>
  <c r="B21" i="56"/>
  <c r="B57" i="56"/>
  <c r="B19" i="56"/>
  <c r="B25" i="56"/>
  <c r="B14" i="56"/>
  <c r="B121" i="56"/>
  <c r="B51" i="56"/>
  <c r="B91" i="56"/>
  <c r="B105" i="56"/>
  <c r="B84" i="56"/>
  <c r="B16" i="56"/>
  <c r="B110" i="56"/>
  <c r="B33" i="56"/>
  <c r="B55" i="56"/>
  <c r="B60" i="56"/>
  <c r="B81" i="56"/>
  <c r="B86" i="56"/>
  <c r="B22" i="56"/>
  <c r="B5" i="56"/>
  <c r="B46" i="56"/>
  <c r="B52" i="56"/>
  <c r="B66" i="56"/>
  <c r="B67" i="56"/>
  <c r="B100" i="56"/>
  <c r="B75" i="56"/>
  <c r="B36" i="56"/>
  <c r="B20" i="56"/>
  <c r="B116" i="56"/>
  <c r="B37" i="56"/>
  <c r="B65" i="56"/>
  <c r="B112" i="56"/>
  <c r="B73" i="56"/>
  <c r="B102" i="56"/>
  <c r="B7" i="56"/>
  <c r="B13" i="56"/>
  <c r="B50" i="56"/>
  <c r="B49" i="56"/>
  <c r="B99" i="56"/>
  <c r="V224" i="49"/>
  <c r="K14" i="37"/>
  <c r="L14" i="37" s="1"/>
  <c r="O14" i="37" s="1"/>
  <c r="V55" i="50"/>
  <c r="V54" i="47"/>
  <c r="C9" i="33"/>
  <c r="V303" i="49"/>
  <c r="E11" i="35"/>
  <c r="V342" i="49"/>
  <c r="M83" i="53"/>
  <c r="V68" i="48"/>
  <c r="V26" i="48"/>
  <c r="V298" i="49"/>
  <c r="V34" i="49"/>
  <c r="V14" i="49"/>
  <c r="V11" i="47"/>
  <c r="M5" i="53"/>
  <c r="H4" i="59"/>
  <c r="G4" i="59" s="1"/>
  <c r="V20" i="48"/>
  <c r="V26" i="49"/>
  <c r="V111" i="49"/>
  <c r="T7" i="51"/>
  <c r="C11" i="33"/>
  <c r="C8" i="33"/>
  <c r="V161" i="49"/>
  <c r="V16" i="47"/>
  <c r="V182" i="49"/>
  <c r="K58" i="34"/>
  <c r="F58" i="34"/>
  <c r="V329" i="49"/>
  <c r="F45" i="34"/>
  <c r="K45" i="34"/>
  <c r="V276" i="49"/>
  <c r="V352" i="49"/>
  <c r="V46" i="50"/>
  <c r="M19" i="53"/>
  <c r="V228" i="49"/>
  <c r="V70" i="53"/>
  <c r="G49" i="59"/>
  <c r="C49" i="59"/>
  <c r="V194" i="49"/>
  <c r="V83" i="50"/>
  <c r="M71" i="50"/>
  <c r="K14" i="38"/>
  <c r="L14" i="38" s="1"/>
  <c r="O14" i="38" s="1"/>
  <c r="D10" i="59"/>
  <c r="C10" i="59" s="1"/>
  <c r="V69" i="49"/>
  <c r="V37" i="49"/>
  <c r="V374" i="49"/>
  <c r="V47" i="48"/>
  <c r="M75" i="47"/>
  <c r="T31" i="51"/>
  <c r="V188" i="49"/>
  <c r="V362" i="49"/>
  <c r="M33" i="50"/>
  <c r="V36" i="47"/>
  <c r="M63" i="49"/>
  <c r="AL11" i="48"/>
  <c r="V56" i="50"/>
  <c r="K11" i="51"/>
  <c r="V15" i="53"/>
  <c r="V32" i="50"/>
  <c r="V62" i="47"/>
  <c r="V17" i="53"/>
  <c r="V262" i="49"/>
  <c r="V272" i="49"/>
  <c r="K56" i="51"/>
  <c r="V17" i="48"/>
  <c r="M15" i="44"/>
  <c r="V95" i="50"/>
  <c r="M23" i="48"/>
  <c r="A44" i="57"/>
  <c r="A102" i="57"/>
  <c r="A41" i="57"/>
  <c r="A37" i="57"/>
  <c r="A28" i="57"/>
  <c r="A21" i="57"/>
  <c r="A86" i="57"/>
  <c r="A101" i="57"/>
  <c r="A39" i="57"/>
  <c r="A90" i="57"/>
  <c r="A22" i="57"/>
  <c r="A95" i="57"/>
  <c r="A88" i="57"/>
  <c r="A69" i="57"/>
  <c r="A119" i="57"/>
  <c r="A82" i="57"/>
  <c r="A16" i="57"/>
  <c r="A55" i="57"/>
  <c r="A15" i="57"/>
  <c r="A70" i="57"/>
  <c r="A92" i="57"/>
  <c r="A98" i="57"/>
  <c r="A110" i="57"/>
  <c r="A105" i="57"/>
  <c r="A8" i="57"/>
  <c r="A3" i="57"/>
  <c r="A14" i="57"/>
  <c r="A121" i="57"/>
  <c r="A64" i="57"/>
  <c r="A51" i="57"/>
  <c r="A75" i="57"/>
  <c r="A42" i="57"/>
  <c r="A109" i="57"/>
  <c r="A120" i="57"/>
  <c r="A36" i="57"/>
  <c r="A122" i="57"/>
  <c r="A74" i="57"/>
  <c r="A23" i="57"/>
  <c r="A65" i="57"/>
  <c r="A20" i="57"/>
  <c r="A89" i="57"/>
  <c r="A104" i="57"/>
  <c r="A6" i="57"/>
  <c r="A4" i="57"/>
  <c r="A10" i="57"/>
  <c r="A68" i="57"/>
  <c r="A85" i="57"/>
  <c r="A11" i="57"/>
  <c r="A7" i="57"/>
  <c r="A81" i="57"/>
  <c r="A87" i="57"/>
  <c r="A107" i="57"/>
  <c r="A13" i="57"/>
  <c r="A115" i="57"/>
  <c r="A50" i="57"/>
  <c r="A83" i="57"/>
  <c r="A67" i="57"/>
  <c r="A5" i="57"/>
  <c r="A114" i="57"/>
  <c r="A34" i="57"/>
  <c r="A76" i="57"/>
  <c r="A54" i="57"/>
  <c r="A12" i="57"/>
  <c r="A40" i="57"/>
  <c r="A116" i="57"/>
  <c r="A38" i="57"/>
  <c r="A108" i="57"/>
  <c r="A94" i="57"/>
  <c r="A19" i="57"/>
  <c r="A48" i="57"/>
  <c r="A53" i="57"/>
  <c r="A25" i="57"/>
  <c r="A118" i="57"/>
  <c r="A46" i="57"/>
  <c r="A29" i="57"/>
  <c r="A24" i="57"/>
  <c r="A111" i="57"/>
  <c r="A35" i="57"/>
  <c r="A27" i="57"/>
  <c r="A45" i="57"/>
  <c r="A96" i="57"/>
  <c r="A56" i="57"/>
  <c r="A31" i="57"/>
  <c r="A63" i="57"/>
  <c r="A97" i="57"/>
  <c r="A117" i="57"/>
  <c r="A62" i="57"/>
  <c r="A103" i="57"/>
  <c r="A52" i="57"/>
  <c r="A26" i="57"/>
  <c r="A112" i="57"/>
  <c r="A18" i="57"/>
  <c r="A73" i="57"/>
  <c r="A113" i="57"/>
  <c r="A9" i="57"/>
  <c r="A71" i="57"/>
  <c r="A57" i="57"/>
  <c r="A77" i="57"/>
  <c r="A33" i="57"/>
  <c r="A66" i="57"/>
  <c r="A59" i="57"/>
  <c r="A84" i="57"/>
  <c r="A61" i="57"/>
  <c r="A93" i="57"/>
  <c r="A91" i="57"/>
  <c r="A79" i="57"/>
  <c r="A47" i="57"/>
  <c r="A99" i="57"/>
  <c r="A72" i="57"/>
  <c r="A60" i="57"/>
  <c r="A30" i="57"/>
  <c r="A32" i="57"/>
  <c r="A58" i="57"/>
  <c r="A78" i="57"/>
  <c r="A43" i="57"/>
  <c r="A100" i="57"/>
  <c r="A17" i="57"/>
  <c r="A106" i="57"/>
  <c r="A49" i="57"/>
  <c r="A80" i="57"/>
  <c r="V164" i="49"/>
  <c r="V275" i="49"/>
  <c r="V63" i="50"/>
  <c r="V86" i="48"/>
  <c r="V87" i="53"/>
  <c r="V119" i="50"/>
  <c r="V282" i="49"/>
  <c r="V80" i="49"/>
  <c r="M50" i="50"/>
  <c r="V101" i="49"/>
  <c r="K51" i="51"/>
  <c r="I4" i="42"/>
  <c r="V140" i="49"/>
  <c r="V292" i="49"/>
  <c r="V90" i="50"/>
  <c r="M37" i="49"/>
  <c r="V3" i="53"/>
  <c r="V62" i="53"/>
  <c r="V64" i="47"/>
  <c r="V254" i="49"/>
  <c r="V84" i="50"/>
  <c r="K43" i="34"/>
  <c r="F43" i="34"/>
  <c r="F68" i="34"/>
  <c r="K68" i="34"/>
  <c r="V41" i="48"/>
  <c r="V19" i="47"/>
  <c r="AL15" i="48"/>
  <c r="V51" i="53"/>
  <c r="V215" i="49"/>
  <c r="U9" i="43"/>
  <c r="U10" i="43"/>
  <c r="V4" i="49"/>
  <c r="AJ20" i="49"/>
  <c r="V57" i="53"/>
  <c r="M22" i="47"/>
  <c r="E6" i="35"/>
  <c r="V20" i="53"/>
  <c r="AH11" i="51"/>
  <c r="V5" i="50"/>
  <c r="N3" i="43"/>
  <c r="M3" i="43"/>
  <c r="O3" i="43"/>
  <c r="V155" i="49"/>
  <c r="K21" i="34"/>
  <c r="F21" i="34"/>
  <c r="K92" i="34"/>
  <c r="F92" i="34"/>
  <c r="V11" i="50"/>
  <c r="F63" i="34"/>
  <c r="K63" i="34"/>
  <c r="V38" i="47"/>
  <c r="M27" i="50"/>
  <c r="K26" i="34"/>
  <c r="F26" i="34"/>
  <c r="V26" i="50"/>
  <c r="I34" i="56"/>
  <c r="I96" i="56"/>
  <c r="I26" i="56"/>
  <c r="I83" i="56"/>
  <c r="I111" i="56"/>
  <c r="I60" i="56"/>
  <c r="I40" i="56"/>
  <c r="I45" i="56"/>
  <c r="I32" i="56"/>
  <c r="I66" i="56"/>
  <c r="I106" i="56"/>
  <c r="I122" i="56"/>
  <c r="I23" i="56"/>
  <c r="I99" i="56"/>
  <c r="I121" i="56"/>
  <c r="I12" i="56"/>
  <c r="I55" i="56"/>
  <c r="I64" i="56"/>
  <c r="I94" i="56"/>
  <c r="I120" i="56"/>
  <c r="I93" i="56"/>
  <c r="I113" i="56"/>
  <c r="I52" i="56"/>
  <c r="I47" i="56"/>
  <c r="I35" i="56"/>
  <c r="I65" i="56"/>
  <c r="I57" i="56"/>
  <c r="I27" i="56"/>
  <c r="I98" i="56"/>
  <c r="I6" i="56"/>
  <c r="I4" i="56"/>
  <c r="I29" i="56"/>
  <c r="I24" i="56"/>
  <c r="I112" i="56"/>
  <c r="I13" i="56"/>
  <c r="I104" i="56"/>
  <c r="I63" i="56"/>
  <c r="I51" i="56"/>
  <c r="G1" i="56"/>
  <c r="I49" i="56"/>
  <c r="I62" i="56"/>
  <c r="I79" i="56"/>
  <c r="I33" i="56"/>
  <c r="I82" i="56"/>
  <c r="I39" i="56"/>
  <c r="I67" i="56"/>
  <c r="I53" i="56"/>
  <c r="I100" i="56"/>
  <c r="I114" i="56"/>
  <c r="I95" i="56"/>
  <c r="I80" i="56"/>
  <c r="I91" i="56"/>
  <c r="I110" i="56"/>
  <c r="I92" i="56"/>
  <c r="I58" i="56"/>
  <c r="I87" i="56"/>
  <c r="I38" i="56"/>
  <c r="I71" i="56"/>
  <c r="I30" i="56"/>
  <c r="I9" i="56"/>
  <c r="I19" i="56"/>
  <c r="I54" i="56"/>
  <c r="I42" i="56"/>
  <c r="I103" i="56"/>
  <c r="I36" i="56"/>
  <c r="I46" i="56"/>
  <c r="I17" i="56"/>
  <c r="I8" i="56"/>
  <c r="I10" i="56"/>
  <c r="I44" i="56"/>
  <c r="I68" i="56"/>
  <c r="I70" i="56"/>
  <c r="I108" i="56"/>
  <c r="I101" i="56"/>
  <c r="I119" i="56"/>
  <c r="I20" i="56"/>
  <c r="I81" i="56"/>
  <c r="I102" i="56"/>
  <c r="I50" i="56"/>
  <c r="I41" i="56"/>
  <c r="I37" i="56"/>
  <c r="I22" i="56"/>
  <c r="I77" i="56"/>
  <c r="I117" i="56"/>
  <c r="I11" i="56"/>
  <c r="I74" i="56"/>
  <c r="I107" i="56"/>
  <c r="I84" i="56"/>
  <c r="I59" i="56"/>
  <c r="I15" i="56"/>
  <c r="I76" i="56"/>
  <c r="I105" i="56"/>
  <c r="I73" i="56"/>
  <c r="I90" i="56"/>
  <c r="I16" i="56"/>
  <c r="I48" i="56"/>
  <c r="I97" i="56"/>
  <c r="I28" i="56"/>
  <c r="I116" i="56"/>
  <c r="I75" i="56"/>
  <c r="I118" i="56"/>
  <c r="I85" i="56"/>
  <c r="I123" i="56"/>
  <c r="I78" i="56"/>
  <c r="I86" i="56"/>
  <c r="I43" i="56"/>
  <c r="I31" i="56"/>
  <c r="I7" i="56"/>
  <c r="I5" i="56"/>
  <c r="I21" i="56"/>
  <c r="I25" i="56"/>
  <c r="I88" i="56"/>
  <c r="I18" i="56"/>
  <c r="I109" i="56"/>
  <c r="I69" i="56"/>
  <c r="I56" i="56"/>
  <c r="I61" i="56"/>
  <c r="I115" i="56"/>
  <c r="I89" i="56"/>
  <c r="I72" i="56"/>
  <c r="I14" i="56"/>
  <c r="N6" i="42"/>
  <c r="O6" i="42"/>
  <c r="M6" i="42"/>
  <c r="V75" i="50"/>
  <c r="K10" i="37"/>
  <c r="L10" i="37" s="1"/>
  <c r="O10" i="37" s="1"/>
  <c r="K15" i="38"/>
  <c r="P15" i="38" s="1"/>
  <c r="V277" i="49"/>
  <c r="V62" i="48"/>
  <c r="V62" i="49"/>
  <c r="V4" i="50"/>
  <c r="M64" i="49"/>
  <c r="V371" i="49"/>
  <c r="K7" i="51"/>
  <c r="V309" i="49"/>
  <c r="M41" i="49"/>
  <c r="M26" i="49"/>
  <c r="E10" i="35"/>
  <c r="M22" i="43"/>
  <c r="V55" i="47"/>
  <c r="M78" i="50"/>
  <c r="M51" i="47"/>
  <c r="O7" i="43"/>
  <c r="M7" i="43"/>
  <c r="N7" i="43"/>
  <c r="M65" i="49"/>
  <c r="V57" i="49"/>
  <c r="V236" i="49"/>
  <c r="F18" i="51"/>
  <c r="I43" i="53"/>
  <c r="H43" i="53"/>
  <c r="V99" i="49"/>
  <c r="V49" i="50"/>
  <c r="E3" i="35"/>
  <c r="F25" i="51"/>
  <c r="M15" i="48"/>
  <c r="V372" i="49"/>
  <c r="M84" i="53"/>
  <c r="D3" i="59"/>
  <c r="C3" i="59" s="1"/>
  <c r="B7" i="44"/>
  <c r="V131" i="49"/>
  <c r="V28" i="48"/>
  <c r="AL12" i="48"/>
  <c r="T11" i="51"/>
  <c r="V378" i="49"/>
  <c r="K10" i="39"/>
  <c r="P10" i="39" s="1"/>
  <c r="V72" i="49"/>
  <c r="V114" i="50"/>
  <c r="W84" i="48"/>
  <c r="W17" i="48"/>
  <c r="W24" i="48"/>
  <c r="W52" i="48"/>
  <c r="W45" i="48"/>
  <c r="W61" i="48"/>
  <c r="W42" i="48"/>
  <c r="W59" i="48"/>
  <c r="W5" i="48"/>
  <c r="W60" i="48"/>
  <c r="W50" i="48"/>
  <c r="W41" i="48"/>
  <c r="W18" i="48"/>
  <c r="W71" i="48"/>
  <c r="W3" i="48"/>
  <c r="W76" i="48"/>
  <c r="W30" i="48"/>
  <c r="W26" i="48"/>
  <c r="W89" i="48"/>
  <c r="W27" i="48"/>
  <c r="W49" i="48"/>
  <c r="W7" i="48"/>
  <c r="W47" i="48"/>
  <c r="W65" i="48"/>
  <c r="W43" i="48"/>
  <c r="W68" i="48"/>
  <c r="W14" i="48"/>
  <c r="W12" i="48"/>
  <c r="W6" i="48"/>
  <c r="W79" i="48"/>
  <c r="W78" i="48"/>
  <c r="W62" i="48"/>
  <c r="W20" i="48"/>
  <c r="W81" i="48"/>
  <c r="W32" i="48"/>
  <c r="W9" i="48"/>
  <c r="W35" i="48"/>
  <c r="W36" i="48"/>
  <c r="W82" i="48"/>
  <c r="W58" i="48"/>
  <c r="W16" i="48"/>
  <c r="W39" i="48"/>
  <c r="W83" i="48"/>
  <c r="W55" i="48"/>
  <c r="W8" i="48"/>
  <c r="W74" i="48"/>
  <c r="W4" i="48"/>
  <c r="W34" i="48"/>
  <c r="W63" i="48"/>
  <c r="W64" i="48"/>
  <c r="W87" i="48"/>
  <c r="W80" i="48"/>
  <c r="W21" i="48"/>
  <c r="W53" i="48"/>
  <c r="W40" i="48"/>
  <c r="W72" i="48"/>
  <c r="W31" i="48"/>
  <c r="W69" i="48"/>
  <c r="W54" i="48"/>
  <c r="W66" i="48"/>
  <c r="W90" i="48"/>
  <c r="W37" i="48"/>
  <c r="W25" i="48"/>
  <c r="W23" i="48"/>
  <c r="W19" i="48"/>
  <c r="W33" i="48"/>
  <c r="W67" i="48"/>
  <c r="W10" i="48"/>
  <c r="W51" i="48"/>
  <c r="W56" i="48"/>
  <c r="W29" i="48"/>
  <c r="W88" i="48"/>
  <c r="W70" i="48"/>
  <c r="W11" i="48"/>
  <c r="W38" i="48"/>
  <c r="W46" i="48"/>
  <c r="W91" i="48"/>
  <c r="W85" i="48"/>
  <c r="W73" i="48"/>
  <c r="W77" i="48"/>
  <c r="W22" i="48"/>
  <c r="W75" i="48"/>
  <c r="W57" i="48"/>
  <c r="W44" i="48"/>
  <c r="W48" i="48"/>
  <c r="W92" i="48"/>
  <c r="W28" i="48"/>
  <c r="W86" i="48"/>
  <c r="W13" i="48"/>
  <c r="W15" i="48"/>
  <c r="V14" i="53"/>
  <c r="F60" i="34"/>
  <c r="K60" i="34"/>
  <c r="V6" i="49"/>
  <c r="AJ17" i="48"/>
  <c r="M38" i="50"/>
  <c r="AJ23" i="49"/>
  <c r="T9" i="42"/>
  <c r="AA9" i="42" s="1" a="1"/>
  <c r="T10" i="42"/>
  <c r="V193" i="49"/>
  <c r="V52" i="48"/>
  <c r="V9" i="48"/>
  <c r="K33" i="34"/>
  <c r="F33" i="34"/>
  <c r="V190" i="49"/>
  <c r="M25" i="50"/>
  <c r="V72" i="48"/>
  <c r="V52" i="47"/>
  <c r="V44" i="48"/>
  <c r="M51" i="50"/>
  <c r="V375" i="49"/>
  <c r="V37" i="53"/>
  <c r="V64" i="48"/>
  <c r="V12" i="47"/>
  <c r="B4" i="44"/>
  <c r="C4" i="44" s="1"/>
  <c r="V29" i="47"/>
  <c r="M30" i="42"/>
  <c r="V73" i="50"/>
  <c r="M14" i="49"/>
  <c r="D22" i="39"/>
  <c r="I6" i="45"/>
  <c r="K6" i="45"/>
  <c r="J6" i="45"/>
  <c r="V3" i="47"/>
  <c r="V5" i="47"/>
  <c r="I38" i="50"/>
  <c r="H38" i="50"/>
  <c r="T48" i="51"/>
  <c r="Y4" i="42"/>
  <c r="Y5" i="42"/>
  <c r="Y3" i="42"/>
  <c r="AJ14" i="49"/>
  <c r="M38" i="49"/>
  <c r="F110" i="34"/>
  <c r="K110" i="34"/>
  <c r="F16" i="34"/>
  <c r="K16" i="34"/>
  <c r="AH20" i="51"/>
  <c r="V38" i="53"/>
  <c r="F75" i="34"/>
  <c r="K75" i="34"/>
  <c r="V183" i="49"/>
  <c r="P4" i="39"/>
  <c r="V196" i="49"/>
  <c r="V87" i="48"/>
  <c r="K55" i="51"/>
  <c r="V58" i="47"/>
  <c r="M78" i="53"/>
  <c r="T42" i="51"/>
  <c r="V314" i="49"/>
  <c r="V323" i="49"/>
  <c r="V64" i="49"/>
  <c r="V53" i="49"/>
  <c r="V220" i="49"/>
  <c r="M67" i="53"/>
  <c r="V121" i="49"/>
  <c r="O3" i="44"/>
  <c r="N3" i="44"/>
  <c r="M3" i="44"/>
  <c r="T12" i="51"/>
  <c r="M61" i="50"/>
  <c r="V100" i="50"/>
  <c r="V21" i="49"/>
  <c r="F120" i="34"/>
  <c r="K120" i="34"/>
  <c r="M17" i="42"/>
  <c r="V42" i="50"/>
  <c r="V383" i="49"/>
  <c r="V61" i="47"/>
  <c r="K14" i="51"/>
  <c r="C28" i="59"/>
  <c r="J3" i="59" s="1"/>
  <c r="V391" i="49"/>
  <c r="V13" i="49"/>
  <c r="V16" i="50"/>
  <c r="V40" i="49"/>
  <c r="K36" i="51"/>
  <c r="K20" i="38"/>
  <c r="P20" i="38" s="1"/>
  <c r="V68" i="50"/>
  <c r="F14" i="34"/>
  <c r="K14" i="34"/>
  <c r="V356" i="49"/>
  <c r="V59" i="47"/>
  <c r="K53" i="51"/>
  <c r="M19" i="49"/>
  <c r="V65" i="49"/>
  <c r="M28" i="42"/>
  <c r="V217" i="49"/>
  <c r="K12" i="34"/>
  <c r="F12" i="34"/>
  <c r="M12" i="47"/>
  <c r="V38" i="50"/>
  <c r="V138" i="49"/>
  <c r="V380" i="49"/>
  <c r="V25" i="47"/>
  <c r="V99" i="50"/>
  <c r="M29" i="42"/>
  <c r="AJ18" i="49"/>
  <c r="V80" i="53"/>
  <c r="T32" i="51"/>
  <c r="D23" i="39"/>
  <c r="V31" i="53"/>
  <c r="V197" i="49"/>
  <c r="M39" i="49"/>
  <c r="M48" i="49"/>
  <c r="V21" i="50"/>
  <c r="H51" i="53"/>
  <c r="I51" i="53"/>
  <c r="V279" i="49"/>
  <c r="K17" i="38"/>
  <c r="L17" i="38" s="1"/>
  <c r="O17" i="38" s="1"/>
  <c r="M9" i="48"/>
  <c r="M37" i="50"/>
  <c r="V32" i="53"/>
  <c r="W48" i="47"/>
  <c r="W46" i="47"/>
  <c r="W43" i="47"/>
  <c r="W53" i="47"/>
  <c r="W8" i="47"/>
  <c r="W39" i="47"/>
  <c r="W9" i="47"/>
  <c r="W59" i="47"/>
  <c r="W62" i="47"/>
  <c r="W75" i="47"/>
  <c r="W60" i="47"/>
  <c r="W58" i="47"/>
  <c r="W12" i="47"/>
  <c r="W40" i="47"/>
  <c r="W42" i="47"/>
  <c r="W26" i="47"/>
  <c r="W76" i="47"/>
  <c r="W61" i="47"/>
  <c r="W5" i="47"/>
  <c r="W54" i="47"/>
  <c r="W64" i="47"/>
  <c r="W6" i="47"/>
  <c r="W10" i="47"/>
  <c r="W70" i="47"/>
  <c r="W16" i="47"/>
  <c r="W72" i="47"/>
  <c r="W3" i="47"/>
  <c r="W29" i="47"/>
  <c r="W30" i="47"/>
  <c r="W34" i="47"/>
  <c r="W51" i="47"/>
  <c r="W79" i="47"/>
  <c r="W28" i="47"/>
  <c r="W67" i="47"/>
  <c r="W66" i="47"/>
  <c r="W15" i="47"/>
  <c r="W36" i="47"/>
  <c r="W50" i="47"/>
  <c r="W69" i="47"/>
  <c r="W52" i="47"/>
  <c r="W44" i="47"/>
  <c r="W18" i="47"/>
  <c r="W4" i="47"/>
  <c r="W11" i="47"/>
  <c r="W24" i="47"/>
  <c r="W17" i="47"/>
  <c r="W35" i="47"/>
  <c r="W33" i="47"/>
  <c r="W31" i="47"/>
  <c r="W55" i="47"/>
  <c r="W63" i="47"/>
  <c r="W56" i="47"/>
  <c r="W23" i="47"/>
  <c r="W38" i="47"/>
  <c r="W32" i="47"/>
  <c r="W19" i="47"/>
  <c r="W14" i="47"/>
  <c r="W57" i="47"/>
  <c r="W77" i="47"/>
  <c r="W47" i="47"/>
  <c r="W49" i="47"/>
  <c r="W68" i="47"/>
  <c r="W41" i="47"/>
  <c r="W13" i="47"/>
  <c r="W73" i="47"/>
  <c r="W22" i="47"/>
  <c r="W20" i="47"/>
  <c r="W65" i="47"/>
  <c r="W27" i="47"/>
  <c r="W25" i="47"/>
  <c r="W78" i="47"/>
  <c r="W45" i="47"/>
  <c r="W71" i="47"/>
  <c r="W21" i="47"/>
  <c r="W37" i="47"/>
  <c r="W74" i="47"/>
  <c r="W7" i="47"/>
  <c r="V53" i="50"/>
  <c r="V240" i="49"/>
  <c r="V73" i="49"/>
  <c r="U4" i="45"/>
  <c r="U5" i="45"/>
  <c r="U3" i="45"/>
  <c r="K6" i="38"/>
  <c r="P6" i="38" s="1"/>
  <c r="V312" i="49"/>
  <c r="B5" i="44"/>
  <c r="Q29" i="40"/>
  <c r="AH16" i="51"/>
  <c r="K55" i="34"/>
  <c r="F55" i="34"/>
  <c r="K41" i="51"/>
  <c r="V130" i="49"/>
  <c r="F98" i="34"/>
  <c r="K98" i="34"/>
  <c r="V28" i="50"/>
  <c r="V341" i="49"/>
  <c r="V32" i="47"/>
  <c r="V44" i="49"/>
  <c r="V226" i="49"/>
  <c r="T50" i="51"/>
  <c r="V129" i="49"/>
  <c r="K18" i="34"/>
  <c r="F18" i="34"/>
  <c r="V5" i="48"/>
  <c r="M21" i="42"/>
  <c r="U3" i="42"/>
  <c r="U4" i="42"/>
  <c r="U5" i="42"/>
  <c r="V29" i="49"/>
  <c r="V116" i="50"/>
  <c r="V43" i="49"/>
  <c r="V246" i="49"/>
  <c r="I41" i="53"/>
  <c r="H41" i="53"/>
  <c r="V22" i="48"/>
  <c r="H37" i="53"/>
  <c r="I37" i="53"/>
  <c r="V8" i="53"/>
  <c r="M77" i="53"/>
  <c r="V253" i="49"/>
  <c r="V18" i="47"/>
  <c r="K11" i="37"/>
  <c r="P11" i="37" s="1"/>
  <c r="V214" i="49"/>
  <c r="V153" i="49"/>
  <c r="V390" i="49"/>
  <c r="M17" i="43"/>
  <c r="F76" i="34"/>
  <c r="K76" i="34"/>
  <c r="V133" i="49"/>
  <c r="V41" i="53"/>
  <c r="Y10" i="42"/>
  <c r="Y9" i="42"/>
  <c r="M23" i="49"/>
  <c r="AJ19" i="50"/>
  <c r="K8" i="39"/>
  <c r="P8" i="39" s="1"/>
  <c r="M24" i="48"/>
  <c r="M80" i="53"/>
  <c r="V320" i="49"/>
  <c r="M25" i="49"/>
  <c r="D4" i="34"/>
  <c r="K4" i="34" s="1"/>
  <c r="F39" i="34"/>
  <c r="K39" i="34"/>
  <c r="M53" i="50"/>
  <c r="V179" i="49"/>
  <c r="V91" i="48"/>
  <c r="V58" i="49"/>
  <c r="V263" i="49"/>
  <c r="AA17" i="51"/>
  <c r="AA52" i="51"/>
  <c r="AA30" i="51"/>
  <c r="AA36" i="51"/>
  <c r="AA33" i="51"/>
  <c r="AA4" i="51"/>
  <c r="AA6" i="51"/>
  <c r="AA8" i="51"/>
  <c r="AA31" i="51"/>
  <c r="AA28" i="51"/>
  <c r="AA43" i="51"/>
  <c r="AA29" i="51"/>
  <c r="AA32" i="51"/>
  <c r="AA14" i="51"/>
  <c r="AA53" i="51"/>
  <c r="AA49" i="51"/>
  <c r="AA2" i="51"/>
  <c r="AA13" i="51"/>
  <c r="AA50" i="51"/>
  <c r="AA27" i="51"/>
  <c r="AA54" i="51"/>
  <c r="AA38" i="51"/>
  <c r="AA16" i="51"/>
  <c r="AA15" i="51"/>
  <c r="AA21" i="51"/>
  <c r="AA55" i="51"/>
  <c r="AA51" i="51"/>
  <c r="AA19" i="51"/>
  <c r="AA45" i="51"/>
  <c r="AA37" i="51"/>
  <c r="AA46" i="51"/>
  <c r="AA12" i="51"/>
  <c r="AA20" i="51"/>
  <c r="AA10" i="51"/>
  <c r="AA26" i="51"/>
  <c r="AA42" i="51"/>
  <c r="AA5" i="51"/>
  <c r="AA25" i="51"/>
  <c r="AA39" i="51"/>
  <c r="AA23" i="51"/>
  <c r="AA34" i="51"/>
  <c r="AA48" i="51"/>
  <c r="AA57" i="51"/>
  <c r="AA56" i="51"/>
  <c r="AA7" i="51"/>
  <c r="AA22" i="51"/>
  <c r="AA47" i="51"/>
  <c r="AA24" i="51"/>
  <c r="AA35" i="51"/>
  <c r="AA40" i="51"/>
  <c r="AA41" i="51"/>
  <c r="AA11" i="51"/>
  <c r="AA18" i="51"/>
  <c r="AA9" i="51"/>
  <c r="AA3" i="51"/>
  <c r="AA44" i="51"/>
  <c r="V23" i="48"/>
  <c r="M14" i="48"/>
  <c r="O6" i="43"/>
  <c r="M6" i="43"/>
  <c r="N6" i="43"/>
  <c r="M49" i="47"/>
  <c r="K64" i="34"/>
  <c r="F64" i="34"/>
  <c r="M76" i="50"/>
  <c r="V274" i="49"/>
  <c r="M15" i="42"/>
  <c r="M18" i="48"/>
  <c r="T55" i="51"/>
  <c r="V364" i="49"/>
  <c r="V334" i="49"/>
  <c r="V4" i="53"/>
  <c r="M68" i="53"/>
  <c r="M9" i="49"/>
  <c r="V54" i="53"/>
  <c r="T3" i="51"/>
  <c r="V115" i="49"/>
  <c r="V55" i="48"/>
  <c r="M7" i="42"/>
  <c r="N7" i="42"/>
  <c r="O7" i="42"/>
  <c r="AJ16" i="50"/>
  <c r="K31" i="51"/>
  <c r="V8" i="47"/>
  <c r="V386" i="49"/>
  <c r="V318" i="49"/>
  <c r="V21" i="53"/>
  <c r="V247" i="49"/>
  <c r="V34" i="48"/>
  <c r="V69" i="50"/>
  <c r="V111" i="50"/>
  <c r="AJ17" i="49"/>
  <c r="V100" i="49"/>
  <c r="D20" i="39"/>
  <c r="T41" i="51"/>
  <c r="K54" i="51"/>
  <c r="V249" i="49"/>
  <c r="M34" i="50"/>
  <c r="T6" i="51"/>
  <c r="V15" i="48"/>
  <c r="M57" i="53"/>
  <c r="V86" i="53"/>
  <c r="V36" i="48"/>
  <c r="V65" i="47"/>
  <c r="M54" i="50"/>
  <c r="M49" i="50"/>
  <c r="D18" i="39"/>
  <c r="K9" i="51"/>
  <c r="F59" i="34"/>
  <c r="K59" i="34"/>
  <c r="V71" i="48"/>
  <c r="V199" i="49"/>
  <c r="K33" i="51"/>
  <c r="M70" i="47"/>
  <c r="M50" i="47"/>
  <c r="V117" i="50"/>
  <c r="U27" i="40"/>
  <c r="Y27" i="40" s="1"/>
  <c r="V77" i="50"/>
  <c r="V42" i="53"/>
  <c r="V219" i="49"/>
  <c r="V16" i="53"/>
  <c r="D14" i="35"/>
  <c r="D17" i="35"/>
  <c r="D15" i="35"/>
  <c r="D13" i="35"/>
  <c r="D16" i="35"/>
  <c r="Q19" i="40"/>
  <c r="Q20" i="40"/>
  <c r="Q15" i="40"/>
  <c r="Q14" i="40"/>
  <c r="Q13" i="40"/>
  <c r="Q18" i="40"/>
  <c r="Q16" i="40"/>
  <c r="Q17" i="40"/>
  <c r="Q21" i="40"/>
  <c r="V168" i="49"/>
  <c r="V82" i="48"/>
  <c r="V343" i="49"/>
  <c r="I5" i="44"/>
  <c r="F89" i="34"/>
  <c r="K89" i="34"/>
  <c r="K8" i="38"/>
  <c r="P8" i="38" s="1"/>
  <c r="V18" i="49"/>
  <c r="M21" i="53"/>
  <c r="K16" i="51"/>
  <c r="K30" i="51"/>
  <c r="V8" i="49"/>
  <c r="M21" i="47"/>
  <c r="V121" i="50"/>
  <c r="T44" i="51"/>
  <c r="V72" i="53"/>
  <c r="V328" i="49"/>
  <c r="V306" i="49"/>
  <c r="V299" i="49"/>
  <c r="B54" i="57"/>
  <c r="U11" i="57"/>
  <c r="R61" i="57"/>
  <c r="F82" i="57"/>
  <c r="C104" i="57"/>
  <c r="S88" i="57"/>
  <c r="H97" i="57"/>
  <c r="G42" i="57"/>
  <c r="H101" i="57"/>
  <c r="T69" i="57"/>
  <c r="T34" i="57"/>
  <c r="O35" i="57"/>
  <c r="I103" i="57"/>
  <c r="E116" i="57"/>
  <c r="H7" i="57"/>
  <c r="E85" i="57"/>
  <c r="Q8" i="57"/>
  <c r="C101" i="57"/>
  <c r="P87" i="57"/>
  <c r="L118" i="57"/>
  <c r="Q5" i="57"/>
  <c r="G107" i="57"/>
  <c r="F85" i="57"/>
  <c r="Q13" i="57"/>
  <c r="F72" i="57"/>
  <c r="S112" i="57"/>
  <c r="F81" i="57"/>
  <c r="T43" i="57"/>
  <c r="C64" i="57"/>
  <c r="U54" i="57"/>
  <c r="K121" i="57"/>
  <c r="N92" i="57"/>
  <c r="K5" i="57"/>
  <c r="B56" i="57"/>
  <c r="L103" i="57"/>
  <c r="Q30" i="57"/>
  <c r="B64" i="57"/>
  <c r="G82" i="57"/>
  <c r="P54" i="57"/>
  <c r="K110" i="57"/>
  <c r="E97" i="57"/>
  <c r="M76" i="57"/>
  <c r="U98" i="57"/>
  <c r="B22" i="57"/>
  <c r="Q97" i="57"/>
  <c r="T118" i="57"/>
  <c r="D23" i="57"/>
  <c r="E120" i="57"/>
  <c r="Q106" i="57"/>
  <c r="P11" i="57"/>
  <c r="K20" i="57"/>
  <c r="E71" i="57"/>
  <c r="M69" i="57"/>
  <c r="M32" i="57"/>
  <c r="N26" i="57"/>
  <c r="B18" i="57"/>
  <c r="N99" i="57"/>
  <c r="G26" i="57"/>
  <c r="F89" i="57"/>
  <c r="O15" i="57"/>
  <c r="E44" i="57"/>
  <c r="E80" i="57"/>
  <c r="S64" i="57"/>
  <c r="H96" i="57"/>
  <c r="I69" i="57"/>
  <c r="R98" i="57"/>
  <c r="L23" i="57"/>
  <c r="D12" i="57"/>
  <c r="D100" i="57"/>
  <c r="B60" i="57"/>
  <c r="P85" i="57"/>
  <c r="O116" i="57"/>
  <c r="F53" i="57"/>
  <c r="L60" i="57"/>
  <c r="D99" i="57"/>
  <c r="D60" i="57"/>
  <c r="U18" i="57"/>
  <c r="R115" i="57"/>
  <c r="D53" i="57"/>
  <c r="J65" i="57"/>
  <c r="C106" i="57"/>
  <c r="H60" i="57"/>
  <c r="N40" i="57"/>
  <c r="H37" i="57"/>
  <c r="R120" i="57"/>
  <c r="J14" i="57"/>
  <c r="G60" i="57"/>
  <c r="K88" i="57"/>
  <c r="U60" i="57"/>
  <c r="J48" i="57"/>
  <c r="Q16" i="57"/>
  <c r="R69" i="57"/>
  <c r="E41" i="57"/>
  <c r="E68" i="57"/>
  <c r="P104" i="57"/>
  <c r="C15" i="57"/>
  <c r="F41" i="57"/>
  <c r="R3" i="57"/>
  <c r="D10" i="57"/>
  <c r="S122" i="57"/>
  <c r="D70" i="57"/>
  <c r="P56" i="57"/>
  <c r="J78" i="57"/>
  <c r="O18" i="57"/>
  <c r="D101" i="57"/>
  <c r="L98" i="57"/>
  <c r="N5" i="57"/>
  <c r="B81" i="57"/>
  <c r="T95" i="57"/>
  <c r="U55" i="57"/>
  <c r="S52" i="57"/>
  <c r="J84" i="57"/>
  <c r="J53" i="57"/>
  <c r="C113" i="57"/>
  <c r="R37" i="57"/>
  <c r="D21" i="57"/>
  <c r="L100" i="57"/>
  <c r="P31" i="57"/>
  <c r="K73" i="57"/>
  <c r="I122" i="57"/>
  <c r="J15" i="57"/>
  <c r="E10" i="57"/>
  <c r="B14" i="57"/>
  <c r="E11" i="57"/>
  <c r="F99" i="57"/>
  <c r="G39" i="57"/>
  <c r="H71" i="57"/>
  <c r="P44" i="57"/>
  <c r="S70" i="57"/>
  <c r="I34" i="57"/>
  <c r="N110" i="57"/>
  <c r="N34" i="57"/>
  <c r="T111" i="57"/>
  <c r="U7" i="57"/>
  <c r="E110" i="57"/>
  <c r="P98" i="57"/>
  <c r="H42" i="57"/>
  <c r="O16" i="57"/>
  <c r="E98" i="57"/>
  <c r="I33" i="57"/>
  <c r="T55" i="57"/>
  <c r="K14" i="57"/>
  <c r="H41" i="57"/>
  <c r="S11" i="57"/>
  <c r="D110" i="57"/>
  <c r="I102" i="57"/>
  <c r="K28" i="57"/>
  <c r="E119" i="57"/>
  <c r="N24" i="57"/>
  <c r="M51" i="57"/>
  <c r="Q2" i="57"/>
  <c r="R19" i="57"/>
  <c r="U116" i="57"/>
  <c r="P58" i="57"/>
  <c r="N74" i="57"/>
  <c r="I6" i="57"/>
  <c r="N49" i="57"/>
  <c r="U69" i="57"/>
  <c r="D72" i="57"/>
  <c r="M61" i="57"/>
  <c r="I97" i="57"/>
  <c r="C90" i="57"/>
  <c r="B109" i="57"/>
  <c r="D75" i="57"/>
  <c r="B29" i="57"/>
  <c r="E72" i="57"/>
  <c r="H48" i="57"/>
  <c r="D19" i="57"/>
  <c r="B34" i="57"/>
  <c r="I95" i="57"/>
  <c r="N55" i="57"/>
  <c r="B6" i="57"/>
  <c r="K101" i="57"/>
  <c r="L97" i="57"/>
  <c r="F98" i="57"/>
  <c r="C20" i="57"/>
  <c r="Q6" i="57"/>
  <c r="Q61" i="57"/>
  <c r="I79" i="57"/>
  <c r="G75" i="57"/>
  <c r="J97" i="57"/>
  <c r="O32" i="57"/>
  <c r="S37" i="57"/>
  <c r="U100" i="57"/>
  <c r="O99" i="57"/>
  <c r="K79" i="57"/>
  <c r="F28" i="57"/>
  <c r="I101" i="57"/>
  <c r="F65" i="57"/>
  <c r="G118" i="57"/>
  <c r="S57" i="57"/>
  <c r="U19" i="57"/>
  <c r="G80" i="57"/>
  <c r="R118" i="57"/>
  <c r="P73" i="57"/>
  <c r="M2" i="57"/>
  <c r="M98" i="57"/>
  <c r="P89" i="57"/>
  <c r="E87" i="57"/>
  <c r="S117" i="57"/>
  <c r="R112" i="57"/>
  <c r="M27" i="57"/>
  <c r="O6" i="57"/>
  <c r="S109" i="57"/>
  <c r="B16" i="57"/>
  <c r="C8" i="57"/>
  <c r="H111" i="57"/>
  <c r="P4" i="57"/>
  <c r="H79" i="57"/>
  <c r="P84" i="57"/>
  <c r="P48" i="57"/>
  <c r="F12" i="57"/>
  <c r="D68" i="57"/>
  <c r="F51" i="57"/>
  <c r="G78" i="57"/>
  <c r="P46" i="57"/>
  <c r="I105" i="57"/>
  <c r="P18" i="57"/>
  <c r="S21" i="57"/>
  <c r="K44" i="57"/>
  <c r="D50" i="57"/>
  <c r="K111" i="57"/>
  <c r="J62" i="57"/>
  <c r="M50" i="57"/>
  <c r="I86" i="57"/>
  <c r="R56" i="57"/>
  <c r="N67" i="57"/>
  <c r="T79" i="57"/>
  <c r="R113" i="57"/>
  <c r="C68" i="57"/>
  <c r="G30" i="57"/>
  <c r="T58" i="57"/>
  <c r="R84" i="57"/>
  <c r="D55" i="57"/>
  <c r="L85" i="57"/>
  <c r="B91" i="57"/>
  <c r="E100" i="57"/>
  <c r="P37" i="57"/>
  <c r="K104" i="57"/>
  <c r="Q58" i="57"/>
  <c r="J12" i="57"/>
  <c r="J37" i="57"/>
  <c r="D71" i="57"/>
  <c r="E94" i="57"/>
  <c r="T11" i="57"/>
  <c r="P79" i="57"/>
  <c r="N41" i="57"/>
  <c r="K91" i="57"/>
  <c r="G98" i="57"/>
  <c r="L104" i="57"/>
  <c r="N87" i="57"/>
  <c r="S79" i="57"/>
  <c r="C32" i="57"/>
  <c r="K50" i="57"/>
  <c r="D24" i="57"/>
  <c r="H108" i="57"/>
  <c r="M95" i="57"/>
  <c r="E79" i="57"/>
  <c r="G91" i="57"/>
  <c r="G110" i="57"/>
  <c r="P86" i="57"/>
  <c r="F109" i="57"/>
  <c r="B108" i="57"/>
  <c r="R2" i="57"/>
  <c r="U91" i="57"/>
  <c r="N8" i="57"/>
  <c r="I68" i="57"/>
  <c r="P107" i="57"/>
  <c r="H40" i="57"/>
  <c r="U42" i="57"/>
  <c r="F48" i="57"/>
  <c r="B42" i="57"/>
  <c r="L109" i="57"/>
  <c r="B116" i="57"/>
  <c r="R42" i="57"/>
  <c r="D94" i="57"/>
  <c r="G17" i="57"/>
  <c r="S17" i="57"/>
  <c r="B73" i="57"/>
  <c r="J113" i="57"/>
  <c r="F50" i="57"/>
  <c r="M4" i="57"/>
  <c r="G63" i="57"/>
  <c r="R75" i="57"/>
  <c r="P49" i="57"/>
  <c r="S75" i="57"/>
  <c r="Q87" i="57"/>
  <c r="Q110" i="57"/>
  <c r="C46" i="57"/>
  <c r="N84" i="57"/>
  <c r="F8" i="57"/>
  <c r="P63" i="57"/>
  <c r="B78" i="57"/>
  <c r="M5" i="57"/>
  <c r="D97" i="57"/>
  <c r="P41" i="57"/>
  <c r="H76" i="57"/>
  <c r="B52" i="57"/>
  <c r="E7" i="57"/>
  <c r="K84" i="57"/>
  <c r="M86" i="57"/>
  <c r="J108" i="57"/>
  <c r="E37" i="57"/>
  <c r="T8" i="57"/>
  <c r="F69" i="57"/>
  <c r="Q90" i="57"/>
  <c r="T89" i="57"/>
  <c r="F30" i="57"/>
  <c r="M77" i="57"/>
  <c r="C12" i="57"/>
  <c r="K41" i="57"/>
  <c r="U40" i="57"/>
  <c r="O102" i="57"/>
  <c r="K89" i="57"/>
  <c r="Q92" i="57"/>
  <c r="R102" i="57"/>
  <c r="D6" i="57"/>
  <c r="O31" i="57"/>
  <c r="O71" i="57"/>
  <c r="T42" i="57"/>
  <c r="P69" i="57"/>
  <c r="I21" i="57"/>
  <c r="B15" i="57"/>
  <c r="H51" i="57"/>
  <c r="I36" i="57"/>
  <c r="U20" i="57"/>
  <c r="R65" i="57"/>
  <c r="N77" i="57"/>
  <c r="T65" i="57"/>
  <c r="C86" i="57"/>
  <c r="P93" i="57"/>
  <c r="S16" i="57"/>
  <c r="I18" i="57"/>
  <c r="B75" i="57"/>
  <c r="U88" i="57"/>
  <c r="L101" i="57"/>
  <c r="I78" i="57"/>
  <c r="E69" i="57"/>
  <c r="Q20" i="57"/>
  <c r="B40" i="57"/>
  <c r="H102" i="57"/>
  <c r="N89" i="57"/>
  <c r="D29" i="57"/>
  <c r="B86" i="57"/>
  <c r="O114" i="57"/>
  <c r="R107" i="57"/>
  <c r="S74" i="57"/>
  <c r="U105" i="57"/>
  <c r="M79" i="57"/>
  <c r="C66" i="57"/>
  <c r="G99" i="57"/>
  <c r="F58" i="57"/>
  <c r="F22" i="57"/>
  <c r="H29" i="57"/>
  <c r="P78" i="57"/>
  <c r="E93" i="57"/>
  <c r="D106" i="57"/>
  <c r="P15" i="57"/>
  <c r="L57" i="57"/>
  <c r="N108" i="57"/>
  <c r="P59" i="57"/>
  <c r="P111" i="57"/>
  <c r="H117" i="57"/>
  <c r="J87" i="57"/>
  <c r="I54" i="57"/>
  <c r="M13" i="57"/>
  <c r="T26" i="57"/>
  <c r="I27" i="57"/>
  <c r="O105" i="57"/>
  <c r="S107" i="57"/>
  <c r="S14" i="57"/>
  <c r="F107" i="57"/>
  <c r="I72" i="57"/>
  <c r="D22" i="57"/>
  <c r="M114" i="57"/>
  <c r="Q36" i="57"/>
  <c r="U64" i="57"/>
  <c r="N54" i="57"/>
  <c r="C27" i="57"/>
  <c r="F15" i="57"/>
  <c r="O57" i="57"/>
  <c r="P120" i="57"/>
  <c r="P40" i="57"/>
  <c r="Q28" i="57"/>
  <c r="I121" i="57"/>
  <c r="T36" i="57"/>
  <c r="S23" i="57"/>
  <c r="G84" i="57"/>
  <c r="Q21" i="57"/>
  <c r="S33" i="57"/>
  <c r="F18" i="57"/>
  <c r="L114" i="57"/>
  <c r="B110" i="57"/>
  <c r="J71" i="57"/>
  <c r="E96" i="57"/>
  <c r="J115" i="57"/>
  <c r="K15" i="57"/>
  <c r="S55" i="57"/>
  <c r="J90" i="57"/>
  <c r="K70" i="57"/>
  <c r="J121" i="57"/>
  <c r="K33" i="57"/>
  <c r="P99" i="57"/>
  <c r="U41" i="57"/>
  <c r="F67" i="57"/>
  <c r="K113" i="57"/>
  <c r="L58" i="57"/>
  <c r="L51" i="57"/>
  <c r="H54" i="57"/>
  <c r="H13" i="57"/>
  <c r="I73" i="57"/>
  <c r="M10" i="57"/>
  <c r="L19" i="57"/>
  <c r="E64" i="57"/>
  <c r="C109" i="57"/>
  <c r="K59" i="57"/>
  <c r="I45" i="57"/>
  <c r="K47" i="57"/>
  <c r="F39" i="57"/>
  <c r="I62" i="57"/>
  <c r="L35" i="57"/>
  <c r="J117" i="57"/>
  <c r="U102" i="57"/>
  <c r="Q10" i="57"/>
  <c r="O14" i="57"/>
  <c r="M103" i="57"/>
  <c r="D40" i="57"/>
  <c r="O29" i="57"/>
  <c r="O93" i="57"/>
  <c r="U46" i="57"/>
  <c r="G106" i="57"/>
  <c r="C35" i="57"/>
  <c r="F29" i="57"/>
  <c r="G2" i="57"/>
  <c r="N75" i="57"/>
  <c r="T99" i="57"/>
  <c r="M18" i="57"/>
  <c r="Q81" i="57"/>
  <c r="R82" i="57"/>
  <c r="D39" i="57"/>
  <c r="R32" i="57"/>
  <c r="P55" i="57"/>
  <c r="K112" i="57"/>
  <c r="K53" i="57"/>
  <c r="H66" i="57"/>
  <c r="G50" i="57"/>
  <c r="J85" i="57"/>
  <c r="M75" i="57"/>
  <c r="B59" i="57"/>
  <c r="M63" i="57"/>
  <c r="H5" i="57"/>
  <c r="B83" i="57"/>
  <c r="K21" i="57"/>
  <c r="R15" i="57"/>
  <c r="I77" i="57"/>
  <c r="O40" i="57"/>
  <c r="I41" i="57"/>
  <c r="B44" i="57"/>
  <c r="E17" i="57"/>
  <c r="O53" i="57"/>
  <c r="T87" i="57"/>
  <c r="S120" i="57"/>
  <c r="C19" i="57"/>
  <c r="L88" i="57"/>
  <c r="F113" i="57"/>
  <c r="O111" i="57"/>
  <c r="K52" i="57"/>
  <c r="N58" i="57"/>
  <c r="O61" i="57"/>
  <c r="J58" i="57"/>
  <c r="E109" i="57"/>
  <c r="P95" i="57"/>
  <c r="P20" i="57"/>
  <c r="U38" i="57"/>
  <c r="D3" i="57"/>
  <c r="G8" i="57"/>
  <c r="M31" i="57"/>
  <c r="Q11" i="57"/>
  <c r="U57" i="57"/>
  <c r="J81" i="57"/>
  <c r="R76" i="57"/>
  <c r="J67" i="57"/>
  <c r="P116" i="57"/>
  <c r="J57" i="57"/>
  <c r="M40" i="57"/>
  <c r="K86" i="57"/>
  <c r="I100" i="57"/>
  <c r="O98" i="57"/>
  <c r="J94" i="57"/>
  <c r="E86" i="57"/>
  <c r="D20" i="57"/>
  <c r="S35" i="57"/>
  <c r="M57" i="57"/>
  <c r="T108" i="57"/>
  <c r="R30" i="57"/>
  <c r="T115" i="57"/>
  <c r="K77" i="57"/>
  <c r="T35" i="57"/>
  <c r="H110" i="57"/>
  <c r="M119" i="57"/>
  <c r="R93" i="57"/>
  <c r="P45" i="57"/>
  <c r="U80" i="57"/>
  <c r="N103" i="57"/>
  <c r="L41" i="57"/>
  <c r="F6" i="57"/>
  <c r="M41" i="57"/>
  <c r="N14" i="57"/>
  <c r="F118" i="57"/>
  <c r="O38" i="57"/>
  <c r="T117" i="57"/>
  <c r="I16" i="57"/>
  <c r="G88" i="57"/>
  <c r="L69" i="57"/>
  <c r="O80" i="57"/>
  <c r="U9" i="57"/>
  <c r="E104" i="57"/>
  <c r="M17" i="57"/>
  <c r="L61" i="57"/>
  <c r="B93" i="57"/>
  <c r="L94" i="57"/>
  <c r="P122" i="57"/>
  <c r="M97" i="57"/>
  <c r="G86" i="57"/>
  <c r="Q80" i="57"/>
  <c r="S8" i="57"/>
  <c r="P8" i="57"/>
  <c r="M80" i="57"/>
  <c r="G13" i="57"/>
  <c r="D89" i="57"/>
  <c r="N20" i="57"/>
  <c r="G18" i="57"/>
  <c r="K40" i="57"/>
  <c r="J73" i="57"/>
  <c r="S56" i="57"/>
  <c r="B30" i="57"/>
  <c r="K97" i="57"/>
  <c r="J119" i="57"/>
  <c r="L91" i="57"/>
  <c r="P30" i="57"/>
  <c r="G71" i="57"/>
  <c r="E24" i="57"/>
  <c r="H35" i="57"/>
  <c r="N118" i="57"/>
  <c r="H69" i="57"/>
  <c r="F7" i="57"/>
  <c r="J100" i="57"/>
  <c r="N42" i="57"/>
  <c r="K80" i="57"/>
  <c r="H46" i="57"/>
  <c r="C62" i="57"/>
  <c r="L44" i="57"/>
  <c r="L83" i="57"/>
  <c r="P28" i="57"/>
  <c r="B66" i="57"/>
  <c r="R33" i="57"/>
  <c r="T22" i="57"/>
  <c r="K90" i="57"/>
  <c r="Q105" i="57"/>
  <c r="H61" i="57"/>
  <c r="O33" i="57"/>
  <c r="T19" i="57"/>
  <c r="H84" i="57"/>
  <c r="K102" i="57"/>
  <c r="K57" i="57"/>
  <c r="B92" i="57"/>
  <c r="S5" i="57"/>
  <c r="I13" i="57"/>
  <c r="L56" i="57"/>
  <c r="E4" i="57"/>
  <c r="U96" i="57"/>
  <c r="N86" i="57"/>
  <c r="S81" i="57"/>
  <c r="K119" i="57"/>
  <c r="E36" i="57"/>
  <c r="U110" i="57"/>
  <c r="C51" i="57"/>
  <c r="N94" i="57"/>
  <c r="D54" i="57"/>
  <c r="F78" i="57"/>
  <c r="R58" i="57"/>
  <c r="F74" i="57"/>
  <c r="P117" i="57"/>
  <c r="L78" i="57"/>
  <c r="D61" i="57"/>
  <c r="T101" i="57"/>
  <c r="M81" i="57"/>
  <c r="B77" i="57"/>
  <c r="L45" i="57"/>
  <c r="K108" i="57"/>
  <c r="N97" i="57"/>
  <c r="D76" i="57"/>
  <c r="T16" i="57"/>
  <c r="J75" i="57"/>
  <c r="M118" i="57"/>
  <c r="P60" i="57"/>
  <c r="F21" i="57"/>
  <c r="J10" i="57"/>
  <c r="F54" i="57"/>
  <c r="O68" i="57"/>
  <c r="T17" i="57"/>
  <c r="I50" i="57"/>
  <c r="R116" i="57"/>
  <c r="M116" i="57"/>
  <c r="M62" i="57"/>
  <c r="M111" i="57"/>
  <c r="C112" i="57"/>
  <c r="T3" i="57"/>
  <c r="D111" i="57"/>
  <c r="F122" i="57"/>
  <c r="Q77" i="57"/>
  <c r="R38" i="57"/>
  <c r="J5" i="57"/>
  <c r="N28" i="57"/>
  <c r="N80" i="57"/>
  <c r="L54" i="57"/>
  <c r="K92" i="57"/>
  <c r="K94" i="57"/>
  <c r="P47" i="57"/>
  <c r="I111" i="57"/>
  <c r="M112" i="57"/>
  <c r="M8" i="57"/>
  <c r="H114" i="57"/>
  <c r="P77" i="57"/>
  <c r="N32" i="57"/>
  <c r="Q14" i="57"/>
  <c r="Q117" i="57"/>
  <c r="J120" i="57"/>
  <c r="H21" i="57"/>
  <c r="P10" i="57"/>
  <c r="H31" i="57"/>
  <c r="N22" i="57"/>
  <c r="J118" i="57"/>
  <c r="K93" i="57"/>
  <c r="R78" i="57"/>
  <c r="T62" i="57"/>
  <c r="G94" i="57"/>
  <c r="N61" i="57"/>
  <c r="H28" i="57"/>
  <c r="F13" i="57"/>
  <c r="G32" i="57"/>
  <c r="L87" i="57"/>
  <c r="Q94" i="57"/>
  <c r="F63" i="57"/>
  <c r="N46" i="57"/>
  <c r="K30" i="57"/>
  <c r="B49" i="57"/>
  <c r="J105" i="57"/>
  <c r="T45" i="57"/>
  <c r="Q122" i="57"/>
  <c r="R29" i="57"/>
  <c r="C58" i="57"/>
  <c r="J56" i="57"/>
  <c r="J122" i="57"/>
  <c r="M24" i="57"/>
  <c r="G56" i="57"/>
  <c r="Q115" i="57"/>
  <c r="N109" i="57"/>
  <c r="E23" i="57"/>
  <c r="D43" i="57"/>
  <c r="F3" i="57"/>
  <c r="P110" i="57"/>
  <c r="L67" i="57"/>
  <c r="O112" i="57"/>
  <c r="P83" i="57"/>
  <c r="D88" i="57"/>
  <c r="U122" i="57"/>
  <c r="G90" i="57"/>
  <c r="E26" i="57"/>
  <c r="J4" i="57"/>
  <c r="O107" i="57"/>
  <c r="C24" i="57"/>
  <c r="B106" i="57"/>
  <c r="D46" i="57"/>
  <c r="N117" i="57"/>
  <c r="K62" i="57"/>
  <c r="C63" i="57"/>
  <c r="R60" i="57"/>
  <c r="D34" i="57"/>
  <c r="B99" i="57"/>
  <c r="U84" i="57"/>
  <c r="F91" i="57"/>
  <c r="M39" i="57"/>
  <c r="U16" i="57"/>
  <c r="P57" i="57"/>
  <c r="U43" i="57"/>
  <c r="T46" i="57"/>
  <c r="J6" i="57"/>
  <c r="O122" i="57"/>
  <c r="R25" i="57"/>
  <c r="C65" i="57"/>
  <c r="S20" i="57"/>
  <c r="F10" i="57"/>
  <c r="T10" i="57"/>
  <c r="M28" i="57"/>
  <c r="D38" i="57"/>
  <c r="B117" i="57"/>
  <c r="P16" i="57"/>
  <c r="B74" i="57"/>
  <c r="M68" i="57"/>
  <c r="R7" i="57"/>
  <c r="S54" i="57"/>
  <c r="O115" i="57"/>
  <c r="C94" i="57"/>
  <c r="G35" i="57"/>
  <c r="L37" i="57"/>
  <c r="B102" i="57"/>
  <c r="O30" i="57"/>
  <c r="O96" i="57"/>
  <c r="L68" i="57"/>
  <c r="P68" i="57"/>
  <c r="E75" i="57"/>
  <c r="C117" i="57"/>
  <c r="D69" i="57"/>
  <c r="S106" i="57"/>
  <c r="O89" i="57"/>
  <c r="O20" i="57"/>
  <c r="H17" i="57"/>
  <c r="M90" i="57"/>
  <c r="J39" i="57"/>
  <c r="H98" i="57"/>
  <c r="L42" i="57"/>
  <c r="E118" i="57"/>
  <c r="Q49" i="57"/>
  <c r="N30" i="57"/>
  <c r="Q62" i="57"/>
  <c r="P71" i="57"/>
  <c r="E46" i="57"/>
  <c r="T88" i="57"/>
  <c r="L16" i="57"/>
  <c r="D96" i="57"/>
  <c r="Q4" i="57"/>
  <c r="R16" i="57"/>
  <c r="L48" i="57"/>
  <c r="G65" i="57"/>
  <c r="O120" i="57"/>
  <c r="P70" i="57"/>
  <c r="B82" i="57"/>
  <c r="B7" i="57"/>
  <c r="H6" i="57"/>
  <c r="L89" i="57"/>
  <c r="P9" i="57"/>
  <c r="N95" i="57"/>
  <c r="G24" i="57"/>
  <c r="D114" i="57"/>
  <c r="H82" i="57"/>
  <c r="N64" i="57"/>
  <c r="G104" i="57"/>
  <c r="P101" i="57"/>
  <c r="L29" i="57"/>
  <c r="O47" i="57"/>
  <c r="H11" i="57"/>
  <c r="N91" i="57"/>
  <c r="M36" i="57"/>
  <c r="G114" i="57"/>
  <c r="C91" i="57"/>
  <c r="C115" i="57"/>
  <c r="M92" i="57"/>
  <c r="O72" i="57"/>
  <c r="N107" i="57"/>
  <c r="G66" i="57"/>
  <c r="O82" i="57"/>
  <c r="Q82" i="57"/>
  <c r="G10" i="57"/>
  <c r="R99" i="57"/>
  <c r="C37" i="57"/>
  <c r="M94" i="57"/>
  <c r="R48" i="57"/>
  <c r="U25" i="57"/>
  <c r="E13" i="57"/>
  <c r="H56" i="57"/>
  <c r="C88" i="57"/>
  <c r="L17" i="57"/>
  <c r="I107" i="57"/>
  <c r="I98" i="57"/>
  <c r="Q29" i="57"/>
  <c r="G93" i="57"/>
  <c r="J82" i="57"/>
  <c r="M48" i="57"/>
  <c r="O85" i="57"/>
  <c r="C57" i="57"/>
  <c r="E12" i="57"/>
  <c r="B69" i="57"/>
  <c r="Q84" i="57"/>
  <c r="R27" i="57"/>
  <c r="S38" i="57"/>
  <c r="C3" i="57"/>
  <c r="M49" i="57"/>
  <c r="E73" i="57"/>
  <c r="N9" i="57"/>
  <c r="B55" i="57"/>
  <c r="K100" i="57"/>
  <c r="N17" i="57"/>
  <c r="D118" i="57"/>
  <c r="K23" i="57"/>
  <c r="O103" i="57"/>
  <c r="K105" i="57"/>
  <c r="D7" i="57"/>
  <c r="P75" i="57"/>
  <c r="O48" i="57"/>
  <c r="S77" i="57"/>
  <c r="H12" i="57"/>
  <c r="L36" i="57"/>
  <c r="Q119" i="57"/>
  <c r="I84" i="57"/>
  <c r="U81" i="57"/>
  <c r="M33" i="57"/>
  <c r="R92" i="57"/>
  <c r="E51" i="57"/>
  <c r="R20" i="57"/>
  <c r="U117" i="57"/>
  <c r="S47" i="57"/>
  <c r="O3" i="57"/>
  <c r="D117" i="57"/>
  <c r="I39" i="57"/>
  <c r="I119" i="57"/>
  <c r="F64" i="57"/>
  <c r="T60" i="57"/>
  <c r="R100" i="57"/>
  <c r="E61" i="57"/>
  <c r="T82" i="57"/>
  <c r="H90" i="57"/>
  <c r="I52" i="57"/>
  <c r="J20" i="57"/>
  <c r="J24" i="57"/>
  <c r="B113" i="57"/>
  <c r="J72" i="57"/>
  <c r="P113" i="57"/>
  <c r="J11" i="57"/>
  <c r="L3" i="57"/>
  <c r="G89" i="57"/>
  <c r="Q98" i="57"/>
  <c r="E66" i="57"/>
  <c r="K38" i="57"/>
  <c r="Q23" i="57"/>
  <c r="B71" i="57"/>
  <c r="K2" i="57"/>
  <c r="U85" i="57"/>
  <c r="H118" i="57"/>
  <c r="B97" i="57"/>
  <c r="P102" i="57"/>
  <c r="J107" i="57"/>
  <c r="N18" i="57"/>
  <c r="E38" i="57"/>
  <c r="C36" i="57"/>
  <c r="Q32" i="57"/>
  <c r="T50" i="57"/>
  <c r="N35" i="57"/>
  <c r="R110" i="57"/>
  <c r="M87" i="57"/>
  <c r="U59" i="57"/>
  <c r="R28" i="57"/>
  <c r="C16" i="57"/>
  <c r="N45" i="57"/>
  <c r="P36" i="57"/>
  <c r="M88" i="57"/>
  <c r="L75" i="57"/>
  <c r="U50" i="57"/>
  <c r="T78" i="57"/>
  <c r="O41" i="57"/>
  <c r="U108" i="57"/>
  <c r="R72" i="57"/>
  <c r="S118" i="57"/>
  <c r="B98" i="57"/>
  <c r="G43" i="57"/>
  <c r="O25" i="57"/>
  <c r="U63" i="57"/>
  <c r="F100" i="57"/>
  <c r="K37" i="57"/>
  <c r="S99" i="57"/>
  <c r="C119" i="57"/>
  <c r="N29" i="57"/>
  <c r="C50" i="57"/>
  <c r="D78" i="57"/>
  <c r="K98" i="57"/>
  <c r="Q70" i="57"/>
  <c r="F60" i="57"/>
  <c r="S7" i="57"/>
  <c r="O19" i="57"/>
  <c r="F52" i="57"/>
  <c r="M11" i="57"/>
  <c r="L26" i="57"/>
  <c r="T76" i="57"/>
  <c r="J31" i="57"/>
  <c r="U32" i="57"/>
  <c r="N79" i="57"/>
  <c r="O83" i="57"/>
  <c r="D79" i="57"/>
  <c r="I51" i="57"/>
  <c r="B19" i="57"/>
  <c r="T25" i="57"/>
  <c r="N25" i="57"/>
  <c r="H49" i="57"/>
  <c r="T113" i="57"/>
  <c r="B72" i="57"/>
  <c r="F4" i="57"/>
  <c r="R24" i="57"/>
  <c r="O88" i="57"/>
  <c r="B67" i="57"/>
  <c r="B33" i="57"/>
  <c r="H115" i="57"/>
  <c r="L99" i="57"/>
  <c r="K71" i="57"/>
  <c r="U24" i="57"/>
  <c r="Q31" i="57"/>
  <c r="L80" i="57"/>
  <c r="Q15" i="57"/>
  <c r="P76" i="57"/>
  <c r="P24" i="57"/>
  <c r="H74" i="57"/>
  <c r="C17" i="57"/>
  <c r="T75" i="57"/>
  <c r="U35" i="57"/>
  <c r="H77" i="57"/>
  <c r="T6" i="57"/>
  <c r="T64" i="57"/>
  <c r="D122" i="57"/>
  <c r="H47" i="57"/>
  <c r="N82" i="57"/>
  <c r="C30" i="57"/>
  <c r="G121" i="57"/>
  <c r="F26" i="57"/>
  <c r="K61" i="57"/>
  <c r="O28" i="57"/>
  <c r="T66" i="57"/>
  <c r="N114" i="57"/>
  <c r="C70" i="57"/>
  <c r="S4" i="57"/>
  <c r="U33" i="57"/>
  <c r="G95" i="57"/>
  <c r="R11" i="57"/>
  <c r="G77" i="57"/>
  <c r="S49" i="57"/>
  <c r="G101" i="57"/>
  <c r="L77" i="57"/>
  <c r="S60" i="57"/>
  <c r="Q116" i="57"/>
  <c r="T120" i="57"/>
  <c r="F19" i="57"/>
  <c r="Q99" i="57"/>
  <c r="M19" i="57"/>
  <c r="Q109" i="57"/>
  <c r="M46" i="57"/>
  <c r="C5" i="57"/>
  <c r="G19" i="57"/>
  <c r="Q102" i="57"/>
  <c r="O54" i="57"/>
  <c r="N85" i="57"/>
  <c r="K6" i="57"/>
  <c r="T92" i="57"/>
  <c r="R91" i="57"/>
  <c r="R31" i="57"/>
  <c r="O106" i="57"/>
  <c r="U109" i="57"/>
  <c r="B2" i="57"/>
  <c r="E113" i="57"/>
  <c r="P119" i="57"/>
  <c r="D35" i="57"/>
  <c r="T67" i="57"/>
  <c r="K22" i="57"/>
  <c r="L73" i="57"/>
  <c r="Q24" i="57"/>
  <c r="P6" i="57"/>
  <c r="N12" i="57"/>
  <c r="U73" i="57"/>
  <c r="E45" i="57"/>
  <c r="S72" i="57"/>
  <c r="R18" i="57"/>
  <c r="E21" i="57"/>
  <c r="G67" i="57"/>
  <c r="S59" i="57"/>
  <c r="I76" i="57"/>
  <c r="B80" i="57"/>
  <c r="O36" i="57"/>
  <c r="M105" i="57"/>
  <c r="F37" i="57"/>
  <c r="D115" i="57"/>
  <c r="U89" i="57"/>
  <c r="H9" i="57"/>
  <c r="F16" i="57"/>
  <c r="N111" i="57"/>
  <c r="D15" i="57"/>
  <c r="G20" i="57"/>
  <c r="O73" i="57"/>
  <c r="Q95" i="57"/>
  <c r="O5" i="57"/>
  <c r="J68" i="57"/>
  <c r="L102" i="57"/>
  <c r="D90" i="57"/>
  <c r="S87" i="57"/>
  <c r="G44" i="57"/>
  <c r="Q38" i="57"/>
  <c r="B61" i="57"/>
  <c r="C28" i="57"/>
  <c r="S10" i="57"/>
  <c r="E34" i="57"/>
  <c r="L15" i="57"/>
  <c r="N16" i="57"/>
  <c r="S66" i="57"/>
  <c r="L49" i="57"/>
  <c r="D87" i="57"/>
  <c r="G73" i="57"/>
  <c r="F104" i="57"/>
  <c r="L52" i="57"/>
  <c r="S90" i="57"/>
  <c r="T100" i="57"/>
  <c r="P7" i="57"/>
  <c r="H2" i="57"/>
  <c r="B84" i="57"/>
  <c r="Q40" i="57"/>
  <c r="G64" i="57"/>
  <c r="E121" i="57"/>
  <c r="P72" i="57"/>
  <c r="E76" i="57"/>
  <c r="K56" i="57"/>
  <c r="Q26" i="57"/>
  <c r="O46" i="57"/>
  <c r="I56" i="57"/>
  <c r="D5" i="57"/>
  <c r="Q41" i="57"/>
  <c r="H4" i="57"/>
  <c r="I96" i="57"/>
  <c r="G113" i="57"/>
  <c r="N90" i="57"/>
  <c r="T53" i="57"/>
  <c r="T24" i="57"/>
  <c r="U79" i="57"/>
  <c r="J112" i="57"/>
  <c r="S83" i="57"/>
  <c r="N23" i="57"/>
  <c r="O62" i="57"/>
  <c r="L86" i="57"/>
  <c r="E53" i="57"/>
  <c r="M66" i="57"/>
  <c r="L106" i="57"/>
  <c r="N113" i="57"/>
  <c r="K8" i="57"/>
  <c r="C52" i="57"/>
  <c r="E91" i="57"/>
  <c r="F77" i="57"/>
  <c r="N104" i="57"/>
  <c r="R66" i="57"/>
  <c r="Q107" i="57"/>
  <c r="D80" i="57"/>
  <c r="H20" i="57"/>
  <c r="S121" i="57"/>
  <c r="J106" i="57"/>
  <c r="D36" i="57"/>
  <c r="T93" i="57"/>
  <c r="M110" i="57"/>
  <c r="C6" i="57"/>
  <c r="M89" i="57"/>
  <c r="F38" i="57"/>
  <c r="I48" i="57"/>
  <c r="K58" i="57"/>
  <c r="B63" i="57"/>
  <c r="R53" i="57"/>
  <c r="S69" i="57"/>
  <c r="Q108" i="57"/>
  <c r="I70" i="57"/>
  <c r="U10" i="57"/>
  <c r="T122" i="57"/>
  <c r="C69" i="57"/>
  <c r="T90" i="57"/>
  <c r="M37" i="57"/>
  <c r="C13" i="57"/>
  <c r="C110" i="57"/>
  <c r="G38" i="57"/>
  <c r="K7" i="57"/>
  <c r="J18" i="57"/>
  <c r="B90" i="57"/>
  <c r="F62" i="57"/>
  <c r="F95" i="57"/>
  <c r="G40" i="57"/>
  <c r="C47" i="57"/>
  <c r="L32" i="57"/>
  <c r="U27" i="57"/>
  <c r="F43" i="57"/>
  <c r="H36" i="57"/>
  <c r="E28" i="57"/>
  <c r="S110" i="57"/>
  <c r="N52" i="57"/>
  <c r="B41" i="57"/>
  <c r="M7" i="57"/>
  <c r="T96" i="57"/>
  <c r="C29" i="57"/>
  <c r="H62" i="57"/>
  <c r="R95" i="57"/>
  <c r="M21" i="57"/>
  <c r="I30" i="57"/>
  <c r="K36" i="57"/>
  <c r="I87" i="57"/>
  <c r="T72" i="57"/>
  <c r="E107" i="57"/>
  <c r="I4" i="57"/>
  <c r="C89" i="57"/>
  <c r="T44" i="57"/>
  <c r="T14" i="57"/>
  <c r="C45" i="57"/>
  <c r="N83" i="57"/>
  <c r="O37" i="57"/>
  <c r="P23" i="57"/>
  <c r="M38" i="57"/>
  <c r="E122" i="57"/>
  <c r="L62" i="57"/>
  <c r="N81" i="57"/>
  <c r="R21" i="57"/>
  <c r="U111" i="57"/>
  <c r="K66" i="57"/>
  <c r="E58" i="57"/>
  <c r="Q57" i="57"/>
  <c r="M56" i="57"/>
  <c r="K51" i="57"/>
  <c r="S84" i="57"/>
  <c r="L119" i="57"/>
  <c r="D57" i="57"/>
  <c r="L112" i="57"/>
  <c r="L105" i="57"/>
  <c r="P5" i="57"/>
  <c r="O45" i="57"/>
  <c r="Q120" i="57"/>
  <c r="F44" i="57"/>
  <c r="P3" i="57"/>
  <c r="R10" i="57"/>
  <c r="T102" i="57"/>
  <c r="J32" i="57"/>
  <c r="U39" i="57"/>
  <c r="P66" i="57"/>
  <c r="D77" i="57"/>
  <c r="D17" i="57"/>
  <c r="P19" i="57"/>
  <c r="M47" i="57"/>
  <c r="C98" i="57"/>
  <c r="E50" i="57"/>
  <c r="H24" i="57"/>
  <c r="D116" i="57"/>
  <c r="H58" i="57"/>
  <c r="T86" i="57"/>
  <c r="U34" i="57"/>
  <c r="B62" i="57"/>
  <c r="E47" i="57"/>
  <c r="B114" i="57"/>
  <c r="U104" i="57"/>
  <c r="I57" i="57"/>
  <c r="N78" i="57"/>
  <c r="P32" i="57"/>
  <c r="S111" i="57"/>
  <c r="P27" i="57"/>
  <c r="U47" i="57"/>
  <c r="S92" i="57"/>
  <c r="U21" i="57"/>
  <c r="J70" i="57"/>
  <c r="J35" i="57"/>
  <c r="F106" i="57"/>
  <c r="C34" i="57"/>
  <c r="H106" i="57"/>
  <c r="S22" i="57"/>
  <c r="D120" i="57"/>
  <c r="S113" i="57"/>
  <c r="I74" i="57"/>
  <c r="M113" i="57"/>
  <c r="G62" i="57"/>
  <c r="H73" i="57"/>
  <c r="U93" i="57"/>
  <c r="I20" i="57"/>
  <c r="F47" i="57"/>
  <c r="B11" i="57"/>
  <c r="H100" i="57"/>
  <c r="D37" i="57"/>
  <c r="U17" i="57"/>
  <c r="L27" i="57"/>
  <c r="E19" i="57"/>
  <c r="C23" i="57"/>
  <c r="P35" i="57"/>
  <c r="K4" i="57"/>
  <c r="I17" i="57"/>
  <c r="D33" i="57"/>
  <c r="C38" i="57"/>
  <c r="S82" i="57"/>
  <c r="F14" i="57"/>
  <c r="E65" i="57"/>
  <c r="P34" i="57"/>
  <c r="I118" i="57"/>
  <c r="S3" i="57"/>
  <c r="S97" i="57"/>
  <c r="R89" i="57"/>
  <c r="C121" i="57"/>
  <c r="C55" i="57"/>
  <c r="J74" i="57"/>
  <c r="E54" i="57"/>
  <c r="R44" i="57"/>
  <c r="D42" i="57"/>
  <c r="T5" i="57"/>
  <c r="M30" i="57"/>
  <c r="M42" i="57"/>
  <c r="Q66" i="57"/>
  <c r="B100" i="57"/>
  <c r="P112" i="57"/>
  <c r="B48" i="57"/>
  <c r="S25" i="57"/>
  <c r="K11" i="57"/>
  <c r="B101" i="57"/>
  <c r="H22" i="57"/>
  <c r="D102" i="57"/>
  <c r="E81" i="57"/>
  <c r="R14" i="57"/>
  <c r="H3" i="57"/>
  <c r="G27" i="57"/>
  <c r="F9" i="57"/>
  <c r="T28" i="57"/>
  <c r="Q25" i="57"/>
  <c r="O69" i="57"/>
  <c r="C39" i="57"/>
  <c r="N43" i="57"/>
  <c r="C81" i="57"/>
  <c r="L82" i="57"/>
  <c r="B115" i="57"/>
  <c r="C59" i="57"/>
  <c r="R94" i="57"/>
  <c r="S42" i="57"/>
  <c r="B76" i="57"/>
  <c r="I90" i="57"/>
  <c r="H93" i="57"/>
  <c r="R50" i="57"/>
  <c r="Q79" i="57"/>
  <c r="T15" i="57"/>
  <c r="L76" i="57"/>
  <c r="M54" i="57"/>
  <c r="H107" i="57"/>
  <c r="U15" i="57"/>
  <c r="H105" i="57"/>
  <c r="M108" i="57"/>
  <c r="C79" i="57"/>
  <c r="P103" i="57"/>
  <c r="S13" i="57"/>
  <c r="R4" i="57"/>
  <c r="L40" i="57"/>
  <c r="C102" i="57"/>
  <c r="B36" i="57"/>
  <c r="K114" i="57"/>
  <c r="U8" i="57"/>
  <c r="S100" i="57"/>
  <c r="H52" i="57"/>
  <c r="I94" i="57"/>
  <c r="O91" i="57"/>
  <c r="I64" i="57"/>
  <c r="G51" i="57"/>
  <c r="K118" i="57"/>
  <c r="N10" i="57"/>
  <c r="R106" i="57"/>
  <c r="D108" i="57"/>
  <c r="R77" i="57"/>
  <c r="C10" i="57"/>
  <c r="K25" i="57"/>
  <c r="C74" i="57"/>
  <c r="G119" i="57"/>
  <c r="B57" i="57"/>
  <c r="M115" i="57"/>
  <c r="D4" i="57"/>
  <c r="D48" i="57"/>
  <c r="S101" i="57"/>
  <c r="G16" i="57"/>
  <c r="J47" i="57"/>
  <c r="L115" i="57"/>
  <c r="H99" i="57"/>
  <c r="U30" i="57"/>
  <c r="H103" i="57"/>
  <c r="O81" i="57"/>
  <c r="R121" i="57"/>
  <c r="D104" i="57"/>
  <c r="P82" i="57"/>
  <c r="E57" i="57"/>
  <c r="R9" i="57"/>
  <c r="C73" i="57"/>
  <c r="C72" i="57"/>
  <c r="P74" i="57"/>
  <c r="R62" i="57"/>
  <c r="E49" i="57"/>
  <c r="T56" i="57"/>
  <c r="U71" i="57"/>
  <c r="B10" i="57"/>
  <c r="P53" i="57"/>
  <c r="O8" i="57"/>
  <c r="O34" i="57"/>
  <c r="M26" i="57"/>
  <c r="N48" i="57"/>
  <c r="C18" i="57"/>
  <c r="J34" i="57"/>
  <c r="M70" i="57"/>
  <c r="J79" i="57"/>
  <c r="I9" i="57"/>
  <c r="S80" i="57"/>
  <c r="O65" i="57"/>
  <c r="C111" i="57"/>
  <c r="G57" i="57"/>
  <c r="J22" i="57"/>
  <c r="N2" i="57"/>
  <c r="I25" i="57"/>
  <c r="O70" i="57"/>
  <c r="D92" i="57"/>
  <c r="F2" i="57"/>
  <c r="Q100" i="57"/>
  <c r="I11" i="57"/>
  <c r="G9" i="57"/>
  <c r="F68" i="57"/>
  <c r="L7" i="57"/>
  <c r="I28" i="57"/>
  <c r="Q47" i="57"/>
  <c r="G111" i="57"/>
  <c r="D83" i="57"/>
  <c r="T73" i="57"/>
  <c r="R8" i="57"/>
  <c r="L111" i="57"/>
  <c r="R85" i="57"/>
  <c r="G116" i="57"/>
  <c r="E92" i="57"/>
  <c r="L72" i="57"/>
  <c r="N93" i="57"/>
  <c r="M55" i="57"/>
  <c r="B51" i="57"/>
  <c r="B46" i="57"/>
  <c r="E5" i="57"/>
  <c r="S31" i="57"/>
  <c r="T80" i="57"/>
  <c r="J7" i="57"/>
  <c r="F76" i="57"/>
  <c r="P61" i="57"/>
  <c r="B27" i="57"/>
  <c r="B85" i="57"/>
  <c r="O79" i="57"/>
  <c r="K75" i="57"/>
  <c r="T97" i="57"/>
  <c r="B13" i="57"/>
  <c r="Q71" i="57"/>
  <c r="M109" i="57"/>
  <c r="E42" i="57"/>
  <c r="H50" i="57"/>
  <c r="D86" i="57"/>
  <c r="S39" i="57"/>
  <c r="J41" i="57"/>
  <c r="S93" i="57"/>
  <c r="U68" i="57"/>
  <c r="F5" i="57"/>
  <c r="Q27" i="57"/>
  <c r="E55" i="57"/>
  <c r="C95" i="57"/>
  <c r="N19" i="57"/>
  <c r="O119" i="57"/>
  <c r="T106" i="57"/>
  <c r="N31" i="57"/>
  <c r="K122" i="57"/>
  <c r="K17" i="57"/>
  <c r="G69" i="57"/>
  <c r="G28" i="57"/>
  <c r="K83" i="57"/>
  <c r="I82" i="57"/>
  <c r="G108" i="57"/>
  <c r="F102" i="57"/>
  <c r="L13" i="57"/>
  <c r="U119" i="57"/>
  <c r="B87" i="57"/>
  <c r="E101" i="57"/>
  <c r="L110" i="57"/>
  <c r="T51" i="57"/>
  <c r="F75" i="57"/>
  <c r="F88" i="57"/>
  <c r="J83" i="57"/>
  <c r="T13" i="57"/>
  <c r="Q111" i="57"/>
  <c r="I65" i="57"/>
  <c r="O92" i="57"/>
  <c r="U77" i="57"/>
  <c r="H26" i="57"/>
  <c r="Q73" i="57"/>
  <c r="U12" i="57"/>
  <c r="B119" i="57"/>
  <c r="K69" i="57"/>
  <c r="N39" i="57"/>
  <c r="R117" i="57"/>
  <c r="D113" i="57"/>
  <c r="Q37" i="57"/>
  <c r="M14" i="57"/>
  <c r="U70" i="57"/>
  <c r="J102" i="57"/>
  <c r="F117" i="57"/>
  <c r="H16" i="57"/>
  <c r="I26" i="57"/>
  <c r="F115" i="57"/>
  <c r="F120" i="57"/>
  <c r="N44" i="57"/>
  <c r="O39" i="57"/>
  <c r="G4" i="57"/>
  <c r="C42" i="57"/>
  <c r="C107" i="57"/>
  <c r="K115" i="57"/>
  <c r="N68" i="57"/>
  <c r="D11" i="57"/>
  <c r="P26" i="57"/>
  <c r="U106" i="57"/>
  <c r="J99" i="57"/>
  <c r="E114" i="57"/>
  <c r="N112" i="57"/>
  <c r="P115" i="57"/>
  <c r="F90" i="57"/>
  <c r="O87" i="57"/>
  <c r="Q52" i="57"/>
  <c r="S44" i="57"/>
  <c r="I60" i="57"/>
  <c r="C41" i="57"/>
  <c r="R35" i="57"/>
  <c r="B120" i="57"/>
  <c r="B118" i="57"/>
  <c r="T119" i="57"/>
  <c r="O75" i="57"/>
  <c r="N76" i="57"/>
  <c r="S45" i="57"/>
  <c r="G55" i="57"/>
  <c r="O43" i="57"/>
  <c r="N56" i="57"/>
  <c r="U49" i="57"/>
  <c r="S76" i="57"/>
  <c r="R40" i="57"/>
  <c r="C43" i="57"/>
  <c r="D18" i="57"/>
  <c r="I91" i="57"/>
  <c r="N11" i="57"/>
  <c r="Q35" i="57"/>
  <c r="T30" i="57"/>
  <c r="H109" i="57"/>
  <c r="E82" i="57"/>
  <c r="O76" i="57"/>
  <c r="C100" i="57"/>
  <c r="I110" i="57"/>
  <c r="M16" i="57"/>
  <c r="C118" i="57"/>
  <c r="U90" i="57"/>
  <c r="T27" i="57"/>
  <c r="E83" i="57"/>
  <c r="I31" i="57"/>
  <c r="C84" i="57"/>
  <c r="R68" i="57"/>
  <c r="Q89" i="57"/>
  <c r="P80" i="57"/>
  <c r="P62" i="57"/>
  <c r="L79" i="57"/>
  <c r="G105" i="57"/>
  <c r="B8" i="57"/>
  <c r="H89" i="57"/>
  <c r="M101" i="57"/>
  <c r="E89" i="57"/>
  <c r="J3" i="57"/>
  <c r="Q19" i="57"/>
  <c r="F49" i="57"/>
  <c r="R101" i="57"/>
  <c r="E108" i="57"/>
  <c r="I67" i="57"/>
  <c r="D25" i="57"/>
  <c r="J19" i="57"/>
  <c r="C56" i="57"/>
  <c r="M23" i="57"/>
  <c r="J13" i="57"/>
  <c r="M100" i="57"/>
  <c r="K45" i="57"/>
  <c r="K24" i="57"/>
  <c r="B89" i="57"/>
  <c r="D8" i="57"/>
  <c r="D103" i="57"/>
  <c r="L81" i="57"/>
  <c r="I112" i="57"/>
  <c r="T68" i="57"/>
  <c r="F55" i="57"/>
  <c r="U103" i="57"/>
  <c r="K31" i="57"/>
  <c r="P13" i="57"/>
  <c r="S50" i="57"/>
  <c r="O21" i="57"/>
  <c r="O59" i="57"/>
  <c r="R74" i="57"/>
  <c r="B96" i="57"/>
  <c r="U99" i="57"/>
  <c r="I15" i="57"/>
  <c r="T110" i="57"/>
  <c r="K27" i="57"/>
  <c r="L117" i="57"/>
  <c r="R81" i="57"/>
  <c r="G74" i="57"/>
  <c r="D45" i="57"/>
  <c r="L47" i="57"/>
  <c r="G14" i="57"/>
  <c r="L28" i="57"/>
  <c r="D32" i="57"/>
  <c r="M67" i="57"/>
  <c r="I37" i="57"/>
  <c r="C7" i="57"/>
  <c r="K39" i="57"/>
  <c r="F111" i="57"/>
  <c r="E32" i="57"/>
  <c r="R59" i="57"/>
  <c r="O74" i="57"/>
  <c r="L63" i="57"/>
  <c r="M74" i="57"/>
  <c r="H75" i="57"/>
  <c r="S95" i="57"/>
  <c r="U53" i="57"/>
  <c r="F110" i="57"/>
  <c r="D14" i="57"/>
  <c r="R22" i="57"/>
  <c r="L39" i="57"/>
  <c r="B20" i="57"/>
  <c r="U37" i="57"/>
  <c r="I106" i="57"/>
  <c r="Q51" i="57"/>
  <c r="K109" i="57"/>
  <c r="O51" i="57"/>
  <c r="G11" i="57"/>
  <c r="H27" i="57"/>
  <c r="N33" i="57"/>
  <c r="S98" i="57"/>
  <c r="O109" i="57"/>
  <c r="P42" i="57"/>
  <c r="U61" i="57"/>
  <c r="H81" i="57"/>
  <c r="O117" i="57"/>
  <c r="I3" i="57"/>
  <c r="E9" i="57"/>
  <c r="M106" i="57"/>
  <c r="I108" i="57"/>
  <c r="I2" i="57"/>
  <c r="B38" i="57"/>
  <c r="H83" i="57"/>
  <c r="E15" i="57"/>
  <c r="Q78" i="57"/>
  <c r="M15" i="57"/>
  <c r="C60" i="57"/>
  <c r="N105" i="57"/>
  <c r="I59" i="57"/>
  <c r="U78" i="57"/>
  <c r="D112" i="57"/>
  <c r="L31" i="57"/>
  <c r="P22" i="57"/>
  <c r="L92" i="57"/>
  <c r="H44" i="57"/>
  <c r="E105" i="57"/>
  <c r="U36" i="57"/>
  <c r="R17" i="57"/>
  <c r="U3" i="57"/>
  <c r="S102" i="57"/>
  <c r="F24" i="57"/>
  <c r="I71" i="57"/>
  <c r="N21" i="57"/>
  <c r="K95" i="57"/>
  <c r="G29" i="57"/>
  <c r="E95" i="57"/>
  <c r="I58" i="57"/>
  <c r="J23" i="57"/>
  <c r="J98" i="57"/>
  <c r="P97" i="57"/>
  <c r="E56" i="57"/>
  <c r="F33" i="57"/>
  <c r="K68" i="57"/>
  <c r="B70" i="57"/>
  <c r="F57" i="57"/>
  <c r="T109" i="57"/>
  <c r="J77" i="57"/>
  <c r="I104" i="57"/>
  <c r="N106" i="57"/>
  <c r="K12" i="57"/>
  <c r="I47" i="57"/>
  <c r="H45" i="57"/>
  <c r="L53" i="57"/>
  <c r="R105" i="57"/>
  <c r="G21" i="57"/>
  <c r="U94" i="57"/>
  <c r="S43" i="57"/>
  <c r="T40" i="57"/>
  <c r="F35" i="57"/>
  <c r="E14" i="57"/>
  <c r="B37" i="57"/>
  <c r="O56" i="57"/>
  <c r="I43" i="57"/>
  <c r="H88" i="57"/>
  <c r="Q22" i="57"/>
  <c r="G68" i="57"/>
  <c r="N37" i="57"/>
  <c r="S108" i="57"/>
  <c r="E88" i="57"/>
  <c r="R26" i="57"/>
  <c r="L8" i="57"/>
  <c r="I8" i="57"/>
  <c r="G81" i="57"/>
  <c r="I109" i="57"/>
  <c r="J54" i="57"/>
  <c r="N98" i="57"/>
  <c r="T31" i="57"/>
  <c r="T18" i="57"/>
  <c r="T91" i="57"/>
  <c r="G53" i="57"/>
  <c r="C78" i="57"/>
  <c r="B28" i="57"/>
  <c r="J36" i="57"/>
  <c r="S34" i="57"/>
  <c r="S94" i="57"/>
  <c r="O86" i="57"/>
  <c r="T29" i="57"/>
  <c r="R47" i="57"/>
  <c r="M34" i="57"/>
  <c r="U14" i="57"/>
  <c r="K54" i="57"/>
  <c r="K103" i="57"/>
  <c r="C9" i="57"/>
  <c r="H34" i="57"/>
  <c r="L74" i="57"/>
  <c r="D41" i="57"/>
  <c r="J16" i="57"/>
  <c r="H38" i="57"/>
  <c r="I114" i="57"/>
  <c r="Q75" i="57"/>
  <c r="B103" i="57"/>
  <c r="M83" i="57"/>
  <c r="C80" i="57"/>
  <c r="F31" i="57"/>
  <c r="J2" i="57"/>
  <c r="D52" i="57"/>
  <c r="K19" i="57"/>
  <c r="P50" i="57"/>
  <c r="F46" i="57"/>
  <c r="Q9" i="57"/>
  <c r="C40" i="57"/>
  <c r="S114" i="57"/>
  <c r="B3" i="57"/>
  <c r="C92" i="57"/>
  <c r="R63" i="57"/>
  <c r="C116" i="57"/>
  <c r="G41" i="57"/>
  <c r="Q103" i="57"/>
  <c r="R114" i="57"/>
  <c r="M120" i="57"/>
  <c r="H120" i="57"/>
  <c r="U82" i="57"/>
  <c r="T47" i="57"/>
  <c r="E103" i="57"/>
  <c r="L59" i="57"/>
  <c r="U65" i="57"/>
  <c r="K60" i="57"/>
  <c r="T52" i="57"/>
  <c r="S91" i="57"/>
  <c r="F119" i="57"/>
  <c r="R119" i="57"/>
  <c r="C114" i="57"/>
  <c r="M107" i="57"/>
  <c r="O95" i="57"/>
  <c r="K29" i="57"/>
  <c r="S119" i="57"/>
  <c r="C53" i="57"/>
  <c r="L93" i="57"/>
  <c r="U45" i="57"/>
  <c r="U86" i="57"/>
  <c r="R34" i="57"/>
  <c r="B105" i="57"/>
  <c r="S58" i="57"/>
  <c r="N7" i="57"/>
  <c r="M64" i="57"/>
  <c r="J9" i="57"/>
  <c r="D66" i="57"/>
  <c r="N57" i="57"/>
  <c r="M29" i="57"/>
  <c r="T41" i="57"/>
  <c r="Q59" i="57"/>
  <c r="E33" i="57"/>
  <c r="M43" i="57"/>
  <c r="F121" i="57"/>
  <c r="O97" i="57"/>
  <c r="O24" i="57"/>
  <c r="J59" i="57"/>
  <c r="L120" i="57"/>
  <c r="Q96" i="57"/>
  <c r="B94" i="57"/>
  <c r="M72" i="57"/>
  <c r="E67" i="57"/>
  <c r="L24" i="57"/>
  <c r="U56" i="57"/>
  <c r="D121" i="57"/>
  <c r="D65" i="57"/>
  <c r="E102" i="57"/>
  <c r="J95" i="57"/>
  <c r="F36" i="57"/>
  <c r="B50" i="57"/>
  <c r="P2" i="57"/>
  <c r="K78" i="57"/>
  <c r="K18" i="57"/>
  <c r="O100" i="57"/>
  <c r="J69" i="57"/>
  <c r="C26" i="57"/>
  <c r="J25" i="57"/>
  <c r="H80" i="57"/>
  <c r="L107" i="57"/>
  <c r="S12" i="57"/>
  <c r="Q121" i="57"/>
  <c r="U95" i="57"/>
  <c r="K46" i="57"/>
  <c r="O44" i="57"/>
  <c r="D107" i="57"/>
  <c r="N27" i="57"/>
  <c r="R39" i="57"/>
  <c r="Q91" i="57"/>
  <c r="G46" i="57"/>
  <c r="K81" i="57"/>
  <c r="J43" i="57"/>
  <c r="N96" i="57"/>
  <c r="Q63" i="57"/>
  <c r="Q104" i="57"/>
  <c r="F116" i="57"/>
  <c r="E117" i="57"/>
  <c r="S73" i="57"/>
  <c r="G31" i="57"/>
  <c r="K107" i="57"/>
  <c r="R45" i="57"/>
  <c r="F80" i="57"/>
  <c r="T77" i="57"/>
  <c r="B23" i="57"/>
  <c r="T74" i="57"/>
  <c r="U120" i="57"/>
  <c r="P121" i="57"/>
  <c r="I49" i="57"/>
  <c r="M85" i="57"/>
  <c r="I88" i="57"/>
  <c r="U74" i="57"/>
  <c r="C77" i="57"/>
  <c r="G36" i="57"/>
  <c r="J111" i="57"/>
  <c r="H19" i="57"/>
  <c r="O42" i="57"/>
  <c r="C61" i="57"/>
  <c r="S96" i="57"/>
  <c r="I81" i="57"/>
  <c r="E115" i="57"/>
  <c r="R86" i="57"/>
  <c r="K74" i="57"/>
  <c r="R36" i="57"/>
  <c r="I55" i="57"/>
  <c r="H94" i="57"/>
  <c r="S19" i="57"/>
  <c r="Q76" i="57"/>
  <c r="G109" i="57"/>
  <c r="C4" i="57"/>
  <c r="F71" i="57"/>
  <c r="T83" i="57"/>
  <c r="H86" i="57"/>
  <c r="R64" i="57"/>
  <c r="F92" i="57"/>
  <c r="G100" i="57"/>
  <c r="P118" i="57"/>
  <c r="F97" i="57"/>
  <c r="F101" i="57"/>
  <c r="H59" i="57"/>
  <c r="N13" i="57"/>
  <c r="L22" i="57"/>
  <c r="B24" i="57"/>
  <c r="H70" i="57"/>
  <c r="G83" i="57"/>
  <c r="S85" i="57"/>
  <c r="G54" i="57"/>
  <c r="M78" i="57"/>
  <c r="J103" i="57"/>
  <c r="U29" i="57"/>
  <c r="N101" i="57"/>
  <c r="K87" i="57"/>
  <c r="I85" i="57"/>
  <c r="U76" i="57"/>
  <c r="O121" i="57"/>
  <c r="B107" i="57"/>
  <c r="U51" i="57"/>
  <c r="G122" i="57"/>
  <c r="R55" i="57"/>
  <c r="I75" i="57"/>
  <c r="N15" i="57"/>
  <c r="H18" i="57"/>
  <c r="O50" i="57"/>
  <c r="G97" i="57"/>
  <c r="C105" i="57"/>
  <c r="J96" i="57"/>
  <c r="M104" i="57"/>
  <c r="C11" i="57"/>
  <c r="U26" i="57"/>
  <c r="I117" i="57"/>
  <c r="T38" i="57"/>
  <c r="J86" i="57"/>
  <c r="M3" i="57"/>
  <c r="O94" i="57"/>
  <c r="L20" i="57"/>
  <c r="U83" i="57"/>
  <c r="N65" i="57"/>
  <c r="I63" i="57"/>
  <c r="E78" i="57"/>
  <c r="G47" i="57"/>
  <c r="B25" i="57"/>
  <c r="R43" i="57"/>
  <c r="U23" i="57"/>
  <c r="H85" i="57"/>
  <c r="S28" i="57"/>
  <c r="J33" i="57"/>
  <c r="G37" i="57"/>
  <c r="H116" i="57"/>
  <c r="E8" i="57"/>
  <c r="H92" i="57"/>
  <c r="R109" i="57"/>
  <c r="Q112" i="57"/>
  <c r="N120" i="57"/>
  <c r="O84" i="57"/>
  <c r="B53" i="57"/>
  <c r="N47" i="57"/>
  <c r="T94" i="57"/>
  <c r="G76" i="57"/>
  <c r="M52" i="57"/>
  <c r="U87" i="57"/>
  <c r="G12" i="57"/>
  <c r="S9" i="57"/>
  <c r="O27" i="57"/>
  <c r="B31" i="57"/>
  <c r="E99" i="57"/>
  <c r="R52" i="57"/>
  <c r="S89" i="57"/>
  <c r="E27" i="57"/>
  <c r="R87" i="57"/>
  <c r="E25" i="57"/>
  <c r="I19" i="57"/>
  <c r="O12" i="57"/>
  <c r="R49" i="57"/>
  <c r="M93" i="57"/>
  <c r="M122" i="57"/>
  <c r="G115" i="57"/>
  <c r="R12" i="57"/>
  <c r="C75" i="57"/>
  <c r="R57" i="57"/>
  <c r="S32" i="57"/>
  <c r="G49" i="57"/>
  <c r="I14" i="57"/>
  <c r="K16" i="57"/>
  <c r="U48" i="57"/>
  <c r="F25" i="57"/>
  <c r="N6" i="57"/>
  <c r="I24" i="57"/>
  <c r="H14" i="57"/>
  <c r="D56" i="57"/>
  <c r="D59" i="57"/>
  <c r="R97" i="57"/>
  <c r="R80" i="57"/>
  <c r="L10" i="57"/>
  <c r="R96" i="57"/>
  <c r="Q65" i="57"/>
  <c r="P38" i="57"/>
  <c r="G72" i="57"/>
  <c r="Q93" i="57"/>
  <c r="M53" i="57"/>
  <c r="D51" i="57"/>
  <c r="L96" i="57"/>
  <c r="O101" i="57"/>
  <c r="G22" i="57"/>
  <c r="G87" i="57"/>
  <c r="S104" i="57"/>
  <c r="O108" i="57"/>
  <c r="T104" i="57"/>
  <c r="L66" i="57"/>
  <c r="I35" i="57"/>
  <c r="C87" i="57"/>
  <c r="G6" i="57"/>
  <c r="T21" i="57"/>
  <c r="F23" i="57"/>
  <c r="T116" i="57"/>
  <c r="S41" i="57"/>
  <c r="P33" i="57"/>
  <c r="H23" i="57"/>
  <c r="I32" i="57"/>
  <c r="I113" i="57"/>
  <c r="N69" i="57"/>
  <c r="T20" i="57"/>
  <c r="T59" i="57"/>
  <c r="G120" i="57"/>
  <c r="M96" i="57"/>
  <c r="C93" i="57"/>
  <c r="D119" i="57"/>
  <c r="J104" i="57"/>
  <c r="I99" i="57"/>
  <c r="F96" i="57"/>
  <c r="Q45" i="57"/>
  <c r="F94" i="57"/>
  <c r="T84" i="57"/>
  <c r="P43" i="57"/>
  <c r="N3" i="57"/>
  <c r="T9" i="57"/>
  <c r="S71" i="57"/>
  <c r="H121" i="57"/>
  <c r="N72" i="57"/>
  <c r="L43" i="57"/>
  <c r="K117" i="57"/>
  <c r="F70" i="57"/>
  <c r="D85" i="57"/>
  <c r="S65" i="57"/>
  <c r="C22" i="57"/>
  <c r="K72" i="57"/>
  <c r="Q69" i="57"/>
  <c r="L5" i="57"/>
  <c r="G112" i="57"/>
  <c r="D67" i="57"/>
  <c r="K116" i="57"/>
  <c r="L122" i="57"/>
  <c r="P100" i="57"/>
  <c r="C21" i="57"/>
  <c r="R73" i="57"/>
  <c r="G58" i="57"/>
  <c r="Q18" i="57"/>
  <c r="K10" i="57"/>
  <c r="E84" i="57"/>
  <c r="C33" i="57"/>
  <c r="B45" i="57"/>
  <c r="L90" i="57"/>
  <c r="D81" i="57"/>
  <c r="N73" i="57"/>
  <c r="D62" i="57"/>
  <c r="Q85" i="57"/>
  <c r="O90" i="57"/>
  <c r="N102" i="57"/>
  <c r="U52" i="57"/>
  <c r="D105" i="57"/>
  <c r="O13" i="57"/>
  <c r="D109" i="57"/>
  <c r="T49" i="57"/>
  <c r="K120" i="57"/>
  <c r="G23" i="57"/>
  <c r="F56" i="57"/>
  <c r="H78" i="57"/>
  <c r="S18" i="57"/>
  <c r="S36" i="57"/>
  <c r="E90" i="57"/>
  <c r="J27" i="57"/>
  <c r="R70" i="57"/>
  <c r="D95" i="57"/>
  <c r="L6" i="57"/>
  <c r="J52" i="57"/>
  <c r="T4" i="57"/>
  <c r="S24" i="57"/>
  <c r="M117" i="57"/>
  <c r="C67" i="57"/>
  <c r="O64" i="57"/>
  <c r="L30" i="57"/>
  <c r="P96" i="57"/>
  <c r="L2" i="57"/>
  <c r="D91" i="57"/>
  <c r="D74" i="57"/>
  <c r="E70" i="57"/>
  <c r="J76" i="57"/>
  <c r="E20" i="57"/>
  <c r="K99" i="57"/>
  <c r="D93" i="57"/>
  <c r="H87" i="57"/>
  <c r="N119" i="57"/>
  <c r="R79" i="57"/>
  <c r="Q56" i="57"/>
  <c r="F112" i="57"/>
  <c r="H112" i="57"/>
  <c r="U2" i="57"/>
  <c r="O17" i="57"/>
  <c r="M82" i="57"/>
  <c r="I23" i="57"/>
  <c r="Q48" i="57"/>
  <c r="P65" i="57"/>
  <c r="U5" i="57"/>
  <c r="J88" i="57"/>
  <c r="R111" i="57"/>
  <c r="B122" i="57"/>
  <c r="L34" i="57"/>
  <c r="P14" i="57"/>
  <c r="N121" i="57"/>
  <c r="P51" i="57"/>
  <c r="M45" i="57"/>
  <c r="E16" i="57"/>
  <c r="T54" i="57"/>
  <c r="I5" i="57"/>
  <c r="K48" i="57"/>
  <c r="M20" i="57"/>
  <c r="M58" i="57"/>
  <c r="J38" i="57"/>
  <c r="J61" i="57"/>
  <c r="N62" i="57"/>
  <c r="E52" i="57"/>
  <c r="D64" i="57"/>
  <c r="I66" i="57"/>
  <c r="K49" i="57"/>
  <c r="L21" i="57"/>
  <c r="J101" i="57"/>
  <c r="U75" i="57"/>
  <c r="K82" i="57"/>
  <c r="B68" i="57"/>
  <c r="U101" i="57"/>
  <c r="B32" i="57"/>
  <c r="C25" i="57"/>
  <c r="J110" i="57"/>
  <c r="G25" i="57"/>
  <c r="K43" i="57"/>
  <c r="H113" i="57"/>
  <c r="F114" i="57"/>
  <c r="R83" i="57"/>
  <c r="H15" i="57"/>
  <c r="N59" i="57"/>
  <c r="L11" i="57"/>
  <c r="U107" i="57"/>
  <c r="T61" i="57"/>
  <c r="B9" i="57"/>
  <c r="D84" i="57"/>
  <c r="N51" i="57"/>
  <c r="U92" i="57"/>
  <c r="T85" i="57"/>
  <c r="J40" i="57"/>
  <c r="O77" i="57"/>
  <c r="D28" i="57"/>
  <c r="C76" i="57"/>
  <c r="O78" i="57"/>
  <c r="S48" i="57"/>
  <c r="D2" i="57"/>
  <c r="D98" i="57"/>
  <c r="G79" i="57"/>
  <c r="I89" i="57"/>
  <c r="Q46" i="57"/>
  <c r="U4" i="57"/>
  <c r="I10" i="57"/>
  <c r="M6" i="57"/>
  <c r="H53" i="57"/>
  <c r="G85" i="57"/>
  <c r="F108" i="57"/>
  <c r="J51" i="57"/>
  <c r="B35" i="57"/>
  <c r="D27" i="57"/>
  <c r="E112" i="57"/>
  <c r="I80" i="57"/>
  <c r="R67" i="57"/>
  <c r="B26" i="57"/>
  <c r="I12" i="57"/>
  <c r="H57" i="57"/>
  <c r="F86" i="57"/>
  <c r="D26" i="57"/>
  <c r="F59" i="57"/>
  <c r="T33" i="57"/>
  <c r="D49" i="57"/>
  <c r="P29" i="57"/>
  <c r="U113" i="57"/>
  <c r="K13" i="57"/>
  <c r="T37" i="57"/>
  <c r="O2" i="57"/>
  <c r="J116" i="57"/>
  <c r="B58" i="57"/>
  <c r="Q17" i="57"/>
  <c r="F66" i="57"/>
  <c r="H10" i="57"/>
  <c r="B39" i="57"/>
  <c r="B47" i="57"/>
  <c r="O26" i="57"/>
  <c r="B121" i="57"/>
  <c r="R104" i="57"/>
  <c r="C44" i="57"/>
  <c r="S40" i="57"/>
  <c r="H32" i="57"/>
  <c r="E106" i="57"/>
  <c r="E48" i="57"/>
  <c r="G103" i="57"/>
  <c r="U118" i="57"/>
  <c r="P106" i="57"/>
  <c r="R122" i="57"/>
  <c r="R13" i="57"/>
  <c r="C14" i="57"/>
  <c r="D47" i="57"/>
  <c r="K65" i="57"/>
  <c r="U44" i="57"/>
  <c r="P94" i="57"/>
  <c r="F87" i="57"/>
  <c r="C108" i="57"/>
  <c r="T12" i="57"/>
  <c r="L55" i="57"/>
  <c r="L65" i="57"/>
  <c r="Q43" i="57"/>
  <c r="H65" i="57"/>
  <c r="H122" i="57"/>
  <c r="I83" i="57"/>
  <c r="D58" i="57"/>
  <c r="J30" i="57"/>
  <c r="S51" i="57"/>
  <c r="I22" i="57"/>
  <c r="P105" i="57"/>
  <c r="E43" i="57"/>
  <c r="H64" i="57"/>
  <c r="T81" i="57"/>
  <c r="H95" i="57"/>
  <c r="N71" i="57"/>
  <c r="B65" i="57"/>
  <c r="N66" i="57"/>
  <c r="B17" i="57"/>
  <c r="F61" i="57"/>
  <c r="K96" i="57"/>
  <c r="B104" i="57"/>
  <c r="Q50" i="57"/>
  <c r="I29" i="57"/>
  <c r="L64" i="57"/>
  <c r="B43" i="57"/>
  <c r="U6" i="57"/>
  <c r="C54" i="57"/>
  <c r="F83" i="57"/>
  <c r="H67" i="57"/>
  <c r="L95" i="57"/>
  <c r="G5" i="57"/>
  <c r="U97" i="57"/>
  <c r="J44" i="57"/>
  <c r="M73" i="57"/>
  <c r="H68" i="57"/>
  <c r="P108" i="57"/>
  <c r="B111" i="57"/>
  <c r="Q67" i="57"/>
  <c r="M121" i="57"/>
  <c r="L116" i="57"/>
  <c r="F93" i="57"/>
  <c r="S68" i="57"/>
  <c r="M84" i="57"/>
  <c r="T71" i="57"/>
  <c r="O11" i="57"/>
  <c r="J49" i="57"/>
  <c r="I61" i="57"/>
  <c r="F17" i="57"/>
  <c r="E60" i="57"/>
  <c r="K106" i="57"/>
  <c r="L84" i="57"/>
  <c r="C31" i="57"/>
  <c r="B21" i="57"/>
  <c r="N100" i="57"/>
  <c r="K64" i="57"/>
  <c r="D9" i="57"/>
  <c r="J42" i="57"/>
  <c r="C97" i="57"/>
  <c r="G59" i="57"/>
  <c r="T32" i="57"/>
  <c r="T70" i="57"/>
  <c r="L18" i="57"/>
  <c r="T57" i="57"/>
  <c r="I40" i="57"/>
  <c r="U114" i="57"/>
  <c r="F20" i="57"/>
  <c r="S62" i="57"/>
  <c r="C96" i="57"/>
  <c r="P109" i="57"/>
  <c r="Q12" i="57"/>
  <c r="O52" i="57"/>
  <c r="Q7" i="57"/>
  <c r="Q34" i="57"/>
  <c r="Q113" i="57"/>
  <c r="E59" i="57"/>
  <c r="R23" i="57"/>
  <c r="T98" i="57"/>
  <c r="F27" i="57"/>
  <c r="T2" i="57"/>
  <c r="O63" i="57"/>
  <c r="K26" i="57"/>
  <c r="Q42" i="57"/>
  <c r="K42" i="57"/>
  <c r="K3" i="57"/>
  <c r="L113" i="57"/>
  <c r="F79" i="57"/>
  <c r="E30" i="57"/>
  <c r="E77" i="57"/>
  <c r="O55" i="57"/>
  <c r="I53" i="57"/>
  <c r="F32" i="57"/>
  <c r="R88" i="57"/>
  <c r="T112" i="57"/>
  <c r="G3" i="57"/>
  <c r="I42" i="57"/>
  <c r="J66" i="57"/>
  <c r="N50" i="57"/>
  <c r="S115" i="57"/>
  <c r="S78" i="57"/>
  <c r="G61" i="57"/>
  <c r="P114" i="57"/>
  <c r="F42" i="57"/>
  <c r="J21" i="57"/>
  <c r="P88" i="57"/>
  <c r="P21" i="57"/>
  <c r="E31" i="57"/>
  <c r="S30" i="57"/>
  <c r="R41" i="57"/>
  <c r="B112" i="57"/>
  <c r="E40" i="57"/>
  <c r="G96" i="57"/>
  <c r="Q3" i="57"/>
  <c r="E62" i="57"/>
  <c r="K85" i="57"/>
  <c r="G15" i="57"/>
  <c r="Q68" i="57"/>
  <c r="J60" i="57"/>
  <c r="I7" i="57"/>
  <c r="Q44" i="57"/>
  <c r="G33" i="57"/>
  <c r="U28" i="57"/>
  <c r="H30" i="57"/>
  <c r="D82" i="57"/>
  <c r="L121" i="57"/>
  <c r="S26" i="57"/>
  <c r="J109" i="57"/>
  <c r="I38" i="57"/>
  <c r="J8" i="57"/>
  <c r="J46" i="57"/>
  <c r="P81" i="57"/>
  <c r="K34" i="57"/>
  <c r="P64" i="57"/>
  <c r="S27" i="57"/>
  <c r="C71" i="57"/>
  <c r="U115" i="57"/>
  <c r="E29" i="57"/>
  <c r="I46" i="57"/>
  <c r="R103" i="57"/>
  <c r="Q54" i="57"/>
  <c r="O60" i="57"/>
  <c r="N4" i="57"/>
  <c r="K32" i="57"/>
  <c r="K76" i="57"/>
  <c r="E111" i="57"/>
  <c r="J89" i="57"/>
  <c r="E3" i="57"/>
  <c r="P52" i="57"/>
  <c r="S105" i="57"/>
  <c r="H43" i="57"/>
  <c r="G48" i="57"/>
  <c r="C120" i="57"/>
  <c r="U31" i="57"/>
  <c r="L108" i="57"/>
  <c r="T103" i="57"/>
  <c r="J93" i="57"/>
  <c r="C2" i="57"/>
  <c r="Q33" i="57"/>
  <c r="R51" i="57"/>
  <c r="N38" i="57"/>
  <c r="G7" i="57"/>
  <c r="M59" i="57"/>
  <c r="P17" i="57"/>
  <c r="O9" i="57"/>
  <c r="Q88" i="57"/>
  <c r="K67" i="57"/>
  <c r="M44" i="57"/>
  <c r="F45" i="57"/>
  <c r="J92" i="57"/>
  <c r="S61" i="57"/>
  <c r="I92" i="57"/>
  <c r="D73" i="57"/>
  <c r="J114" i="57"/>
  <c r="N70" i="57"/>
  <c r="C103" i="57"/>
  <c r="U22" i="57"/>
  <c r="F34" i="57"/>
  <c r="J63" i="57"/>
  <c r="J55" i="57"/>
  <c r="O7" i="57"/>
  <c r="Q39" i="57"/>
  <c r="C82" i="57"/>
  <c r="C83" i="57"/>
  <c r="H104" i="57"/>
  <c r="Q53" i="57"/>
  <c r="S116" i="57"/>
  <c r="E39" i="57"/>
  <c r="L33" i="57"/>
  <c r="Q118" i="57"/>
  <c r="P67" i="57"/>
  <c r="T121" i="57"/>
  <c r="C99" i="57"/>
  <c r="E35" i="57"/>
  <c r="N36" i="57"/>
  <c r="F84" i="57"/>
  <c r="P91" i="57"/>
  <c r="U66" i="57"/>
  <c r="R108" i="57"/>
  <c r="B12" i="57"/>
  <c r="S29" i="57"/>
  <c r="L71" i="57"/>
  <c r="J50" i="57"/>
  <c r="J91" i="57"/>
  <c r="T114" i="57"/>
  <c r="N63" i="57"/>
  <c r="C48" i="57"/>
  <c r="M71" i="57"/>
  <c r="M25" i="57"/>
  <c r="F103" i="57"/>
  <c r="J26" i="57"/>
  <c r="D63" i="57"/>
  <c r="E6" i="57"/>
  <c r="M91" i="57"/>
  <c r="O49" i="57"/>
  <c r="H72" i="57"/>
  <c r="R6" i="57"/>
  <c r="N60" i="57"/>
  <c r="F73" i="57"/>
  <c r="E18" i="57"/>
  <c r="N116" i="57"/>
  <c r="E2" i="57"/>
  <c r="S2" i="57"/>
  <c r="T23" i="57"/>
  <c r="I93" i="57"/>
  <c r="I44" i="57"/>
  <c r="C85" i="57"/>
  <c r="F105" i="57"/>
  <c r="C49" i="57"/>
  <c r="T7" i="57"/>
  <c r="O113" i="57"/>
  <c r="O118" i="57"/>
  <c r="M35" i="57"/>
  <c r="J64" i="57"/>
  <c r="D16" i="57"/>
  <c r="I120" i="57"/>
  <c r="M60" i="57"/>
  <c r="U62" i="57"/>
  <c r="S15" i="57"/>
  <c r="S6" i="57"/>
  <c r="N122" i="57"/>
  <c r="G45" i="57"/>
  <c r="B4" i="57"/>
  <c r="O67" i="57"/>
  <c r="N115" i="57"/>
  <c r="G70" i="57"/>
  <c r="P92" i="57"/>
  <c r="K63" i="57"/>
  <c r="F40" i="57"/>
  <c r="G92" i="57"/>
  <c r="Q86" i="57"/>
  <c r="O110" i="57"/>
  <c r="U121" i="57"/>
  <c r="T107" i="57"/>
  <c r="L14" i="57"/>
  <c r="M12" i="57"/>
  <c r="M65" i="57"/>
  <c r="J28" i="57"/>
  <c r="H25" i="57"/>
  <c r="E63" i="57"/>
  <c r="O22" i="57"/>
  <c r="U67" i="57"/>
  <c r="U112" i="57"/>
  <c r="M9" i="57"/>
  <c r="M99" i="57"/>
  <c r="T48" i="57"/>
  <c r="O10" i="57"/>
  <c r="M22" i="57"/>
  <c r="M102" i="57"/>
  <c r="L4" i="57"/>
  <c r="S86" i="57"/>
  <c r="N88" i="57"/>
  <c r="S46" i="57"/>
  <c r="S63" i="57"/>
  <c r="P39" i="57"/>
  <c r="T105" i="57"/>
  <c r="O104" i="57"/>
  <c r="U72" i="57"/>
  <c r="S103" i="57"/>
  <c r="L46" i="57"/>
  <c r="S67" i="57"/>
  <c r="H55" i="57"/>
  <c r="L12" i="57"/>
  <c r="K55" i="57"/>
  <c r="D31" i="57"/>
  <c r="H119" i="57"/>
  <c r="N53" i="57"/>
  <c r="P90" i="57"/>
  <c r="Q55" i="57"/>
  <c r="P12" i="57"/>
  <c r="F11" i="57"/>
  <c r="L50" i="57"/>
  <c r="H8" i="57"/>
  <c r="Q72" i="57"/>
  <c r="U58" i="57"/>
  <c r="C122" i="57"/>
  <c r="G52" i="57"/>
  <c r="G117" i="57"/>
  <c r="Q60" i="57"/>
  <c r="K35" i="57"/>
  <c r="T63" i="57"/>
  <c r="J80" i="57"/>
  <c r="R5" i="57"/>
  <c r="G102" i="57"/>
  <c r="I116" i="57"/>
  <c r="L25" i="57"/>
  <c r="H39" i="57"/>
  <c r="R71" i="57"/>
  <c r="Q64" i="57"/>
  <c r="L38" i="57"/>
  <c r="O58" i="57"/>
  <c r="G34" i="57"/>
  <c r="U13" i="57"/>
  <c r="B79" i="57"/>
  <c r="E74" i="57"/>
  <c r="Q74" i="57"/>
  <c r="Q114" i="57"/>
  <c r="L9" i="57"/>
  <c r="R54" i="57"/>
  <c r="I115" i="57"/>
  <c r="O66" i="57"/>
  <c r="K9" i="57"/>
  <c r="L70" i="57"/>
  <c r="P25" i="57"/>
  <c r="H63" i="57"/>
  <c r="S53" i="57"/>
  <c r="H91" i="57"/>
  <c r="J17" i="57"/>
  <c r="Q101" i="57"/>
  <c r="R90" i="57"/>
  <c r="J29" i="57"/>
  <c r="E22" i="57"/>
  <c r="B5" i="57"/>
  <c r="H33" i="57"/>
  <c r="J45" i="57"/>
  <c r="R46" i="57"/>
  <c r="D30" i="57"/>
  <c r="D13" i="57"/>
  <c r="B88" i="57"/>
  <c r="Q83" i="57"/>
  <c r="T39" i="57"/>
  <c r="D44" i="57"/>
  <c r="B95" i="57"/>
  <c r="O23" i="57"/>
  <c r="O4" i="57"/>
  <c r="T35" i="51"/>
  <c r="V118" i="49"/>
  <c r="M42" i="50"/>
  <c r="V30" i="48"/>
  <c r="V51" i="48"/>
  <c r="V355" i="49"/>
  <c r="M66" i="49"/>
  <c r="V39" i="49"/>
  <c r="V10" i="47"/>
  <c r="V29" i="53"/>
  <c r="AJ20" i="48"/>
  <c r="V44" i="53"/>
  <c r="V165" i="49"/>
  <c r="H38" i="53"/>
  <c r="I38" i="53"/>
  <c r="V75" i="47"/>
  <c r="K4" i="37"/>
  <c r="P4" i="37" s="1"/>
  <c r="AL13" i="48"/>
  <c r="F22" i="34"/>
  <c r="K22" i="34"/>
  <c r="D8" i="59"/>
  <c r="C8" i="59" s="1"/>
  <c r="M58" i="49"/>
  <c r="G14" i="59"/>
  <c r="B1" i="56" s="1"/>
  <c r="V160" i="49"/>
  <c r="I42" i="53"/>
  <c r="H42" i="53"/>
  <c r="V103" i="49"/>
  <c r="Q9" i="45"/>
  <c r="Q10" i="45"/>
  <c r="V270" i="49"/>
  <c r="F118" i="34"/>
  <c r="K118" i="34"/>
  <c r="T54" i="51"/>
  <c r="V76" i="47"/>
  <c r="V32" i="48"/>
  <c r="Q13" i="45"/>
  <c r="W13" i="45" s="1"/>
  <c r="V358" i="49"/>
  <c r="K114" i="34"/>
  <c r="F114" i="34"/>
  <c r="V289" i="49"/>
  <c r="V159" i="49"/>
  <c r="AL19" i="48"/>
  <c r="V315" i="49"/>
  <c r="AJ12" i="50"/>
  <c r="AC52" i="50"/>
  <c r="AC121" i="50"/>
  <c r="AC55" i="50"/>
  <c r="AC50" i="50"/>
  <c r="AC37" i="50"/>
  <c r="AC91" i="50"/>
  <c r="AC94" i="50"/>
  <c r="AC70" i="50"/>
  <c r="AC34" i="50"/>
  <c r="AC30" i="50"/>
  <c r="AC17" i="50"/>
  <c r="AC38" i="50"/>
  <c r="AC2" i="50"/>
  <c r="AC71" i="50"/>
  <c r="AC4" i="50"/>
  <c r="AC110" i="50"/>
  <c r="AC65" i="50"/>
  <c r="AC29" i="50"/>
  <c r="AC67" i="50"/>
  <c r="AC79" i="50"/>
  <c r="AC51" i="50"/>
  <c r="AC46" i="50"/>
  <c r="AC77" i="50"/>
  <c r="AC124" i="50"/>
  <c r="AC11" i="50"/>
  <c r="AC10" i="50"/>
  <c r="AC33" i="50"/>
  <c r="AC81" i="50"/>
  <c r="AC114" i="50"/>
  <c r="AC103" i="50"/>
  <c r="AC108" i="50"/>
  <c r="AC119" i="50"/>
  <c r="AC83" i="50"/>
  <c r="AC87" i="50"/>
  <c r="AC78" i="50"/>
  <c r="AC76" i="50"/>
  <c r="AC101" i="50"/>
  <c r="AC116" i="50"/>
  <c r="AC31" i="50"/>
  <c r="AC25" i="50"/>
  <c r="AC32" i="50"/>
  <c r="AC44" i="50"/>
  <c r="AC74" i="50"/>
  <c r="AC88" i="50"/>
  <c r="AC85" i="50"/>
  <c r="AC45" i="50"/>
  <c r="AC60" i="50"/>
  <c r="AC16" i="50"/>
  <c r="AC113" i="50"/>
  <c r="AC105" i="50"/>
  <c r="AC58" i="50"/>
  <c r="AC48" i="50"/>
  <c r="AC7" i="50"/>
  <c r="AC82" i="50"/>
  <c r="AC41" i="50"/>
  <c r="AC95" i="50"/>
  <c r="AC39" i="50"/>
  <c r="AC63" i="50"/>
  <c r="AC97" i="50"/>
  <c r="AC20" i="50"/>
  <c r="AC117" i="50"/>
  <c r="AC62" i="50"/>
  <c r="AC89" i="50"/>
  <c r="AC61" i="50"/>
  <c r="AC122" i="50"/>
  <c r="AC28" i="50"/>
  <c r="AC98" i="50"/>
  <c r="AC69" i="50"/>
  <c r="AC104" i="50"/>
  <c r="AC120" i="50"/>
  <c r="AC22" i="50"/>
  <c r="AC99" i="50"/>
  <c r="AC12" i="50"/>
  <c r="AC73" i="50"/>
  <c r="AC53" i="50"/>
  <c r="AC3" i="50"/>
  <c r="AC115" i="50"/>
  <c r="AC8" i="50"/>
  <c r="AC92" i="50"/>
  <c r="AC18" i="50"/>
  <c r="AC75" i="50"/>
  <c r="AC112" i="50"/>
  <c r="AC72" i="50"/>
  <c r="AC9" i="50"/>
  <c r="AC107" i="50"/>
  <c r="AC26" i="50"/>
  <c r="AC43" i="50"/>
  <c r="AC123" i="50"/>
  <c r="AC64" i="50"/>
  <c r="AC54" i="50"/>
  <c r="AC36" i="50"/>
  <c r="AC21" i="50"/>
  <c r="AC13" i="50"/>
  <c r="AC96" i="50"/>
  <c r="AC111" i="50"/>
  <c r="AC59" i="50"/>
  <c r="AC100" i="50"/>
  <c r="AC47" i="50"/>
  <c r="AC90" i="50"/>
  <c r="AC56" i="50"/>
  <c r="AC14" i="50"/>
  <c r="AC102" i="50"/>
  <c r="AC35" i="50"/>
  <c r="AC80" i="50"/>
  <c r="AC86" i="50"/>
  <c r="AC19" i="50"/>
  <c r="AC66" i="50"/>
  <c r="AC5" i="50"/>
  <c r="AC68" i="50"/>
  <c r="AC24" i="50"/>
  <c r="AC93" i="50"/>
  <c r="AC23" i="50"/>
  <c r="AC40" i="50"/>
  <c r="AC106" i="50"/>
  <c r="AC57" i="50"/>
  <c r="AC49" i="50"/>
  <c r="AC109" i="50"/>
  <c r="AC42" i="50"/>
  <c r="AC84" i="50"/>
  <c r="AC15" i="50"/>
  <c r="AC27" i="50"/>
  <c r="AC118" i="50"/>
  <c r="AC6" i="50"/>
  <c r="F109" i="34"/>
  <c r="K109" i="34"/>
  <c r="A7" i="44"/>
  <c r="K50" i="34"/>
  <c r="F50" i="34"/>
  <c r="V324" i="49"/>
  <c r="V84" i="53"/>
  <c r="V265" i="49"/>
  <c r="V61" i="49"/>
  <c r="F19" i="34"/>
  <c r="K19" i="34"/>
  <c r="M8" i="53"/>
  <c r="E8" i="35"/>
  <c r="V27" i="48"/>
  <c r="M18" i="44"/>
  <c r="F32" i="34"/>
  <c r="K32" i="34"/>
  <c r="K23" i="34"/>
  <c r="F23" i="34"/>
  <c r="U13" i="42"/>
  <c r="AA13" i="42" s="1"/>
  <c r="V76" i="49"/>
  <c r="V30" i="49"/>
  <c r="V39" i="50"/>
  <c r="V60" i="50"/>
  <c r="M55" i="50"/>
  <c r="I5" i="43"/>
  <c r="H10" i="59"/>
  <c r="G10" i="59" s="1"/>
  <c r="M25" i="47"/>
  <c r="V83" i="53"/>
  <c r="M80" i="50"/>
  <c r="M60" i="53"/>
  <c r="V91" i="49"/>
  <c r="V105" i="50"/>
  <c r="K18" i="39"/>
  <c r="V40" i="50"/>
  <c r="F84" i="34"/>
  <c r="K84" i="34"/>
  <c r="M16" i="44"/>
  <c r="D16" i="39"/>
  <c r="AJ17" i="50"/>
  <c r="V13" i="53"/>
  <c r="M23" i="42"/>
  <c r="V70" i="48"/>
  <c r="V216" i="49"/>
  <c r="K13" i="37"/>
  <c r="L13" i="37" s="1"/>
  <c r="O13" i="37" s="1"/>
  <c r="K24" i="39"/>
  <c r="M43" i="49"/>
  <c r="K51" i="34"/>
  <c r="F51" i="34"/>
  <c r="K32" i="51"/>
  <c r="V38" i="49"/>
  <c r="S4" i="42"/>
  <c r="S3" i="42"/>
  <c r="AA3" i="42" s="1" a="1"/>
  <c r="S5" i="42"/>
  <c r="V187" i="49"/>
  <c r="V368" i="49"/>
  <c r="V363" i="49"/>
  <c r="M8" i="48"/>
  <c r="I7" i="44"/>
  <c r="U10" i="44"/>
  <c r="U9" i="44"/>
  <c r="AJ21" i="48"/>
  <c r="I18" i="45"/>
  <c r="V120" i="50"/>
  <c r="K13" i="51"/>
  <c r="V25" i="50"/>
  <c r="V65" i="53"/>
  <c r="V76" i="53"/>
  <c r="U29" i="40"/>
  <c r="Y29" i="40" s="1"/>
  <c r="V10" i="48"/>
  <c r="V51" i="50"/>
  <c r="V23" i="50"/>
  <c r="V12" i="49"/>
  <c r="M7" i="48"/>
  <c r="H21" i="59"/>
  <c r="G21" i="59" s="1"/>
  <c r="F11" i="34"/>
  <c r="K11" i="34"/>
  <c r="V229" i="49"/>
  <c r="V123" i="50"/>
  <c r="V288" i="49"/>
  <c r="T23" i="51"/>
  <c r="V12" i="53"/>
  <c r="V33" i="50"/>
  <c r="C12" i="33"/>
  <c r="V384" i="49"/>
  <c r="V94" i="49"/>
  <c r="V361" i="49"/>
  <c r="V86" i="50"/>
  <c r="K121" i="34"/>
  <c r="F121" i="34"/>
  <c r="H8" i="59"/>
  <c r="G8" i="59" s="1"/>
  <c r="V68" i="49"/>
  <c r="F29" i="34"/>
  <c r="K29" i="34"/>
  <c r="AJ11" i="50"/>
  <c r="AL22" i="48"/>
  <c r="T24" i="51"/>
  <c r="V302" i="49"/>
  <c r="V233" i="49"/>
  <c r="V35" i="48"/>
  <c r="V234" i="49"/>
  <c r="K6" i="37"/>
  <c r="L6" i="37" s="1"/>
  <c r="O6" i="37" s="1"/>
  <c r="V301" i="49"/>
  <c r="AJ11" i="48"/>
  <c r="Q3" i="33"/>
  <c r="I3" i="42"/>
  <c r="K16" i="38"/>
  <c r="P16" i="38" s="1"/>
  <c r="D41" i="59"/>
  <c r="C41" i="59" s="1"/>
  <c r="D4" i="59"/>
  <c r="C4" i="59" s="1"/>
  <c r="M42" i="49"/>
  <c r="T39" i="51"/>
  <c r="F87" i="34"/>
  <c r="K87" i="34"/>
  <c r="F103" i="34"/>
  <c r="K103" i="34"/>
  <c r="M65" i="53"/>
  <c r="V29" i="48"/>
  <c r="H30" i="50"/>
  <c r="I30" i="50"/>
  <c r="M6" i="48"/>
  <c r="F66" i="34"/>
  <c r="K66" i="34"/>
  <c r="M85" i="53"/>
  <c r="AJ13" i="48"/>
  <c r="F6" i="34"/>
  <c r="K6" i="34"/>
  <c r="V311" i="49"/>
  <c r="V22" i="49"/>
  <c r="V9" i="49"/>
  <c r="M41" i="50"/>
  <c r="U26" i="40"/>
  <c r="Y26" i="40" s="1"/>
  <c r="AC74" i="48"/>
  <c r="AC38" i="48"/>
  <c r="AC19" i="48"/>
  <c r="AC15" i="48"/>
  <c r="AC24" i="48"/>
  <c r="AC17" i="48"/>
  <c r="AC10" i="48"/>
  <c r="AC4" i="48"/>
  <c r="AC82" i="48"/>
  <c r="AC14" i="48"/>
  <c r="AC87" i="48"/>
  <c r="AC57" i="48"/>
  <c r="AC92" i="48"/>
  <c r="AC65" i="48"/>
  <c r="AC8" i="48"/>
  <c r="AC70" i="48"/>
  <c r="AC40" i="48"/>
  <c r="AC29" i="48"/>
  <c r="AC11" i="48"/>
  <c r="AC32" i="48"/>
  <c r="AC80" i="48"/>
  <c r="AC42" i="48"/>
  <c r="AC3" i="48"/>
  <c r="AC72" i="48"/>
  <c r="AC61" i="48"/>
  <c r="AC2" i="48"/>
  <c r="AC47" i="48"/>
  <c r="AC55" i="48"/>
  <c r="AC28" i="48"/>
  <c r="AC25" i="48"/>
  <c r="AC71" i="48"/>
  <c r="AC51" i="48"/>
  <c r="AC81" i="48"/>
  <c r="AC36" i="48"/>
  <c r="AC53" i="48"/>
  <c r="AC52" i="48"/>
  <c r="AC5" i="48"/>
  <c r="AC64" i="48"/>
  <c r="AC49" i="48"/>
  <c r="AC50" i="48"/>
  <c r="AC7" i="48"/>
  <c r="AC75" i="48"/>
  <c r="AC45" i="48"/>
  <c r="AC20" i="48"/>
  <c r="AC26" i="48"/>
  <c r="AC13" i="48"/>
  <c r="AC59" i="48"/>
  <c r="AC84" i="48"/>
  <c r="AC31" i="48"/>
  <c r="AC33" i="48"/>
  <c r="AC66" i="48"/>
  <c r="AC6" i="48"/>
  <c r="AC9" i="48"/>
  <c r="AC85" i="48"/>
  <c r="AC86" i="48"/>
  <c r="AC63" i="48"/>
  <c r="AC18" i="48"/>
  <c r="AC12" i="48"/>
  <c r="AC37" i="48"/>
  <c r="AC77" i="48"/>
  <c r="AC73" i="48"/>
  <c r="AC88" i="48"/>
  <c r="AC83" i="48"/>
  <c r="AC58" i="48"/>
  <c r="AC23" i="48"/>
  <c r="AC41" i="48"/>
  <c r="AC48" i="48"/>
  <c r="AC62" i="48"/>
  <c r="AC39" i="48"/>
  <c r="AC35" i="48"/>
  <c r="AC22" i="48"/>
  <c r="AC46" i="48"/>
  <c r="AC78" i="48"/>
  <c r="AC69" i="48"/>
  <c r="AC44" i="48"/>
  <c r="AC34" i="48"/>
  <c r="AC76" i="48"/>
  <c r="AC30" i="48"/>
  <c r="AC89" i="48"/>
  <c r="AC67" i="48"/>
  <c r="AC54" i="48"/>
  <c r="AC16" i="48"/>
  <c r="AC43" i="48"/>
  <c r="AC79" i="48"/>
  <c r="AC90" i="48"/>
  <c r="AC21" i="48"/>
  <c r="AC60" i="48"/>
  <c r="AC27" i="48"/>
  <c r="AC56" i="48"/>
  <c r="AC68" i="48"/>
  <c r="AC91" i="48"/>
  <c r="V76" i="48"/>
  <c r="V35" i="49"/>
  <c r="V42" i="47"/>
  <c r="V33" i="48"/>
  <c r="AH14" i="51"/>
  <c r="T8" i="51"/>
  <c r="V141" i="49"/>
  <c r="F56" i="34"/>
  <c r="K56" i="34"/>
  <c r="V27" i="50"/>
  <c r="V54" i="48"/>
  <c r="K6" i="39"/>
  <c r="L6" i="39" s="1"/>
  <c r="O6" i="39" s="1"/>
  <c r="K9" i="34"/>
  <c r="F9" i="34"/>
  <c r="K123" i="34"/>
  <c r="F123" i="34"/>
  <c r="V67" i="48"/>
  <c r="M30" i="48"/>
  <c r="V132" i="49"/>
  <c r="E5" i="35"/>
  <c r="V85" i="48"/>
  <c r="V10" i="50"/>
  <c r="V15" i="47"/>
  <c r="T10" i="44"/>
  <c r="T9" i="44"/>
  <c r="AA9" i="44" s="1" a="1"/>
  <c r="M15" i="40"/>
  <c r="M20" i="40"/>
  <c r="M13" i="40"/>
  <c r="M19" i="40"/>
  <c r="M14" i="40"/>
  <c r="M17" i="40"/>
  <c r="M16" i="40"/>
  <c r="M21" i="40"/>
  <c r="M18" i="40"/>
  <c r="V385" i="49"/>
  <c r="V52" i="50"/>
  <c r="V28" i="53"/>
  <c r="V273" i="49"/>
  <c r="V294" i="49"/>
  <c r="I6" i="44"/>
  <c r="T30" i="51"/>
  <c r="I34" i="50"/>
  <c r="H34" i="50"/>
  <c r="V147" i="49"/>
  <c r="G34" i="59"/>
  <c r="S3" i="44"/>
  <c r="AA3" i="44" s="1" a="1"/>
  <c r="S4" i="44"/>
  <c r="S5" i="44"/>
  <c r="M10" i="49"/>
  <c r="K124" i="34"/>
  <c r="F124" i="34"/>
  <c r="V264" i="49"/>
  <c r="V134" i="49"/>
  <c r="M71" i="53"/>
  <c r="K22" i="51"/>
  <c r="V40" i="48"/>
  <c r="V353" i="49"/>
  <c r="P9" i="45"/>
  <c r="W9" i="45" s="1" a="1"/>
  <c r="P10" i="45"/>
  <c r="V35" i="47"/>
  <c r="K9" i="39"/>
  <c r="L9" i="39" s="1"/>
  <c r="O9" i="39" s="1"/>
  <c r="T5" i="51"/>
  <c r="V105" i="49"/>
  <c r="K129" i="34"/>
  <c r="F129" i="34"/>
  <c r="M17" i="49"/>
  <c r="I4" i="43"/>
  <c r="H11" i="59"/>
  <c r="G11" i="59" s="1"/>
  <c r="T4" i="43"/>
  <c r="T5" i="43"/>
  <c r="T3" i="43"/>
  <c r="V79" i="49"/>
  <c r="V66" i="47"/>
  <c r="V209" i="49"/>
  <c r="K8" i="51"/>
  <c r="M55" i="47"/>
  <c r="M65" i="47"/>
  <c r="T19" i="51"/>
  <c r="V85" i="53"/>
  <c r="R13" i="40"/>
  <c r="R17" i="40"/>
  <c r="R21" i="40"/>
  <c r="R19" i="40"/>
  <c r="R15" i="40"/>
  <c r="R16" i="40"/>
  <c r="R18" i="40"/>
  <c r="R20" i="40"/>
  <c r="R14" i="40"/>
  <c r="V82" i="53"/>
  <c r="K21" i="38"/>
  <c r="P21" i="38" s="1"/>
  <c r="K117" i="34"/>
  <c r="F117" i="34"/>
  <c r="M16" i="49"/>
  <c r="V9" i="53"/>
  <c r="V73" i="48"/>
  <c r="M4" i="53"/>
  <c r="M28" i="47"/>
  <c r="V85" i="50"/>
  <c r="V17" i="47"/>
  <c r="V357" i="49"/>
  <c r="M7" i="44"/>
  <c r="N7" i="44"/>
  <c r="O7" i="44"/>
  <c r="V174" i="49"/>
  <c r="V118" i="50"/>
  <c r="K80" i="34"/>
  <c r="F80" i="34"/>
  <c r="V327" i="49"/>
  <c r="V89" i="50"/>
  <c r="M86" i="53"/>
  <c r="V307" i="49"/>
  <c r="V109" i="50"/>
  <c r="V90" i="48"/>
  <c r="V349" i="49"/>
  <c r="M16" i="48"/>
  <c r="V67" i="49"/>
  <c r="V192" i="49"/>
  <c r="V68" i="47"/>
  <c r="V198" i="49"/>
  <c r="V148" i="49"/>
  <c r="M24" i="43"/>
  <c r="V75" i="48"/>
  <c r="V76" i="50"/>
  <c r="W14" i="53"/>
  <c r="W81" i="53"/>
  <c r="W41" i="53"/>
  <c r="W79" i="53"/>
  <c r="W86" i="53"/>
  <c r="W9" i="53"/>
  <c r="W82" i="53"/>
  <c r="W73" i="53"/>
  <c r="W57" i="53"/>
  <c r="W19" i="53"/>
  <c r="W67" i="53"/>
  <c r="W25" i="53"/>
  <c r="W16" i="53"/>
  <c r="W39" i="53"/>
  <c r="W87" i="53"/>
  <c r="W55" i="53"/>
  <c r="W29" i="53"/>
  <c r="W11" i="53"/>
  <c r="W42" i="53"/>
  <c r="W35" i="53"/>
  <c r="W3" i="53"/>
  <c r="W24" i="53"/>
  <c r="W32" i="53"/>
  <c r="W7" i="53"/>
  <c r="W78" i="53"/>
  <c r="W36" i="53"/>
  <c r="W40" i="53"/>
  <c r="W77" i="53"/>
  <c r="W13" i="53"/>
  <c r="W33" i="53"/>
  <c r="W65" i="53"/>
  <c r="W88" i="53"/>
  <c r="W44" i="53"/>
  <c r="W64" i="53"/>
  <c r="W75" i="53"/>
  <c r="W18" i="53"/>
  <c r="W83" i="53"/>
  <c r="W61" i="53"/>
  <c r="W47" i="53"/>
  <c r="W69" i="53"/>
  <c r="W4" i="53"/>
  <c r="W89" i="53"/>
  <c r="W21" i="53"/>
  <c r="W8" i="53"/>
  <c r="W52" i="53"/>
  <c r="W85" i="53"/>
  <c r="W45" i="53"/>
  <c r="W66" i="53"/>
  <c r="W43" i="53"/>
  <c r="W23" i="53"/>
  <c r="W6" i="53"/>
  <c r="W22" i="53"/>
  <c r="W56" i="53"/>
  <c r="W34" i="53"/>
  <c r="W59" i="53"/>
  <c r="W51" i="53"/>
  <c r="W63" i="53"/>
  <c r="W30" i="53"/>
  <c r="W5" i="53"/>
  <c r="W60" i="53"/>
  <c r="W72" i="53"/>
  <c r="W46" i="53"/>
  <c r="W10" i="53"/>
  <c r="W27" i="53"/>
  <c r="W38" i="53"/>
  <c r="W50" i="53"/>
  <c r="W17" i="53"/>
  <c r="W12" i="53"/>
  <c r="W49" i="53"/>
  <c r="W58" i="53"/>
  <c r="W62" i="53"/>
  <c r="W76" i="53"/>
  <c r="W15" i="53"/>
  <c r="W48" i="53"/>
  <c r="W84" i="53"/>
  <c r="W74" i="53"/>
  <c r="W68" i="53"/>
  <c r="W26" i="53"/>
  <c r="W80" i="53"/>
  <c r="W70" i="53"/>
  <c r="W28" i="53"/>
  <c r="W54" i="53"/>
  <c r="W53" i="53"/>
  <c r="W31" i="53"/>
  <c r="W20" i="53"/>
  <c r="W37" i="53"/>
  <c r="W71" i="53"/>
  <c r="V95" i="49"/>
  <c r="K12" i="37"/>
  <c r="L12" i="37" s="1"/>
  <c r="O12" i="37" s="1"/>
  <c r="K67" i="34"/>
  <c r="F67" i="34"/>
  <c r="V112" i="49"/>
  <c r="M69" i="53"/>
  <c r="V125" i="49"/>
  <c r="V360" i="49"/>
  <c r="AL18" i="48"/>
  <c r="U5" i="43"/>
  <c r="U4" i="43"/>
  <c r="U3" i="43"/>
  <c r="K4" i="38"/>
  <c r="L4" i="38" s="1"/>
  <c r="O4" i="38" s="1"/>
  <c r="V354" i="49"/>
  <c r="K47" i="34"/>
  <c r="F47" i="34"/>
  <c r="K48" i="34"/>
  <c r="F48" i="34"/>
  <c r="V52" i="49"/>
  <c r="AH13" i="51"/>
  <c r="V167" i="49"/>
  <c r="V48" i="47"/>
  <c r="V250" i="49"/>
  <c r="M7" i="53"/>
  <c r="M24" i="42"/>
  <c r="M73" i="53"/>
  <c r="V285" i="49"/>
  <c r="D31" i="59"/>
  <c r="C31" i="59" s="1"/>
  <c r="F57" i="34"/>
  <c r="K57" i="34"/>
  <c r="F72" i="34"/>
  <c r="K72" i="34"/>
  <c r="V107" i="50"/>
  <c r="V260" i="49"/>
  <c r="T16" i="51"/>
  <c r="V331" i="49"/>
  <c r="F78" i="34"/>
  <c r="K78" i="34"/>
  <c r="F15" i="34"/>
  <c r="K15" i="34"/>
  <c r="AJ12" i="49"/>
  <c r="V62" i="50"/>
  <c r="V177" i="49"/>
  <c r="K25" i="34"/>
  <c r="F25" i="34"/>
  <c r="T9" i="51"/>
  <c r="K42" i="34"/>
  <c r="F42" i="34"/>
  <c r="V24" i="53"/>
  <c r="K9" i="37"/>
  <c r="P9" i="37" s="1"/>
  <c r="M45" i="49"/>
  <c r="V175" i="49"/>
  <c r="C17" i="61"/>
  <c r="C14" i="61"/>
  <c r="C16" i="61"/>
  <c r="C15" i="61"/>
  <c r="V92" i="48"/>
  <c r="V50" i="49"/>
  <c r="H49" i="53"/>
  <c r="I49" i="53"/>
  <c r="K3" i="39"/>
  <c r="L3" i="39" s="1"/>
  <c r="O3" i="39" s="1"/>
  <c r="K13" i="34"/>
  <c r="F13" i="34"/>
  <c r="T27" i="51"/>
  <c r="K10" i="34"/>
  <c r="F10" i="34"/>
  <c r="C13" i="33"/>
  <c r="V52" i="53"/>
  <c r="V241" i="49"/>
  <c r="V180" i="49"/>
  <c r="V169" i="49"/>
  <c r="K111" i="34"/>
  <c r="F111" i="34"/>
  <c r="V344" i="49"/>
  <c r="K5" i="39"/>
  <c r="L5" i="39" s="1"/>
  <c r="O5" i="39" s="1"/>
  <c r="I19" i="45"/>
  <c r="V206" i="49"/>
  <c r="V202" i="49"/>
  <c r="M4" i="42"/>
  <c r="O4" i="42"/>
  <c r="N4" i="42"/>
  <c r="V63" i="49"/>
  <c r="K30" i="34"/>
  <c r="F30" i="34"/>
  <c r="M17" i="44"/>
  <c r="V284" i="49"/>
  <c r="K17" i="39"/>
  <c r="E12" i="35"/>
  <c r="V10" i="53"/>
  <c r="V108" i="49"/>
  <c r="V336" i="49"/>
  <c r="V87" i="50"/>
  <c r="M54" i="47"/>
  <c r="F7" i="34"/>
  <c r="K7" i="34"/>
  <c r="I17" i="45"/>
  <c r="V37" i="48"/>
  <c r="F16" i="51"/>
  <c r="K27" i="51"/>
  <c r="M26" i="50"/>
  <c r="F9" i="51"/>
  <c r="V33" i="49"/>
  <c r="K16" i="39"/>
  <c r="V136" i="49"/>
  <c r="C5" i="33"/>
  <c r="V113" i="49"/>
  <c r="M58" i="53"/>
  <c r="H28" i="50"/>
  <c r="I28" i="50"/>
  <c r="V42" i="48"/>
  <c r="V58" i="53"/>
  <c r="V49" i="49"/>
  <c r="M26" i="53"/>
  <c r="M16" i="42"/>
  <c r="T45" i="51"/>
  <c r="G33" i="59"/>
  <c r="V37" i="50"/>
  <c r="V201" i="49"/>
  <c r="F99" i="34"/>
  <c r="K99" i="34"/>
  <c r="V102" i="49"/>
  <c r="K34" i="51"/>
  <c r="K25" i="51"/>
  <c r="V53" i="47"/>
  <c r="M12" i="48"/>
  <c r="V98" i="50"/>
  <c r="I5" i="42"/>
  <c r="I53" i="53"/>
  <c r="H53" i="53"/>
  <c r="K106" i="34"/>
  <c r="F106" i="34"/>
  <c r="K14" i="39"/>
  <c r="P14" i="39" s="1"/>
  <c r="AL21" i="48"/>
  <c r="J53" i="34"/>
  <c r="J21" i="34"/>
  <c r="J28" i="34"/>
  <c r="J36" i="34"/>
  <c r="J22" i="34"/>
  <c r="J129" i="34"/>
  <c r="J14" i="34"/>
  <c r="J85" i="34"/>
  <c r="J107" i="34"/>
  <c r="J69" i="34"/>
  <c r="J74" i="34"/>
  <c r="J18" i="34"/>
  <c r="J51" i="34"/>
  <c r="J52" i="34"/>
  <c r="J46" i="34"/>
  <c r="J45" i="34"/>
  <c r="J99" i="34"/>
  <c r="J59" i="34"/>
  <c r="J32" i="34"/>
  <c r="J114" i="34"/>
  <c r="J26" i="34"/>
  <c r="J112" i="34"/>
  <c r="J38" i="34"/>
  <c r="J60" i="34"/>
  <c r="J88" i="34"/>
  <c r="J120" i="34"/>
  <c r="J4" i="34"/>
  <c r="J83" i="34"/>
  <c r="J122" i="34"/>
  <c r="J5" i="34"/>
  <c r="J72" i="34"/>
  <c r="J42" i="34"/>
  <c r="J109" i="34"/>
  <c r="J61" i="34"/>
  <c r="J67" i="34"/>
  <c r="J63" i="34"/>
  <c r="J62" i="34"/>
  <c r="J123" i="34"/>
  <c r="J95" i="34"/>
  <c r="J106" i="34"/>
  <c r="J117" i="34"/>
  <c r="J111" i="34"/>
  <c r="J66" i="34"/>
  <c r="J79" i="34"/>
  <c r="J17" i="34"/>
  <c r="J24" i="34"/>
  <c r="J96" i="34"/>
  <c r="J101" i="34"/>
  <c r="J91" i="34"/>
  <c r="J7" i="34"/>
  <c r="J116" i="34"/>
  <c r="J128" i="34"/>
  <c r="J41" i="34"/>
  <c r="J94" i="34"/>
  <c r="J125" i="34"/>
  <c r="J124" i="34"/>
  <c r="J50" i="34"/>
  <c r="J23" i="34"/>
  <c r="J103" i="34"/>
  <c r="J25" i="34"/>
  <c r="J102" i="34"/>
  <c r="J87" i="34"/>
  <c r="J58" i="34"/>
  <c r="J68" i="34"/>
  <c r="J97" i="34"/>
  <c r="J44" i="34"/>
  <c r="J92" i="34"/>
  <c r="J126" i="34"/>
  <c r="J31" i="34"/>
  <c r="J64" i="34"/>
  <c r="J40" i="34"/>
  <c r="J71" i="34"/>
  <c r="J6" i="34"/>
  <c r="J37" i="34"/>
  <c r="J82" i="34"/>
  <c r="J34" i="34"/>
  <c r="J57" i="34"/>
  <c r="J49" i="34"/>
  <c r="J33" i="34"/>
  <c r="J108" i="34"/>
  <c r="J8" i="34"/>
  <c r="J12" i="34"/>
  <c r="J27" i="34"/>
  <c r="J47" i="34"/>
  <c r="J118" i="34"/>
  <c r="J35" i="34"/>
  <c r="J19" i="34"/>
  <c r="J110" i="34"/>
  <c r="J89" i="34"/>
  <c r="J9" i="34"/>
  <c r="J105" i="34"/>
  <c r="J54" i="34"/>
  <c r="J84" i="34"/>
  <c r="J55" i="34"/>
  <c r="J98" i="34"/>
  <c r="J90" i="34"/>
  <c r="J75" i="34"/>
  <c r="J20" i="34"/>
  <c r="J10" i="34"/>
  <c r="J119" i="34"/>
  <c r="J86" i="34"/>
  <c r="J30" i="34"/>
  <c r="J29" i="34"/>
  <c r="J73" i="34"/>
  <c r="J80" i="34"/>
  <c r="J65" i="34"/>
  <c r="J100" i="34"/>
  <c r="J115" i="34"/>
  <c r="J81" i="34"/>
  <c r="J77" i="34"/>
  <c r="J48" i="34"/>
  <c r="J70" i="34"/>
  <c r="J127" i="34"/>
  <c r="J121" i="34"/>
  <c r="J78" i="34"/>
  <c r="J39" i="34"/>
  <c r="J93" i="34"/>
  <c r="J16" i="34"/>
  <c r="J43" i="34"/>
  <c r="J11" i="34"/>
  <c r="J113" i="34"/>
  <c r="J13" i="34"/>
  <c r="J15" i="34"/>
  <c r="J56" i="34"/>
  <c r="J104" i="34"/>
  <c r="J76" i="34"/>
  <c r="F107" i="34"/>
  <c r="K107" i="34"/>
  <c r="C6" i="33"/>
  <c r="K127" i="34"/>
  <c r="F127" i="34"/>
  <c r="W291" i="49"/>
  <c r="W282" i="49"/>
  <c r="W173" i="49"/>
  <c r="W23" i="49"/>
  <c r="W249" i="49"/>
  <c r="W239" i="49"/>
  <c r="W234" i="49"/>
  <c r="W160" i="49"/>
  <c r="W127" i="49"/>
  <c r="W363" i="49"/>
  <c r="W225" i="49"/>
  <c r="W30" i="49"/>
  <c r="W39" i="49"/>
  <c r="W6" i="49"/>
  <c r="W132" i="49"/>
  <c r="W364" i="49"/>
  <c r="W87" i="49"/>
  <c r="W327" i="49"/>
  <c r="W349" i="49"/>
  <c r="W153" i="49"/>
  <c r="W54" i="49"/>
  <c r="W313" i="49"/>
  <c r="W60" i="49"/>
  <c r="W80" i="49"/>
  <c r="W355" i="49"/>
  <c r="W374" i="49"/>
  <c r="W271" i="49"/>
  <c r="W269" i="49"/>
  <c r="W111" i="49"/>
  <c r="W382" i="49"/>
  <c r="W210" i="49"/>
  <c r="W278" i="49"/>
  <c r="W51" i="49"/>
  <c r="W16" i="49"/>
  <c r="W262" i="49"/>
  <c r="W290" i="49"/>
  <c r="W315" i="49"/>
  <c r="W257" i="49"/>
  <c r="W238" i="49"/>
  <c r="W255" i="49"/>
  <c r="W387" i="49"/>
  <c r="W141" i="49"/>
  <c r="W176" i="49"/>
  <c r="W301" i="49"/>
  <c r="W89" i="49"/>
  <c r="W145" i="49"/>
  <c r="W92" i="49"/>
  <c r="W274" i="49"/>
  <c r="W353" i="49"/>
  <c r="W91" i="49"/>
  <c r="W220" i="49"/>
  <c r="W137" i="49"/>
  <c r="W319" i="49"/>
  <c r="W318" i="49"/>
  <c r="W304" i="49"/>
  <c r="W334" i="49"/>
  <c r="W41" i="49"/>
  <c r="W138" i="49"/>
  <c r="W320" i="49"/>
  <c r="W134" i="49"/>
  <c r="W375" i="49"/>
  <c r="W347" i="49"/>
  <c r="W388" i="49"/>
  <c r="W265" i="49"/>
  <c r="W303" i="49"/>
  <c r="W298" i="49"/>
  <c r="W19" i="49"/>
  <c r="W98" i="49"/>
  <c r="W43" i="49"/>
  <c r="W217" i="49"/>
  <c r="W377" i="49"/>
  <c r="W85" i="49"/>
  <c r="W383" i="49"/>
  <c r="W120" i="49"/>
  <c r="W12" i="49"/>
  <c r="W324" i="49"/>
  <c r="W369" i="49"/>
  <c r="W128" i="49"/>
  <c r="W97" i="49"/>
  <c r="W208" i="49"/>
  <c r="W46" i="49"/>
  <c r="W351" i="49"/>
  <c r="W27" i="49"/>
  <c r="W4" i="49"/>
  <c r="W76" i="49"/>
  <c r="W367" i="49"/>
  <c r="W72" i="49"/>
  <c r="W161" i="49"/>
  <c r="W148" i="49"/>
  <c r="W193" i="49"/>
  <c r="W221" i="49"/>
  <c r="W341" i="49"/>
  <c r="W136" i="49"/>
  <c r="W251" i="49"/>
  <c r="W174" i="49"/>
  <c r="W38" i="49"/>
  <c r="W88" i="49"/>
  <c r="W71" i="49"/>
  <c r="W357" i="49"/>
  <c r="W236" i="49"/>
  <c r="W260" i="49"/>
  <c r="W65" i="49"/>
  <c r="W326" i="49"/>
  <c r="W118" i="49"/>
  <c r="W359" i="49"/>
  <c r="W207" i="49"/>
  <c r="W151" i="49"/>
  <c r="W14" i="49"/>
  <c r="W122" i="49"/>
  <c r="W283" i="49"/>
  <c r="W308" i="49"/>
  <c r="W235" i="49"/>
  <c r="W140" i="49"/>
  <c r="W266" i="49"/>
  <c r="W292" i="49"/>
  <c r="W139" i="49"/>
  <c r="W261" i="49"/>
  <c r="W379" i="49"/>
  <c r="W143" i="49"/>
  <c r="W252" i="49"/>
  <c r="W44" i="49"/>
  <c r="W310" i="49"/>
  <c r="W231" i="49"/>
  <c r="W164" i="49"/>
  <c r="W223" i="49"/>
  <c r="W180" i="49"/>
  <c r="W24" i="49"/>
  <c r="W335" i="49"/>
  <c r="W194" i="49"/>
  <c r="W189" i="49"/>
  <c r="W10" i="49"/>
  <c r="W21" i="49"/>
  <c r="W163" i="49"/>
  <c r="W198" i="49"/>
  <c r="W34" i="49"/>
  <c r="W135" i="49"/>
  <c r="W284" i="49"/>
  <c r="W322" i="49"/>
  <c r="W323" i="49"/>
  <c r="W218" i="49"/>
  <c r="W81" i="49"/>
  <c r="W337" i="49"/>
  <c r="W215" i="49"/>
  <c r="W362" i="49"/>
  <c r="W66" i="49"/>
  <c r="W75" i="49"/>
  <c r="W177" i="49"/>
  <c r="W28" i="49"/>
  <c r="W69" i="49"/>
  <c r="W338" i="49"/>
  <c r="W62" i="49"/>
  <c r="W48" i="49"/>
  <c r="W346" i="49"/>
  <c r="W209" i="49"/>
  <c r="W29" i="49"/>
  <c r="W361" i="49"/>
  <c r="W49" i="49"/>
  <c r="W300" i="49"/>
  <c r="W22" i="49"/>
  <c r="W113" i="49"/>
  <c r="W133" i="49"/>
  <c r="W254" i="49"/>
  <c r="W31" i="49"/>
  <c r="W333" i="49"/>
  <c r="W240" i="49"/>
  <c r="W356" i="49"/>
  <c r="W389" i="49"/>
  <c r="W112" i="49"/>
  <c r="W168" i="49"/>
  <c r="W332" i="49"/>
  <c r="W99" i="49"/>
  <c r="W124" i="49"/>
  <c r="W340" i="49"/>
  <c r="W15" i="49"/>
  <c r="W50" i="49"/>
  <c r="W64" i="49"/>
  <c r="W167" i="49"/>
  <c r="W182" i="49"/>
  <c r="W228" i="49"/>
  <c r="W370" i="49"/>
  <c r="W116" i="49"/>
  <c r="W328" i="49"/>
  <c r="W372" i="49"/>
  <c r="W360" i="49"/>
  <c r="W36" i="49"/>
  <c r="W390" i="49"/>
  <c r="W146" i="49"/>
  <c r="W17" i="49"/>
  <c r="W253" i="49"/>
  <c r="W59" i="49"/>
  <c r="W343" i="49"/>
  <c r="W336" i="49"/>
  <c r="W224" i="49"/>
  <c r="W190" i="49"/>
  <c r="W8" i="49"/>
  <c r="W129" i="49"/>
  <c r="W7" i="49"/>
  <c r="W73" i="49"/>
  <c r="W227" i="49"/>
  <c r="W179" i="49"/>
  <c r="W156" i="49"/>
  <c r="W352" i="49"/>
  <c r="W258" i="49"/>
  <c r="W366" i="49"/>
  <c r="W196" i="49"/>
  <c r="W376" i="49"/>
  <c r="W197" i="49"/>
  <c r="W144" i="49"/>
  <c r="W125" i="49"/>
  <c r="W276" i="49"/>
  <c r="W241" i="49"/>
  <c r="W294" i="49"/>
  <c r="W32" i="49"/>
  <c r="W166" i="49"/>
  <c r="W107" i="49"/>
  <c r="W296" i="49"/>
  <c r="W229" i="49"/>
  <c r="W103" i="49"/>
  <c r="W378" i="49"/>
  <c r="W305" i="49"/>
  <c r="W102" i="49"/>
  <c r="W157" i="49"/>
  <c r="W339" i="49"/>
  <c r="W386" i="49"/>
  <c r="W199" i="49"/>
  <c r="W202" i="49"/>
  <c r="W95" i="49"/>
  <c r="W268" i="49"/>
  <c r="W200" i="49"/>
  <c r="W131" i="49"/>
  <c r="W267" i="49"/>
  <c r="W275" i="49"/>
  <c r="W280" i="49"/>
  <c r="W342" i="49"/>
  <c r="W94" i="49"/>
  <c r="W272" i="49"/>
  <c r="W371" i="49"/>
  <c r="W307" i="49"/>
  <c r="W206" i="49"/>
  <c r="W152" i="49"/>
  <c r="W171" i="49"/>
  <c r="W158" i="49"/>
  <c r="W186" i="49"/>
  <c r="W256" i="49"/>
  <c r="W106" i="49"/>
  <c r="W119" i="49"/>
  <c r="W391" i="49"/>
  <c r="W178" i="49"/>
  <c r="W55" i="49"/>
  <c r="W358" i="49"/>
  <c r="W279" i="49"/>
  <c r="W263" i="49"/>
  <c r="W302" i="49"/>
  <c r="W222" i="49"/>
  <c r="W192" i="49"/>
  <c r="W316" i="49"/>
  <c r="W264" i="49"/>
  <c r="W325" i="49"/>
  <c r="W243" i="49"/>
  <c r="W130" i="49"/>
  <c r="W293" i="49"/>
  <c r="W147" i="49"/>
  <c r="W309" i="49"/>
  <c r="W381" i="49"/>
  <c r="W212" i="49"/>
  <c r="W26" i="49"/>
  <c r="W385" i="49"/>
  <c r="W205" i="49"/>
  <c r="W35" i="49"/>
  <c r="W68" i="49"/>
  <c r="W244" i="49"/>
  <c r="W188" i="49"/>
  <c r="W365" i="49"/>
  <c r="W70" i="49"/>
  <c r="W40" i="49"/>
  <c r="W317" i="49"/>
  <c r="W348" i="49"/>
  <c r="W20" i="49"/>
  <c r="W187" i="49"/>
  <c r="W312" i="49"/>
  <c r="W86" i="49"/>
  <c r="W184" i="49"/>
  <c r="W117" i="49"/>
  <c r="W96" i="49"/>
  <c r="W142" i="49"/>
  <c r="W219" i="49"/>
  <c r="W79" i="49"/>
  <c r="W13" i="49"/>
  <c r="W53" i="49"/>
  <c r="W108" i="49"/>
  <c r="W162" i="49"/>
  <c r="W109" i="49"/>
  <c r="W18" i="49"/>
  <c r="W3" i="49"/>
  <c r="W314" i="49"/>
  <c r="W213" i="49"/>
  <c r="W233" i="49"/>
  <c r="W230" i="49"/>
  <c r="W33" i="49"/>
  <c r="W285" i="49"/>
  <c r="W232" i="49"/>
  <c r="W90" i="49"/>
  <c r="W191" i="49"/>
  <c r="W42" i="49"/>
  <c r="W246" i="49"/>
  <c r="W331" i="49"/>
  <c r="W384" i="49"/>
  <c r="W354" i="49"/>
  <c r="W270" i="49"/>
  <c r="W295" i="49"/>
  <c r="W306" i="49"/>
  <c r="W45" i="49"/>
  <c r="W214" i="49"/>
  <c r="W183" i="49"/>
  <c r="W170" i="49"/>
  <c r="W380" i="49"/>
  <c r="W286" i="49"/>
  <c r="W297" i="49"/>
  <c r="W329" i="49"/>
  <c r="W259" i="49"/>
  <c r="W311" i="49"/>
  <c r="W58" i="49"/>
  <c r="W110" i="49"/>
  <c r="W100" i="49"/>
  <c r="W345" i="49"/>
  <c r="W226" i="49"/>
  <c r="W203" i="49"/>
  <c r="W104" i="49"/>
  <c r="W52" i="49"/>
  <c r="W93" i="49"/>
  <c r="W83" i="49"/>
  <c r="W101" i="49"/>
  <c r="W25" i="49"/>
  <c r="W61" i="49"/>
  <c r="W248" i="49"/>
  <c r="W321" i="49"/>
  <c r="W289" i="49"/>
  <c r="W195" i="49"/>
  <c r="W242" i="49"/>
  <c r="W299" i="49"/>
  <c r="W185" i="49"/>
  <c r="W78" i="49"/>
  <c r="W237" i="49"/>
  <c r="W82" i="49"/>
  <c r="W159" i="49"/>
  <c r="W250" i="49"/>
  <c r="W211" i="49"/>
  <c r="W57" i="49"/>
  <c r="W281" i="49"/>
  <c r="W368" i="49"/>
  <c r="W74" i="49"/>
  <c r="W181" i="49"/>
  <c r="W373" i="49"/>
  <c r="W288" i="49"/>
  <c r="W114" i="49"/>
  <c r="W123" i="49"/>
  <c r="W169" i="49"/>
  <c r="W155" i="49"/>
  <c r="W273" i="49"/>
  <c r="W216" i="49"/>
  <c r="W9" i="49"/>
  <c r="W84" i="49"/>
  <c r="W344" i="49"/>
  <c r="W56" i="49"/>
  <c r="W201" i="49"/>
  <c r="W154" i="49"/>
  <c r="W11" i="49"/>
  <c r="W172" i="49"/>
  <c r="W175" i="49"/>
  <c r="W287" i="49"/>
  <c r="W115" i="49"/>
  <c r="W245" i="49"/>
  <c r="W77" i="49"/>
  <c r="W149" i="49"/>
  <c r="W121" i="49"/>
  <c r="W350" i="49"/>
  <c r="W150" i="49"/>
  <c r="W67" i="49"/>
  <c r="W105" i="49"/>
  <c r="W330" i="49"/>
  <c r="W63" i="49"/>
  <c r="W5" i="49"/>
  <c r="W47" i="49"/>
  <c r="W204" i="49"/>
  <c r="W247" i="49"/>
  <c r="W37" i="49"/>
  <c r="W126" i="49"/>
  <c r="W165" i="49"/>
  <c r="W277" i="49"/>
  <c r="V73" i="47"/>
  <c r="M75" i="53"/>
  <c r="AH15" i="51"/>
  <c r="V252" i="49"/>
  <c r="V50" i="50"/>
  <c r="M21" i="49"/>
  <c r="V283" i="49"/>
  <c r="F86" i="34"/>
  <c r="K86" i="34"/>
  <c r="V326" i="49"/>
  <c r="V34" i="53"/>
  <c r="F54" i="34"/>
  <c r="K54" i="34"/>
  <c r="B5" i="4"/>
  <c r="T52" i="51"/>
  <c r="M4" i="48"/>
  <c r="M19" i="44"/>
  <c r="V205" i="49"/>
  <c r="F95" i="34"/>
  <c r="K95" i="34"/>
  <c r="V17" i="50"/>
  <c r="M27" i="49"/>
  <c r="D21" i="39"/>
  <c r="Q28" i="40"/>
  <c r="M15" i="47"/>
  <c r="V359" i="49"/>
  <c r="T10" i="43"/>
  <c r="T9" i="43"/>
  <c r="AA9" i="43" s="1" a="1"/>
  <c r="V7" i="48"/>
  <c r="V60" i="49"/>
  <c r="M11" i="49"/>
  <c r="V44" i="47"/>
  <c r="M67" i="49"/>
  <c r="V116" i="49"/>
  <c r="K19" i="38"/>
  <c r="L19" i="38" s="1"/>
  <c r="O19" i="38" s="1"/>
  <c r="V83" i="49"/>
  <c r="K7" i="37"/>
  <c r="L7" i="37" s="1"/>
  <c r="O7" i="37" s="1"/>
  <c r="V237" i="49"/>
  <c r="AJ15" i="48"/>
  <c r="V36" i="50"/>
  <c r="I40" i="50"/>
  <c r="H40" i="50"/>
  <c r="T46" i="51"/>
  <c r="V24" i="49"/>
  <c r="K112" i="34"/>
  <c r="F112" i="34"/>
  <c r="Y13" i="43"/>
  <c r="M18" i="43"/>
  <c r="V377" i="49"/>
  <c r="H39" i="53"/>
  <c r="I39" i="53"/>
  <c r="V123" i="49"/>
  <c r="M25" i="42"/>
  <c r="K49" i="34"/>
  <c r="F49" i="34"/>
  <c r="V143" i="49"/>
  <c r="C7" i="33"/>
  <c r="K13" i="39"/>
  <c r="P13" i="39" s="1"/>
  <c r="H27" i="50"/>
  <c r="I27" i="50"/>
  <c r="M19" i="43"/>
  <c r="M13" i="48"/>
  <c r="I4" i="44"/>
  <c r="V51" i="47"/>
  <c r="E9" i="35"/>
  <c r="V89" i="49"/>
  <c r="U13" i="44"/>
  <c r="AA13" i="44" s="1"/>
  <c r="V59" i="48"/>
  <c r="K44" i="34"/>
  <c r="F44" i="34"/>
  <c r="A6" i="44"/>
  <c r="V107" i="49"/>
  <c r="K126" i="34"/>
  <c r="F126" i="34"/>
  <c r="V163" i="49"/>
  <c r="T29" i="51"/>
  <c r="H35" i="50"/>
  <c r="I35" i="50"/>
  <c r="K37" i="51"/>
  <c r="F35" i="34"/>
  <c r="K35" i="34"/>
  <c r="M22" i="50"/>
  <c r="J3" i="45"/>
  <c r="K3" i="45"/>
  <c r="I3" i="45"/>
  <c r="V66" i="53"/>
  <c r="K65" i="34"/>
  <c r="F65" i="34"/>
  <c r="M22" i="42"/>
  <c r="K5" i="38"/>
  <c r="P5" i="38" s="1"/>
  <c r="V366" i="49"/>
  <c r="V6" i="47"/>
  <c r="K44" i="51"/>
  <c r="M59" i="53"/>
  <c r="V81" i="53"/>
  <c r="G28" i="59"/>
  <c r="J4" i="59" s="1"/>
  <c r="V78" i="49"/>
  <c r="K38" i="34"/>
  <c r="F38" i="34"/>
  <c r="M26" i="48"/>
  <c r="K24" i="34"/>
  <c r="F24" i="34"/>
  <c r="V86" i="49"/>
  <c r="T20" i="51"/>
  <c r="N4" i="44"/>
  <c r="O4" i="44"/>
  <c r="M4" i="44"/>
  <c r="V251" i="49"/>
  <c r="V92" i="50"/>
  <c r="V53" i="53"/>
  <c r="M81" i="53"/>
  <c r="I3" i="4"/>
  <c r="BI2" i="34"/>
  <c r="H19" i="39"/>
  <c r="Q16" i="61"/>
  <c r="Q14" i="61"/>
  <c r="J6" i="42"/>
  <c r="Q13" i="61"/>
  <c r="Q11" i="61"/>
  <c r="F3" i="35"/>
  <c r="F4" i="35"/>
  <c r="H20" i="39"/>
  <c r="H17" i="39"/>
  <c r="Q18" i="61"/>
  <c r="B21" i="51"/>
  <c r="H16" i="39"/>
  <c r="J7" i="42"/>
  <c r="F6" i="35"/>
  <c r="F5" i="35"/>
  <c r="J6" i="44"/>
  <c r="H22" i="39"/>
  <c r="F8" i="35"/>
  <c r="C45" i="59"/>
  <c r="Q17" i="61"/>
  <c r="F11" i="35"/>
  <c r="AD23" i="51"/>
  <c r="J4" i="42"/>
  <c r="J7" i="43"/>
  <c r="J7" i="44"/>
  <c r="J5" i="44"/>
  <c r="H23" i="39"/>
  <c r="J6" i="43"/>
  <c r="H21" i="39"/>
  <c r="AF23" i="50"/>
  <c r="AF23" i="49"/>
  <c r="H24" i="39"/>
  <c r="Q12" i="61"/>
  <c r="F7" i="35"/>
  <c r="J4" i="44"/>
  <c r="Q15" i="61"/>
  <c r="I2" i="34"/>
  <c r="F10" i="35"/>
  <c r="D4" i="44"/>
  <c r="F12" i="35"/>
  <c r="F9" i="35"/>
  <c r="C34" i="53"/>
  <c r="H18" i="39"/>
  <c r="Q19" i="61"/>
  <c r="J5" i="42"/>
  <c r="C26" i="50"/>
  <c r="Q10" i="61"/>
  <c r="J4" i="43"/>
  <c r="AF23" i="48"/>
  <c r="J5" i="43"/>
  <c r="P15" i="37" l="1"/>
  <c r="P7" i="38"/>
  <c r="Y28" i="40"/>
  <c r="P14" i="37"/>
  <c r="P15" i="39"/>
  <c r="W13" i="42"/>
  <c r="N26" i="42" s="1"/>
  <c r="L15" i="38"/>
  <c r="O15" i="38" s="1"/>
  <c r="P12" i="37"/>
  <c r="L10" i="38"/>
  <c r="O10" i="38" s="1"/>
  <c r="L9" i="37"/>
  <c r="O9" i="37" s="1"/>
  <c r="C5" i="44"/>
  <c r="L13" i="39"/>
  <c r="O13" i="39" s="1"/>
  <c r="L7" i="39"/>
  <c r="O7" i="39" s="1"/>
  <c r="C6" i="44"/>
  <c r="L10" i="39"/>
  <c r="O10" i="39" s="1"/>
  <c r="L12" i="38"/>
  <c r="O12" i="38" s="1"/>
  <c r="P3" i="39"/>
  <c r="J3" i="44" s="1"/>
  <c r="X27" i="40"/>
  <c r="P19" i="38"/>
  <c r="P14" i="38"/>
  <c r="L12" i="39"/>
  <c r="O12" i="39" s="1"/>
  <c r="L21" i="38"/>
  <c r="O21" i="38" s="1"/>
  <c r="P3" i="38"/>
  <c r="J3" i="42" s="1"/>
  <c r="L6" i="38"/>
  <c r="O6" i="38" s="1"/>
  <c r="P20" i="39"/>
  <c r="L20" i="39"/>
  <c r="O20" i="39" s="1"/>
  <c r="H26" i="50"/>
  <c r="I26" i="50"/>
  <c r="L17" i="39"/>
  <c r="O17" i="39" s="1"/>
  <c r="P17" i="39"/>
  <c r="L18" i="39"/>
  <c r="O18" i="39" s="1"/>
  <c r="P18" i="39"/>
  <c r="P22" i="39"/>
  <c r="L22" i="39"/>
  <c r="O22" i="39" s="1"/>
  <c r="G10" i="35"/>
  <c r="G11" i="35"/>
  <c r="I34" i="53"/>
  <c r="H34" i="53"/>
  <c r="P19" i="39"/>
  <c r="L19" i="39"/>
  <c r="O19" i="39" s="1"/>
  <c r="F21" i="51"/>
  <c r="P23" i="39"/>
  <c r="L23" i="39"/>
  <c r="O23" i="39" s="1"/>
  <c r="G5" i="35"/>
  <c r="P21" i="39"/>
  <c r="L21" i="39"/>
  <c r="O21" i="39" s="1"/>
  <c r="G12" i="35"/>
  <c r="G4" i="35"/>
  <c r="G7" i="35"/>
  <c r="G8" i="35"/>
  <c r="G9" i="35"/>
  <c r="G6" i="35"/>
  <c r="L24" i="39"/>
  <c r="O24" i="39" s="1"/>
  <c r="P24" i="39"/>
  <c r="L16" i="39"/>
  <c r="O16" i="39" s="1"/>
  <c r="P16" i="39"/>
  <c r="C15" i="33"/>
  <c r="G3" i="35"/>
  <c r="I78" i="34"/>
  <c r="BI78" i="34"/>
  <c r="BI11" i="34"/>
  <c r="I11" i="34"/>
  <c r="BI102" i="34"/>
  <c r="I102" i="34"/>
  <c r="BI83" i="34"/>
  <c r="I83" i="34"/>
  <c r="F93" i="58"/>
  <c r="D93" i="58"/>
  <c r="D99" i="58"/>
  <c r="F99" i="58"/>
  <c r="F121" i="58"/>
  <c r="D121" i="58"/>
  <c r="BI129" i="34"/>
  <c r="I129" i="34"/>
  <c r="I33" i="34"/>
  <c r="BI33" i="34"/>
  <c r="BI36" i="34"/>
  <c r="I36" i="34"/>
  <c r="L11" i="37"/>
  <c r="O11" i="37" s="1"/>
  <c r="I69" i="34"/>
  <c r="BI69" i="34"/>
  <c r="I82" i="34"/>
  <c r="BI82" i="34"/>
  <c r="F78" i="58"/>
  <c r="D78" i="58"/>
  <c r="F115" i="58"/>
  <c r="D115" i="58"/>
  <c r="D87" i="58"/>
  <c r="F87" i="58"/>
  <c r="D119" i="58"/>
  <c r="F119" i="58"/>
  <c r="F117" i="58"/>
  <c r="D117" i="58"/>
  <c r="D118" i="58"/>
  <c r="F118" i="58"/>
  <c r="D66" i="58"/>
  <c r="F66" i="58"/>
  <c r="D17" i="58"/>
  <c r="F17" i="58"/>
  <c r="D4" i="58"/>
  <c r="F4" i="58"/>
  <c r="F55" i="58"/>
  <c r="D55" i="58"/>
  <c r="F71" i="58"/>
  <c r="D71" i="58"/>
  <c r="F11" i="58"/>
  <c r="D11" i="58"/>
  <c r="F26" i="58"/>
  <c r="D26" i="58"/>
  <c r="D43" i="58"/>
  <c r="F43" i="58"/>
  <c r="I112" i="34"/>
  <c r="BI112" i="34"/>
  <c r="D84" i="58"/>
  <c r="F84" i="58"/>
  <c r="F80" i="58"/>
  <c r="D80" i="58"/>
  <c r="F109" i="58"/>
  <c r="D109" i="58"/>
  <c r="D77" i="58"/>
  <c r="F77" i="58"/>
  <c r="F9" i="58"/>
  <c r="D9" i="58"/>
  <c r="F30" i="58"/>
  <c r="D30" i="58"/>
  <c r="D100" i="58"/>
  <c r="F100" i="58"/>
  <c r="D48" i="58"/>
  <c r="F48" i="58"/>
  <c r="D69" i="58"/>
  <c r="F69" i="58"/>
  <c r="F24" i="58"/>
  <c r="D24" i="58"/>
  <c r="D28" i="58"/>
  <c r="F28" i="58"/>
  <c r="F16" i="58"/>
  <c r="D16" i="58"/>
  <c r="D6" i="58"/>
  <c r="F6" i="58"/>
  <c r="W13" i="44"/>
  <c r="N18" i="44" s="1"/>
  <c r="I10" i="34"/>
  <c r="BI10" i="34"/>
  <c r="BI67" i="34"/>
  <c r="I67" i="34"/>
  <c r="AB10" i="43"/>
  <c r="AB9" i="43"/>
  <c r="AA9" i="43"/>
  <c r="W9" i="43" s="1" a="1"/>
  <c r="AA10" i="43"/>
  <c r="AC3" i="44"/>
  <c r="AA4" i="44"/>
  <c r="AB5" i="44"/>
  <c r="AB4" i="44"/>
  <c r="AB3" i="44"/>
  <c r="AC4" i="44"/>
  <c r="AC5" i="44"/>
  <c r="AA3" i="44"/>
  <c r="W3" i="44" s="1" a="1"/>
  <c r="AA5" i="44"/>
  <c r="BI65" i="34"/>
  <c r="I65" i="34"/>
  <c r="I99" i="34"/>
  <c r="BI99" i="34"/>
  <c r="BI30" i="34"/>
  <c r="I30" i="34"/>
  <c r="I42" i="34"/>
  <c r="BI42" i="34"/>
  <c r="I47" i="34"/>
  <c r="BI47" i="34"/>
  <c r="I9" i="34"/>
  <c r="BI9" i="34"/>
  <c r="BI29" i="34"/>
  <c r="I29" i="34"/>
  <c r="I23" i="34"/>
  <c r="BI23" i="34"/>
  <c r="BI19" i="34"/>
  <c r="I19" i="34"/>
  <c r="C7" i="44"/>
  <c r="L4" i="37"/>
  <c r="O4" i="37" s="1"/>
  <c r="E14" i="35"/>
  <c r="BI64" i="34"/>
  <c r="I64" i="34"/>
  <c r="BI12" i="34"/>
  <c r="I12" i="34"/>
  <c r="X26" i="40"/>
  <c r="I120" i="34"/>
  <c r="BI120" i="34"/>
  <c r="BI75" i="34"/>
  <c r="I75" i="34"/>
  <c r="I63" i="34"/>
  <c r="BI63" i="34"/>
  <c r="BI43" i="34"/>
  <c r="I43" i="34"/>
  <c r="F98" i="56"/>
  <c r="D98" i="56"/>
  <c r="D64" i="56"/>
  <c r="F64" i="56"/>
  <c r="F65" i="56"/>
  <c r="D65" i="56"/>
  <c r="D54" i="56"/>
  <c r="F54" i="56"/>
  <c r="D120" i="56"/>
  <c r="F120" i="56"/>
  <c r="D106" i="56"/>
  <c r="F106" i="56"/>
  <c r="D87" i="56"/>
  <c r="F87" i="56"/>
  <c r="D88" i="56"/>
  <c r="F88" i="56"/>
  <c r="E4" i="56" a="1"/>
  <c r="F69" i="56"/>
  <c r="D69" i="56"/>
  <c r="F117" i="56"/>
  <c r="D117" i="56"/>
  <c r="F94" i="56"/>
  <c r="D94" i="56"/>
  <c r="F76" i="56"/>
  <c r="D76" i="56"/>
  <c r="D107" i="56"/>
  <c r="F107" i="56"/>
  <c r="F103" i="56"/>
  <c r="D103" i="56"/>
  <c r="BI73" i="34"/>
  <c r="I73" i="34"/>
  <c r="BI17" i="34"/>
  <c r="I17" i="34"/>
  <c r="L11" i="38"/>
  <c r="O11" i="38" s="1"/>
  <c r="P10" i="37"/>
  <c r="BI128" i="34"/>
  <c r="I128" i="34"/>
  <c r="BI101" i="34"/>
  <c r="I101" i="34"/>
  <c r="BI62" i="34"/>
  <c r="I62" i="34"/>
  <c r="I40" i="34"/>
  <c r="BI40" i="34"/>
  <c r="I97" i="34"/>
  <c r="BI97" i="34"/>
  <c r="D73" i="58"/>
  <c r="F73" i="58"/>
  <c r="D76" i="58"/>
  <c r="F76" i="58"/>
  <c r="D61" i="58"/>
  <c r="F61" i="58"/>
  <c r="F82" i="58"/>
  <c r="D82" i="58"/>
  <c r="D60" i="58"/>
  <c r="F60" i="58"/>
  <c r="D64" i="58"/>
  <c r="F64" i="58"/>
  <c r="F50" i="58"/>
  <c r="D50" i="58"/>
  <c r="D15" i="58"/>
  <c r="F15" i="58"/>
  <c r="F18" i="58"/>
  <c r="D18" i="58"/>
  <c r="D112" i="58"/>
  <c r="F112" i="58"/>
  <c r="D79" i="58"/>
  <c r="F79" i="58"/>
  <c r="F29" i="58"/>
  <c r="D29" i="58"/>
  <c r="D33" i="58"/>
  <c r="F33" i="58"/>
  <c r="F40" i="58"/>
  <c r="D40" i="58"/>
  <c r="F74" i="58"/>
  <c r="D74" i="58"/>
  <c r="BI57" i="34"/>
  <c r="I57" i="34"/>
  <c r="BI96" i="34"/>
  <c r="I96" i="34"/>
  <c r="AB4" i="43"/>
  <c r="AB5" i="43"/>
  <c r="AC4" i="43"/>
  <c r="AC3" i="43"/>
  <c r="AA4" i="43"/>
  <c r="AB3" i="43"/>
  <c r="AA5" i="43"/>
  <c r="AC5" i="43"/>
  <c r="AA3" i="43"/>
  <c r="W3" i="43" s="1" a="1"/>
  <c r="BI76" i="34"/>
  <c r="I76" i="34"/>
  <c r="I58" i="34"/>
  <c r="BI58" i="34"/>
  <c r="E16" i="35"/>
  <c r="BI60" i="34"/>
  <c r="I60" i="34"/>
  <c r="BI92" i="34"/>
  <c r="I92" i="34"/>
  <c r="F6" i="56"/>
  <c r="D6" i="56"/>
  <c r="D35" i="56"/>
  <c r="F35" i="56"/>
  <c r="F21" i="56"/>
  <c r="D21" i="56"/>
  <c r="F83" i="56"/>
  <c r="D83" i="56"/>
  <c r="F56" i="56"/>
  <c r="D56" i="56"/>
  <c r="F60" i="56"/>
  <c r="D60" i="56"/>
  <c r="D118" i="56"/>
  <c r="F118" i="56"/>
  <c r="F25" i="56"/>
  <c r="D25" i="56"/>
  <c r="D53" i="56"/>
  <c r="F53" i="56"/>
  <c r="D37" i="56"/>
  <c r="F37" i="56"/>
  <c r="D44" i="56"/>
  <c r="F44" i="56"/>
  <c r="F7" i="56"/>
  <c r="D7" i="56"/>
  <c r="F61" i="56"/>
  <c r="D61" i="56"/>
  <c r="F75" i="56"/>
  <c r="D75" i="56"/>
  <c r="D28" i="56"/>
  <c r="F28" i="56"/>
  <c r="L14" i="39"/>
  <c r="O14" i="39" s="1"/>
  <c r="BI81" i="34"/>
  <c r="I81" i="34"/>
  <c r="I85" i="34"/>
  <c r="BI85" i="34"/>
  <c r="BI8" i="34"/>
  <c r="I8" i="34"/>
  <c r="I20" i="34"/>
  <c r="BI20" i="34"/>
  <c r="BI94" i="34"/>
  <c r="I94" i="34"/>
  <c r="I53" i="34"/>
  <c r="BI53" i="34"/>
  <c r="BI71" i="34"/>
  <c r="I71" i="34"/>
  <c r="D108" i="58"/>
  <c r="F108" i="58"/>
  <c r="F52" i="58"/>
  <c r="D52" i="58"/>
  <c r="F36" i="58"/>
  <c r="D36" i="58"/>
  <c r="F39" i="58"/>
  <c r="D39" i="58"/>
  <c r="F68" i="58"/>
  <c r="D68" i="58"/>
  <c r="F41" i="58"/>
  <c r="D41" i="58"/>
  <c r="D81" i="58"/>
  <c r="F81" i="58"/>
  <c r="F12" i="58"/>
  <c r="D12" i="58"/>
  <c r="D70" i="58"/>
  <c r="F70" i="58"/>
  <c r="D8" i="58"/>
  <c r="F8" i="58"/>
  <c r="D86" i="58"/>
  <c r="F86" i="58"/>
  <c r="F35" i="58"/>
  <c r="D35" i="58"/>
  <c r="D46" i="58"/>
  <c r="F46" i="58"/>
  <c r="F90" i="58"/>
  <c r="D90" i="58"/>
  <c r="F75" i="58"/>
  <c r="D75" i="58"/>
  <c r="P5" i="37"/>
  <c r="I52" i="34"/>
  <c r="BI52" i="34"/>
  <c r="BI103" i="34"/>
  <c r="I103" i="34"/>
  <c r="I14" i="34"/>
  <c r="BI14" i="34"/>
  <c r="D95" i="58"/>
  <c r="F95" i="58"/>
  <c r="BI24" i="34"/>
  <c r="I24" i="34"/>
  <c r="I44" i="34"/>
  <c r="BI44" i="34"/>
  <c r="BI118" i="34"/>
  <c r="I118" i="34"/>
  <c r="F33" i="56"/>
  <c r="D33" i="56"/>
  <c r="BI88" i="34"/>
  <c r="I88" i="34"/>
  <c r="BI7" i="34"/>
  <c r="I7" i="34"/>
  <c r="P11" i="39"/>
  <c r="I55" i="34"/>
  <c r="BI55" i="34"/>
  <c r="BI54" i="34"/>
  <c r="I54" i="34"/>
  <c r="P13" i="37"/>
  <c r="BI89" i="34"/>
  <c r="I89" i="34"/>
  <c r="E13" i="35"/>
  <c r="I59" i="34"/>
  <c r="BI59" i="34"/>
  <c r="I39" i="34"/>
  <c r="BI39" i="34"/>
  <c r="I16" i="34"/>
  <c r="BI16" i="34"/>
  <c r="I26" i="34"/>
  <c r="BI26" i="34"/>
  <c r="I68" i="34"/>
  <c r="BI68" i="34"/>
  <c r="P17" i="38"/>
  <c r="D101" i="56"/>
  <c r="F101" i="56"/>
  <c r="D74" i="56"/>
  <c r="F74" i="56"/>
  <c r="D85" i="56"/>
  <c r="F85" i="56"/>
  <c r="F104" i="56"/>
  <c r="D104" i="56"/>
  <c r="D20" i="56"/>
  <c r="F20" i="56"/>
  <c r="D102" i="56"/>
  <c r="F102" i="56"/>
  <c r="F89" i="56"/>
  <c r="D89" i="56"/>
  <c r="F119" i="56"/>
  <c r="D119" i="56"/>
  <c r="F84" i="56"/>
  <c r="D84" i="56"/>
  <c r="F41" i="56"/>
  <c r="D41" i="56"/>
  <c r="D73" i="56"/>
  <c r="F73" i="56"/>
  <c r="F43" i="56"/>
  <c r="D43" i="56"/>
  <c r="D110" i="56"/>
  <c r="F110" i="56"/>
  <c r="D68" i="56"/>
  <c r="F68" i="56"/>
  <c r="D112" i="56"/>
  <c r="F112" i="56"/>
  <c r="I122" i="34"/>
  <c r="BI122" i="34"/>
  <c r="L8" i="39"/>
  <c r="O8" i="39" s="1"/>
  <c r="BI125" i="34"/>
  <c r="I125" i="34"/>
  <c r="BI37" i="34"/>
  <c r="I37" i="34"/>
  <c r="BI70" i="34"/>
  <c r="I70" i="34"/>
  <c r="D97" i="58"/>
  <c r="F97" i="58"/>
  <c r="F59" i="58"/>
  <c r="D59" i="58"/>
  <c r="D38" i="58"/>
  <c r="F38" i="58"/>
  <c r="D20" i="58"/>
  <c r="F20" i="58"/>
  <c r="D34" i="58"/>
  <c r="F34" i="58"/>
  <c r="F88" i="58"/>
  <c r="D88" i="58"/>
  <c r="D103" i="58"/>
  <c r="F103" i="58"/>
  <c r="D92" i="58"/>
  <c r="F92" i="58"/>
  <c r="F89" i="58"/>
  <c r="D89" i="58"/>
  <c r="D83" i="58"/>
  <c r="F83" i="58"/>
  <c r="D25" i="58"/>
  <c r="F25" i="58"/>
  <c r="D47" i="58"/>
  <c r="F47" i="58"/>
  <c r="F44" i="58"/>
  <c r="D44" i="58"/>
  <c r="D56" i="58"/>
  <c r="F56" i="58"/>
  <c r="D107" i="58"/>
  <c r="F107" i="58"/>
  <c r="BI86" i="34"/>
  <c r="I86" i="34"/>
  <c r="BI127" i="34"/>
  <c r="I127" i="34"/>
  <c r="BI124" i="34"/>
  <c r="I124" i="34"/>
  <c r="I32" i="34"/>
  <c r="BI32" i="34"/>
  <c r="BI109" i="34"/>
  <c r="I109" i="34"/>
  <c r="F48" i="56"/>
  <c r="D48" i="56"/>
  <c r="F36" i="56"/>
  <c r="D36" i="56"/>
  <c r="D51" i="56"/>
  <c r="F51" i="56"/>
  <c r="D32" i="56"/>
  <c r="F32" i="56"/>
  <c r="D13" i="56"/>
  <c r="F13" i="56"/>
  <c r="D16" i="56"/>
  <c r="F16" i="56"/>
  <c r="F42" i="56"/>
  <c r="D42" i="56"/>
  <c r="D108" i="56"/>
  <c r="F108" i="56"/>
  <c r="F81" i="56"/>
  <c r="D81" i="56"/>
  <c r="F14" i="56"/>
  <c r="D14" i="56"/>
  <c r="F86" i="56"/>
  <c r="D86" i="56"/>
  <c r="D97" i="56"/>
  <c r="F97" i="56"/>
  <c r="F100" i="56"/>
  <c r="D100" i="56"/>
  <c r="F57" i="56"/>
  <c r="D57" i="56"/>
  <c r="F62" i="56"/>
  <c r="D62" i="56"/>
  <c r="I93" i="34"/>
  <c r="BI93" i="34"/>
  <c r="F65" i="58"/>
  <c r="D65" i="58"/>
  <c r="F102" i="58"/>
  <c r="D102" i="58"/>
  <c r="D106" i="58"/>
  <c r="F106" i="58"/>
  <c r="F63" i="58"/>
  <c r="D63" i="58"/>
  <c r="D37" i="58"/>
  <c r="F37" i="58"/>
  <c r="F111" i="58"/>
  <c r="D111" i="58"/>
  <c r="D54" i="58"/>
  <c r="F54" i="58"/>
  <c r="D110" i="58"/>
  <c r="F110" i="58"/>
  <c r="D96" i="58"/>
  <c r="F96" i="58"/>
  <c r="F114" i="58"/>
  <c r="D114" i="58"/>
  <c r="AB10" i="44"/>
  <c r="AA9" i="44"/>
  <c r="W9" i="44" s="1" a="1"/>
  <c r="AA10" i="44"/>
  <c r="AB9" i="44"/>
  <c r="BI66" i="34"/>
  <c r="I66" i="34"/>
  <c r="I77" i="34"/>
  <c r="BI77" i="34"/>
  <c r="BI104" i="34"/>
  <c r="I104" i="34"/>
  <c r="E4" i="58" a="1"/>
  <c r="I107" i="34"/>
  <c r="BI107" i="34"/>
  <c r="BI25" i="34"/>
  <c r="I25" i="34"/>
  <c r="I28" i="34"/>
  <c r="BI28" i="34"/>
  <c r="I46" i="34"/>
  <c r="BI46" i="34"/>
  <c r="BI38" i="34"/>
  <c r="I38" i="34"/>
  <c r="BI111" i="34"/>
  <c r="I111" i="34"/>
  <c r="BI121" i="34"/>
  <c r="I121" i="34"/>
  <c r="I35" i="34"/>
  <c r="BI35" i="34"/>
  <c r="BI126" i="34"/>
  <c r="I126" i="34"/>
  <c r="BI95" i="34"/>
  <c r="I95" i="34"/>
  <c r="BI106" i="34"/>
  <c r="I106" i="34"/>
  <c r="I48" i="34"/>
  <c r="BI48" i="34"/>
  <c r="I117" i="34"/>
  <c r="BI117" i="34"/>
  <c r="P18" i="38"/>
  <c r="I123" i="34"/>
  <c r="BI123" i="34"/>
  <c r="I6" i="34"/>
  <c r="BI6" i="34"/>
  <c r="P5" i="39"/>
  <c r="S13" i="45"/>
  <c r="J16" i="45" s="1"/>
  <c r="I22" i="34"/>
  <c r="BI22" i="34"/>
  <c r="E15" i="35"/>
  <c r="BI18" i="34"/>
  <c r="I18" i="34"/>
  <c r="I98" i="34"/>
  <c r="BI98" i="34"/>
  <c r="P6" i="37"/>
  <c r="I21" i="34"/>
  <c r="BI21" i="34"/>
  <c r="D72" i="56"/>
  <c r="F72" i="56"/>
  <c r="D99" i="56"/>
  <c r="F99" i="56"/>
  <c r="F80" i="56"/>
  <c r="D80" i="56"/>
  <c r="F90" i="56"/>
  <c r="D90" i="56"/>
  <c r="F26" i="56"/>
  <c r="D26" i="56"/>
  <c r="F9" i="56"/>
  <c r="D9" i="56"/>
  <c r="D63" i="56"/>
  <c r="F63" i="56"/>
  <c r="F93" i="56"/>
  <c r="D93" i="56"/>
  <c r="D96" i="56"/>
  <c r="F96" i="56"/>
  <c r="F29" i="56"/>
  <c r="D29" i="56"/>
  <c r="F113" i="56"/>
  <c r="D113" i="56"/>
  <c r="D114" i="56"/>
  <c r="F114" i="56"/>
  <c r="D5"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F5" i="56"/>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F95" i="56"/>
  <c r="D95" i="56"/>
  <c r="D91" i="56"/>
  <c r="F91" i="56"/>
  <c r="I105" i="34"/>
  <c r="BI105" i="34"/>
  <c r="I5" i="34"/>
  <c r="M5" i="34" s="1"/>
  <c r="BI5" i="34"/>
  <c r="BJ5" i="34" s="1"/>
  <c r="BK5" i="34" s="1"/>
  <c r="I74" i="34"/>
  <c r="BI74" i="34"/>
  <c r="I116" i="34"/>
  <c r="BI116" i="34"/>
  <c r="BI27" i="34"/>
  <c r="I27" i="34"/>
  <c r="L5" i="38"/>
  <c r="O5" i="38" s="1"/>
  <c r="BI113" i="34"/>
  <c r="I113" i="34"/>
  <c r="P9" i="38"/>
  <c r="I90" i="34"/>
  <c r="BI90" i="34"/>
  <c r="F22" i="58"/>
  <c r="D22" i="58"/>
  <c r="D7" i="58"/>
  <c r="F7" i="58"/>
  <c r="D45" i="58"/>
  <c r="F45" i="58"/>
  <c r="D23" i="58"/>
  <c r="F23" i="58"/>
  <c r="F49" i="58"/>
  <c r="D49" i="58"/>
  <c r="D5" i="58"/>
  <c r="F5"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D67" i="58"/>
  <c r="F67" i="58"/>
  <c r="D53" i="58"/>
  <c r="F53" i="58"/>
  <c r="F94" i="58"/>
  <c r="D94" i="58"/>
  <c r="F72" i="58"/>
  <c r="D72" i="58"/>
  <c r="F21" i="58"/>
  <c r="D21" i="58"/>
  <c r="D113" i="58"/>
  <c r="F113" i="58"/>
  <c r="F51" i="58"/>
  <c r="D51" i="58"/>
  <c r="D120" i="58"/>
  <c r="F120" i="58"/>
  <c r="D85" i="58"/>
  <c r="F85" i="58"/>
  <c r="I91" i="34"/>
  <c r="BI91" i="34"/>
  <c r="X5" i="45"/>
  <c r="Y5" i="45"/>
  <c r="W5" i="45"/>
  <c r="X3" i="45"/>
  <c r="Y3" i="45"/>
  <c r="W4" i="45"/>
  <c r="Y4" i="45"/>
  <c r="W3" i="45"/>
  <c r="S3" i="45" s="1" a="1"/>
  <c r="X4" i="45"/>
  <c r="BI34" i="34"/>
  <c r="I34" i="34"/>
  <c r="I115" i="34"/>
  <c r="BI115" i="34"/>
  <c r="BI41" i="34"/>
  <c r="I41" i="34"/>
  <c r="X10" i="45"/>
  <c r="W9" i="45"/>
  <c r="S9" i="45" s="1" a="1"/>
  <c r="X9" i="45"/>
  <c r="W10" i="45"/>
  <c r="L16" i="38"/>
  <c r="O16" i="38" s="1"/>
  <c r="X29" i="40"/>
  <c r="D57" i="58"/>
  <c r="F57" i="58"/>
  <c r="I49" i="34"/>
  <c r="BI49" i="34"/>
  <c r="AC3" i="42"/>
  <c r="AB4" i="42"/>
  <c r="AA3" i="42"/>
  <c r="W3" i="42" s="1" a="1"/>
  <c r="AB5" i="42"/>
  <c r="AA5" i="42"/>
  <c r="AA4" i="42"/>
  <c r="AC4" i="42"/>
  <c r="AC5" i="42"/>
  <c r="AB3" i="42"/>
  <c r="D49" i="56"/>
  <c r="F49" i="56"/>
  <c r="F115" i="56"/>
  <c r="D115" i="56"/>
  <c r="F45" i="56"/>
  <c r="D45" i="56"/>
  <c r="D109" i="56"/>
  <c r="F109" i="56"/>
  <c r="F24" i="56"/>
  <c r="D24" i="56"/>
  <c r="F82" i="56"/>
  <c r="D82" i="56"/>
  <c r="F105" i="56"/>
  <c r="D105" i="56"/>
  <c r="D58" i="56"/>
  <c r="F58" i="56"/>
  <c r="F46" i="56"/>
  <c r="D46" i="56"/>
  <c r="F10" i="56"/>
  <c r="D10" i="56"/>
  <c r="F121" i="56"/>
  <c r="D121" i="56"/>
  <c r="D40" i="56"/>
  <c r="F40" i="56"/>
  <c r="D31" i="56"/>
  <c r="F31" i="56"/>
  <c r="F17" i="56"/>
  <c r="D17" i="56"/>
  <c r="I79" i="34"/>
  <c r="BI79" i="34"/>
  <c r="I61" i="34"/>
  <c r="BI61" i="34"/>
  <c r="I87" i="34"/>
  <c r="BI87" i="34"/>
  <c r="BI84" i="34"/>
  <c r="I84" i="34"/>
  <c r="D12" i="56"/>
  <c r="F12" i="56"/>
  <c r="D19" i="56"/>
  <c r="F19" i="56"/>
  <c r="D4" i="56"/>
  <c r="F4" i="56"/>
  <c r="F15" i="56"/>
  <c r="D15" i="56"/>
  <c r="F18" i="56"/>
  <c r="D18" i="56"/>
  <c r="F23" i="56"/>
  <c r="D23" i="56"/>
  <c r="D70" i="56"/>
  <c r="F70" i="56"/>
  <c r="D67" i="56"/>
  <c r="F67" i="56"/>
  <c r="D78" i="56"/>
  <c r="F78" i="56"/>
  <c r="D79" i="56"/>
  <c r="F79" i="56"/>
  <c r="D55" i="56"/>
  <c r="F55" i="56"/>
  <c r="F92" i="56"/>
  <c r="D92" i="56"/>
  <c r="D52" i="56"/>
  <c r="F52" i="56"/>
  <c r="F47" i="56"/>
  <c r="D47" i="56"/>
  <c r="D34" i="56"/>
  <c r="F34" i="56"/>
  <c r="BI108" i="34"/>
  <c r="I108" i="34"/>
  <c r="D62" i="58"/>
  <c r="F62" i="58"/>
  <c r="F32" i="58"/>
  <c r="D32" i="58"/>
  <c r="BI56" i="34"/>
  <c r="I56" i="34"/>
  <c r="I114" i="34"/>
  <c r="BI114" i="34"/>
  <c r="I13" i="34"/>
  <c r="BI13" i="34"/>
  <c r="I15" i="34"/>
  <c r="BI15" i="34"/>
  <c r="I72" i="34"/>
  <c r="BI72" i="34"/>
  <c r="BI80" i="34"/>
  <c r="I80" i="34"/>
  <c r="L20" i="38"/>
  <c r="O20" i="38" s="1"/>
  <c r="P4" i="38"/>
  <c r="I51" i="34"/>
  <c r="BI51" i="34"/>
  <c r="I50" i="34"/>
  <c r="BI50" i="34"/>
  <c r="E17" i="35"/>
  <c r="P9" i="39"/>
  <c r="P6" i="39"/>
  <c r="P7" i="37"/>
  <c r="I110" i="34"/>
  <c r="BI110" i="34"/>
  <c r="AA10" i="42"/>
  <c r="AB10" i="42"/>
  <c r="AB9" i="42"/>
  <c r="AA9" i="42"/>
  <c r="W9" i="42" s="1" a="1"/>
  <c r="BI45" i="34"/>
  <c r="I45" i="34"/>
  <c r="D111" i="56"/>
  <c r="F111" i="56"/>
  <c r="F66" i="56"/>
  <c r="D66" i="56"/>
  <c r="F59" i="56"/>
  <c r="D59" i="56"/>
  <c r="D50" i="56"/>
  <c r="F50" i="56"/>
  <c r="D22" i="56"/>
  <c r="F22" i="56"/>
  <c r="D38" i="56"/>
  <c r="F38" i="56"/>
  <c r="D27" i="56"/>
  <c r="F27" i="56"/>
  <c r="D30" i="56"/>
  <c r="F30" i="56"/>
  <c r="D116" i="56"/>
  <c r="F116" i="56"/>
  <c r="D39" i="56"/>
  <c r="F39" i="56"/>
  <c r="F8" i="56"/>
  <c r="D8" i="56"/>
  <c r="D77" i="56"/>
  <c r="F77" i="56"/>
  <c r="F122" i="56"/>
  <c r="D122" i="56"/>
  <c r="F11" i="56"/>
  <c r="D11" i="56"/>
  <c r="D71" i="56"/>
  <c r="F71" i="56"/>
  <c r="BI100" i="34"/>
  <c r="I100" i="34"/>
  <c r="I119" i="34"/>
  <c r="BI119" i="34"/>
  <c r="P13" i="38"/>
  <c r="W13" i="43"/>
  <c r="N18" i="43" s="1"/>
  <c r="P3" i="37"/>
  <c r="L8" i="38"/>
  <c r="O8" i="38" s="1"/>
  <c r="BI31" i="34"/>
  <c r="I31" i="34"/>
  <c r="D122" i="58"/>
  <c r="F122" i="58"/>
  <c r="D104" i="58"/>
  <c r="F104" i="58"/>
  <c r="F91" i="58"/>
  <c r="D91" i="58"/>
  <c r="D98" i="58"/>
  <c r="F98" i="58"/>
  <c r="D58" i="58"/>
  <c r="F58" i="58"/>
  <c r="D105" i="58"/>
  <c r="F105" i="58"/>
  <c r="D13" i="58"/>
  <c r="F13" i="58"/>
  <c r="F31" i="58"/>
  <c r="D31" i="58"/>
  <c r="F42" i="58"/>
  <c r="D42" i="58"/>
  <c r="D101" i="58"/>
  <c r="F101" i="58"/>
  <c r="D116" i="58"/>
  <c r="F116" i="58"/>
  <c r="D27" i="58"/>
  <c r="F27" i="58"/>
  <c r="F10" i="58"/>
  <c r="D10" i="58"/>
  <c r="D19" i="58"/>
  <c r="F19" i="58"/>
  <c r="F14" i="58"/>
  <c r="D14" i="58"/>
  <c r="M19" i="32"/>
  <c r="I3" i="6"/>
  <c r="F15" i="35"/>
  <c r="F16" i="35"/>
  <c r="F17" i="35"/>
  <c r="F14" i="35"/>
  <c r="F13" i="35"/>
  <c r="C10" i="56" l="1"/>
  <c r="C116" i="56"/>
  <c r="C5" i="58"/>
  <c r="C7" i="58"/>
  <c r="C38" i="58"/>
  <c r="C8" i="58"/>
  <c r="C7" i="56"/>
  <c r="C25" i="56"/>
  <c r="C18" i="56"/>
  <c r="C121" i="56"/>
  <c r="C102" i="58"/>
  <c r="C14" i="56"/>
  <c r="C36" i="56"/>
  <c r="C68" i="56"/>
  <c r="C78" i="56"/>
  <c r="C21" i="56"/>
  <c r="C101" i="56"/>
  <c r="C12" i="58"/>
  <c r="C118" i="56"/>
  <c r="C33" i="56"/>
  <c r="C95" i="56"/>
  <c r="C113" i="56"/>
  <c r="C80" i="56"/>
  <c r="C52" i="56"/>
  <c r="C72" i="56"/>
  <c r="C28" i="56"/>
  <c r="C33" i="58"/>
  <c r="C29" i="58"/>
  <c r="C82" i="58"/>
  <c r="C117" i="56"/>
  <c r="C4" i="58" a="1"/>
  <c r="C123" i="58" s="1"/>
  <c r="C4" i="56" a="1"/>
  <c r="C123" i="56" s="1"/>
  <c r="C31" i="56"/>
  <c r="C49" i="56"/>
  <c r="C63" i="56"/>
  <c r="C110" i="58"/>
  <c r="C89" i="56"/>
  <c r="C86" i="58"/>
  <c r="C64" i="56"/>
  <c r="C69" i="58"/>
  <c r="C84" i="58"/>
  <c r="C98" i="58"/>
  <c r="C54" i="56"/>
  <c r="C100" i="58"/>
  <c r="C20" i="56"/>
  <c r="C44" i="56"/>
  <c r="C30" i="58"/>
  <c r="C26" i="58"/>
  <c r="C43" i="56"/>
  <c r="C55" i="56"/>
  <c r="C42" i="58"/>
  <c r="C122" i="56"/>
  <c r="C9" i="56"/>
  <c r="C62" i="56"/>
  <c r="C86" i="56"/>
  <c r="C52" i="58"/>
  <c r="C53" i="56"/>
  <c r="C61" i="58"/>
  <c r="AH191" i="42"/>
  <c r="AH217" i="42"/>
  <c r="AH200" i="42"/>
  <c r="AH178" i="42"/>
  <c r="AH195" i="42"/>
  <c r="AH44" i="42"/>
  <c r="AH167" i="42"/>
  <c r="AH216" i="42"/>
  <c r="AH78" i="42"/>
  <c r="AH183" i="42"/>
  <c r="AH6" i="42"/>
  <c r="AH142" i="42"/>
  <c r="AH133" i="42"/>
  <c r="AH207" i="42"/>
  <c r="AH151" i="42"/>
  <c r="AH156" i="42"/>
  <c r="AH12" i="42"/>
  <c r="AH144" i="42"/>
  <c r="AH143" i="42"/>
  <c r="AH10" i="42"/>
  <c r="AH130" i="42"/>
  <c r="AH251" i="42"/>
  <c r="AH77" i="42"/>
  <c r="AH255" i="42"/>
  <c r="AH3" i="42"/>
  <c r="AH72" i="42"/>
  <c r="AH232" i="42"/>
  <c r="AH148" i="42"/>
  <c r="AH79" i="42"/>
  <c r="AH45" i="42"/>
  <c r="AH103" i="42"/>
  <c r="AH76" i="42"/>
  <c r="AH54" i="42"/>
  <c r="AH117" i="42"/>
  <c r="AH125" i="42"/>
  <c r="AH179" i="42"/>
  <c r="AH85" i="42"/>
  <c r="N29" i="42"/>
  <c r="AH95" i="42"/>
  <c r="AH221" i="42"/>
  <c r="AH239" i="42"/>
  <c r="AH113" i="42"/>
  <c r="AH7" i="42"/>
  <c r="AH180" i="42"/>
  <c r="AH99" i="42"/>
  <c r="AH119" i="42"/>
  <c r="AH13" i="42"/>
  <c r="AH152" i="42"/>
  <c r="AH39" i="42"/>
  <c r="AH57" i="42"/>
  <c r="AH147" i="42"/>
  <c r="AH53" i="42"/>
  <c r="AH205" i="42"/>
  <c r="AH111" i="42"/>
  <c r="AH11" i="42"/>
  <c r="AH88" i="42"/>
  <c r="AH96" i="42"/>
  <c r="AH61" i="42"/>
  <c r="AH98" i="42"/>
  <c r="AH247" i="42"/>
  <c r="AH197" i="42"/>
  <c r="AH32" i="42"/>
  <c r="AH252" i="42"/>
  <c r="AH227" i="42"/>
  <c r="AH105" i="42"/>
  <c r="AH73" i="42"/>
  <c r="AH208" i="42"/>
  <c r="AH41" i="42"/>
  <c r="AH66" i="42"/>
  <c r="AH194" i="42"/>
  <c r="AH62" i="42"/>
  <c r="AH107" i="42"/>
  <c r="AH28" i="42"/>
  <c r="AH219" i="42"/>
  <c r="AH60" i="42"/>
  <c r="AH131" i="42"/>
  <c r="AH140" i="42"/>
  <c r="AH250" i="42"/>
  <c r="AH25" i="42"/>
  <c r="AH146" i="42"/>
  <c r="AH71" i="42"/>
  <c r="AH187" i="42"/>
  <c r="N18" i="42"/>
  <c r="N23" i="42"/>
  <c r="AH29" i="42"/>
  <c r="AH155" i="42"/>
  <c r="AH56" i="42"/>
  <c r="AH134" i="42"/>
  <c r="AH159" i="42"/>
  <c r="AH81" i="42"/>
  <c r="AH145" i="42"/>
  <c r="AH89" i="42"/>
  <c r="AH115" i="42"/>
  <c r="AH201" i="42"/>
  <c r="AH92" i="42"/>
  <c r="AH91" i="42"/>
  <c r="AH236" i="42"/>
  <c r="AH176" i="42"/>
  <c r="AH50" i="42"/>
  <c r="AH126" i="42"/>
  <c r="AH204" i="42"/>
  <c r="AH225" i="42"/>
  <c r="AH69" i="42"/>
  <c r="AH27" i="42"/>
  <c r="AH116" i="42"/>
  <c r="AH118" i="42"/>
  <c r="AH169" i="42"/>
  <c r="AH86" i="42"/>
  <c r="AH67" i="42"/>
  <c r="AH110" i="42"/>
  <c r="AH257" i="42"/>
  <c r="AH211" i="42"/>
  <c r="AH106" i="42"/>
  <c r="AH190" i="42"/>
  <c r="AH215" i="42"/>
  <c r="AH40" i="42"/>
  <c r="AH223" i="42"/>
  <c r="AH202" i="42"/>
  <c r="AH55" i="42"/>
  <c r="AH222" i="42"/>
  <c r="AH230" i="42"/>
  <c r="AH5" i="42"/>
  <c r="AH186" i="42"/>
  <c r="AH161" i="42"/>
  <c r="AH196" i="42"/>
  <c r="AH154" i="42"/>
  <c r="AH114" i="42"/>
  <c r="AH17" i="42"/>
  <c r="AH121" i="42"/>
  <c r="AH210" i="42"/>
  <c r="AH245" i="42"/>
  <c r="AH168" i="42"/>
  <c r="AH84" i="42"/>
  <c r="AH218" i="42"/>
  <c r="AH136" i="42"/>
  <c r="AH80" i="42"/>
  <c r="AH203" i="42"/>
  <c r="AH259" i="42"/>
  <c r="AH16" i="42"/>
  <c r="AH181" i="42"/>
  <c r="AH49" i="42"/>
  <c r="AH254" i="42"/>
  <c r="AH63" i="42"/>
  <c r="AH243" i="42"/>
  <c r="AH164" i="42"/>
  <c r="AH23" i="42"/>
  <c r="AH35" i="42"/>
  <c r="AH214" i="42"/>
  <c r="AH206" i="42"/>
  <c r="AH242" i="42"/>
  <c r="AH46" i="42"/>
  <c r="AH135" i="42"/>
  <c r="AH170" i="42"/>
  <c r="AH104" i="42"/>
  <c r="AH42" i="42"/>
  <c r="AH182" i="42"/>
  <c r="AH163" i="42"/>
  <c r="AH68" i="42"/>
  <c r="AH253" i="42"/>
  <c r="AH199" i="42"/>
  <c r="AH209" i="42"/>
  <c r="AH153" i="42"/>
  <c r="AH166" i="42"/>
  <c r="AH220" i="42"/>
  <c r="N17" i="42"/>
  <c r="AH212" i="42"/>
  <c r="AH83" i="42"/>
  <c r="AH233" i="42"/>
  <c r="AH22" i="42"/>
  <c r="AH229" i="42"/>
  <c r="AH150" i="42"/>
  <c r="AH248" i="42"/>
  <c r="AH30" i="42"/>
  <c r="AH256" i="42"/>
  <c r="AH238" i="42"/>
  <c r="AH4" i="42"/>
  <c r="AH43" i="42"/>
  <c r="AH193" i="42"/>
  <c r="AH112" i="42"/>
  <c r="AH235" i="42"/>
  <c r="AH59" i="42"/>
  <c r="AH177" i="42"/>
  <c r="AH14" i="42"/>
  <c r="AH138" i="42"/>
  <c r="AH87" i="42"/>
  <c r="AH160" i="42"/>
  <c r="AH19" i="42"/>
  <c r="AH20" i="42"/>
  <c r="AH101" i="42"/>
  <c r="AH48" i="42"/>
  <c r="AH52" i="42"/>
  <c r="AH123" i="42"/>
  <c r="AH34" i="42"/>
  <c r="AH90" i="42"/>
  <c r="AH132" i="42"/>
  <c r="AH127" i="42"/>
  <c r="AH120" i="42"/>
  <c r="AH234" i="42"/>
  <c r="AH128" i="42"/>
  <c r="AH157" i="42"/>
  <c r="AH26" i="42"/>
  <c r="AH184" i="42"/>
  <c r="AH8" i="42"/>
  <c r="AH93" i="42"/>
  <c r="AH122" i="42"/>
  <c r="AH137" i="42"/>
  <c r="AH31" i="42"/>
  <c r="AH231" i="42"/>
  <c r="AH97" i="42"/>
  <c r="AH185" i="42"/>
  <c r="AH47" i="42"/>
  <c r="AH74" i="42"/>
  <c r="AH198" i="42"/>
  <c r="AH139" i="42"/>
  <c r="AH64" i="42"/>
  <c r="AH51" i="42"/>
  <c r="AH213" i="42"/>
  <c r="AH9" i="42"/>
  <c r="AH240" i="42"/>
  <c r="AH102" i="42"/>
  <c r="AH149" i="42"/>
  <c r="AH94" i="42"/>
  <c r="AH174" i="42"/>
  <c r="AH172" i="42"/>
  <c r="AH249" i="42"/>
  <c r="AH21" i="42"/>
  <c r="AH175" i="42"/>
  <c r="AH171" i="42"/>
  <c r="AH158" i="42"/>
  <c r="AH165" i="42"/>
  <c r="AH24" i="42"/>
  <c r="AH192" i="42"/>
  <c r="AH108" i="42"/>
  <c r="AH246" i="42"/>
  <c r="AH224" i="42"/>
  <c r="AH70" i="42"/>
  <c r="AH124" i="42"/>
  <c r="AH129" i="42"/>
  <c r="AH65" i="42"/>
  <c r="AH58" i="42"/>
  <c r="AH226" i="42"/>
  <c r="AH189" i="42"/>
  <c r="AH109" i="42"/>
  <c r="AH188" i="42"/>
  <c r="AH241" i="42"/>
  <c r="AH37" i="42"/>
  <c r="AH173" i="42"/>
  <c r="AH162" i="42"/>
  <c r="AH33" i="42"/>
  <c r="AH82" i="42"/>
  <c r="AH258" i="42"/>
  <c r="AH228" i="42"/>
  <c r="AH38" i="42"/>
  <c r="AH75" i="42"/>
  <c r="AH244" i="42"/>
  <c r="AH18" i="42"/>
  <c r="AH36" i="42"/>
  <c r="AH15" i="42"/>
  <c r="AH237" i="42"/>
  <c r="AH100" i="42"/>
  <c r="AH141" i="42"/>
  <c r="N20" i="42"/>
  <c r="N15" i="42"/>
  <c r="N25" i="42"/>
  <c r="N22" i="42"/>
  <c r="N30" i="42"/>
  <c r="N21" i="42"/>
  <c r="N27" i="42"/>
  <c r="N16" i="42"/>
  <c r="N24" i="42"/>
  <c r="N28" i="42"/>
  <c r="N19" i="42"/>
  <c r="N22" i="43"/>
  <c r="M10" i="34"/>
  <c r="M21" i="34"/>
  <c r="N16" i="44"/>
  <c r="N16" i="43"/>
  <c r="J3" i="43"/>
  <c r="N23" i="43"/>
  <c r="M56" i="34"/>
  <c r="N15" i="44"/>
  <c r="BK100" i="34"/>
  <c r="BK108" i="34"/>
  <c r="M90" i="34"/>
  <c r="M22" i="34"/>
  <c r="M95" i="34"/>
  <c r="BK25" i="34"/>
  <c r="BK37" i="34"/>
  <c r="M55" i="34"/>
  <c r="M128" i="34"/>
  <c r="M87" i="34"/>
  <c r="BK98" i="34"/>
  <c r="BK117" i="34"/>
  <c r="BK81" i="34"/>
  <c r="M76" i="34"/>
  <c r="BK43" i="34"/>
  <c r="BK30" i="34"/>
  <c r="BK36" i="34"/>
  <c r="BK61" i="34"/>
  <c r="BK34" i="34"/>
  <c r="BK113" i="34"/>
  <c r="M80" i="34"/>
  <c r="BK119" i="34"/>
  <c r="S5" i="45"/>
  <c r="S4" i="45"/>
  <c r="S3" i="45"/>
  <c r="BK105" i="34"/>
  <c r="BK50" i="34"/>
  <c r="BK72" i="34"/>
  <c r="BK114" i="34"/>
  <c r="M31" i="34"/>
  <c r="M100" i="34"/>
  <c r="M45" i="34"/>
  <c r="M110" i="34"/>
  <c r="M50" i="34"/>
  <c r="M72" i="34"/>
  <c r="M114" i="34"/>
  <c r="M108" i="34"/>
  <c r="M84" i="34"/>
  <c r="BK41" i="34"/>
  <c r="BK90" i="34"/>
  <c r="BK116" i="34"/>
  <c r="BK21" i="34"/>
  <c r="BK123" i="34"/>
  <c r="M106" i="34"/>
  <c r="BK38" i="34"/>
  <c r="M28" i="34"/>
  <c r="BK77" i="34"/>
  <c r="M32" i="34"/>
  <c r="N19" i="44"/>
  <c r="BK70" i="34"/>
  <c r="M68" i="34"/>
  <c r="BK59" i="34"/>
  <c r="BK54" i="34"/>
  <c r="M88" i="34"/>
  <c r="M24" i="34"/>
  <c r="M103" i="34"/>
  <c r="BK53" i="34"/>
  <c r="BK85" i="34"/>
  <c r="M57" i="34"/>
  <c r="N21" i="43"/>
  <c r="M101" i="34"/>
  <c r="BK17" i="34"/>
  <c r="E82" i="56"/>
  <c r="E85" i="56"/>
  <c r="E118" i="56"/>
  <c r="E100" i="56"/>
  <c r="E44" i="56"/>
  <c r="E12" i="56"/>
  <c r="E4" i="56"/>
  <c r="E61" i="56"/>
  <c r="E47" i="56"/>
  <c r="E115" i="56"/>
  <c r="E43" i="56"/>
  <c r="E107" i="56"/>
  <c r="E112" i="56"/>
  <c r="E84" i="56"/>
  <c r="E48" i="56"/>
  <c r="E18" i="56"/>
  <c r="E54" i="56"/>
  <c r="E15" i="56"/>
  <c r="E64" i="56"/>
  <c r="E52" i="56"/>
  <c r="E80" i="56"/>
  <c r="E67" i="56"/>
  <c r="E10" i="56"/>
  <c r="E117" i="56"/>
  <c r="E31" i="56"/>
  <c r="E113" i="56"/>
  <c r="E63" i="56"/>
  <c r="E122" i="56"/>
  <c r="E23" i="56"/>
  <c r="E65" i="56"/>
  <c r="E77" i="56"/>
  <c r="E41" i="56"/>
  <c r="E73" i="56"/>
  <c r="E7" i="56"/>
  <c r="E76" i="56"/>
  <c r="E102" i="56"/>
  <c r="E111" i="56"/>
  <c r="E33" i="56"/>
  <c r="E83" i="56"/>
  <c r="E55" i="56"/>
  <c r="E40" i="56"/>
  <c r="E34" i="56"/>
  <c r="E70" i="56"/>
  <c r="E14" i="56"/>
  <c r="E79" i="56"/>
  <c r="E49" i="56"/>
  <c r="E27" i="56"/>
  <c r="E120" i="56"/>
  <c r="E51" i="56"/>
  <c r="E53" i="56"/>
  <c r="E71" i="56"/>
  <c r="E90" i="56"/>
  <c r="E30" i="56"/>
  <c r="E101" i="56"/>
  <c r="E103" i="56"/>
  <c r="E35" i="56"/>
  <c r="E39" i="56"/>
  <c r="E42" i="56"/>
  <c r="E89" i="56"/>
  <c r="E99" i="56"/>
  <c r="E108" i="56"/>
  <c r="E109" i="56"/>
  <c r="E45" i="56"/>
  <c r="E37" i="56"/>
  <c r="E38" i="56"/>
  <c r="E91" i="56"/>
  <c r="E110" i="56"/>
  <c r="E62" i="56"/>
  <c r="E16" i="56"/>
  <c r="E22" i="56"/>
  <c r="E21" i="56"/>
  <c r="E8" i="56"/>
  <c r="E106" i="56"/>
  <c r="E36" i="56"/>
  <c r="E69" i="56"/>
  <c r="E95" i="56"/>
  <c r="E58" i="56"/>
  <c r="E78" i="56"/>
  <c r="E87" i="56"/>
  <c r="E75" i="56"/>
  <c r="E32" i="56"/>
  <c r="E116" i="56"/>
  <c r="E68" i="56"/>
  <c r="E29" i="56"/>
  <c r="E20" i="56"/>
  <c r="E96" i="56"/>
  <c r="E121" i="56"/>
  <c r="E56" i="56"/>
  <c r="E94" i="56"/>
  <c r="E81" i="56"/>
  <c r="E105" i="56"/>
  <c r="E19" i="56"/>
  <c r="E114" i="56"/>
  <c r="E6" i="56"/>
  <c r="E46" i="56"/>
  <c r="E50" i="56"/>
  <c r="E88" i="56"/>
  <c r="E104" i="56"/>
  <c r="E119" i="56"/>
  <c r="E86" i="56"/>
  <c r="E59" i="56"/>
  <c r="E66" i="56"/>
  <c r="E123" i="56"/>
  <c r="E17" i="56"/>
  <c r="E11" i="56"/>
  <c r="E24" i="56"/>
  <c r="E9" i="56"/>
  <c r="E28" i="56"/>
  <c r="E93" i="56"/>
  <c r="E74" i="56"/>
  <c r="E60" i="56"/>
  <c r="E57" i="56"/>
  <c r="E13" i="56"/>
  <c r="E5" i="56"/>
  <c r="E97" i="56"/>
  <c r="E26" i="56"/>
  <c r="E92" i="56"/>
  <c r="E25" i="56"/>
  <c r="E98" i="56"/>
  <c r="E72" i="56"/>
  <c r="BK120" i="34"/>
  <c r="J18" i="45"/>
  <c r="BK42" i="34"/>
  <c r="BK65" i="34"/>
  <c r="BK10" i="34"/>
  <c r="M69" i="34"/>
  <c r="M129" i="34"/>
  <c r="M83" i="34"/>
  <c r="BK51" i="34"/>
  <c r="M116" i="34"/>
  <c r="BK106" i="34"/>
  <c r="M124" i="34"/>
  <c r="BK101" i="34"/>
  <c r="M29" i="34"/>
  <c r="M51" i="34"/>
  <c r="BK73" i="34"/>
  <c r="W9" i="43"/>
  <c r="W10" i="43"/>
  <c r="M102" i="34"/>
  <c r="M125" i="34"/>
  <c r="BK128" i="34"/>
  <c r="M98" i="34"/>
  <c r="M117" i="34"/>
  <c r="M126" i="34"/>
  <c r="BK121" i="34"/>
  <c r="N21" i="44"/>
  <c r="M107" i="34"/>
  <c r="BK66" i="34"/>
  <c r="M127" i="34"/>
  <c r="BK125" i="34"/>
  <c r="M16" i="34"/>
  <c r="M89" i="34"/>
  <c r="M7" i="34"/>
  <c r="M118" i="34"/>
  <c r="BK14" i="34"/>
  <c r="M52" i="34"/>
  <c r="BK20" i="34"/>
  <c r="BK92" i="34"/>
  <c r="BK76" i="34"/>
  <c r="BK40" i="34"/>
  <c r="BK63" i="34"/>
  <c r="BK12" i="34"/>
  <c r="M19" i="34"/>
  <c r="M9" i="34"/>
  <c r="BK99" i="34"/>
  <c r="J15" i="45"/>
  <c r="M11" i="34"/>
  <c r="BK84" i="34"/>
  <c r="M25" i="34"/>
  <c r="BK88" i="34"/>
  <c r="M73" i="34"/>
  <c r="BK129" i="34"/>
  <c r="M121" i="34"/>
  <c r="M92" i="34"/>
  <c r="M12" i="34"/>
  <c r="BK102" i="34"/>
  <c r="S9" i="45"/>
  <c r="S10" i="45"/>
  <c r="Q5" i="34"/>
  <c r="M18" i="34"/>
  <c r="BK48" i="34"/>
  <c r="BK126" i="34"/>
  <c r="M111" i="34"/>
  <c r="BK46" i="34"/>
  <c r="E63" i="58"/>
  <c r="E30" i="58"/>
  <c r="E71" i="58"/>
  <c r="E58" i="58"/>
  <c r="E119" i="58"/>
  <c r="E57" i="58"/>
  <c r="E9" i="58"/>
  <c r="E18" i="58"/>
  <c r="E111" i="58"/>
  <c r="E39" i="58"/>
  <c r="E112" i="58"/>
  <c r="E49" i="58"/>
  <c r="E76" i="58"/>
  <c r="E98" i="58"/>
  <c r="E114" i="58"/>
  <c r="E7" i="58"/>
  <c r="E105" i="58"/>
  <c r="E121" i="58"/>
  <c r="E54" i="58"/>
  <c r="E10" i="58"/>
  <c r="E27" i="58"/>
  <c r="E21" i="58"/>
  <c r="E69" i="58"/>
  <c r="E14" i="58"/>
  <c r="E117" i="58"/>
  <c r="E11" i="58"/>
  <c r="E66" i="58"/>
  <c r="E78" i="58"/>
  <c r="E53" i="58"/>
  <c r="E85" i="58"/>
  <c r="E97" i="58"/>
  <c r="E38" i="58"/>
  <c r="E51" i="58"/>
  <c r="E94" i="58"/>
  <c r="E60" i="58"/>
  <c r="E4" i="58"/>
  <c r="E91" i="58"/>
  <c r="E100" i="58"/>
  <c r="E93" i="58"/>
  <c r="E59" i="58"/>
  <c r="E107" i="58"/>
  <c r="E118" i="58"/>
  <c r="E42" i="58"/>
  <c r="E26" i="58"/>
  <c r="E15" i="58"/>
  <c r="E115" i="58"/>
  <c r="E32" i="58"/>
  <c r="E77" i="58"/>
  <c r="E33" i="58"/>
  <c r="E8" i="58"/>
  <c r="E82" i="58"/>
  <c r="E80" i="58"/>
  <c r="E84" i="58"/>
  <c r="E81" i="58"/>
  <c r="E48" i="58"/>
  <c r="E90" i="58"/>
  <c r="E50" i="58"/>
  <c r="E116" i="58"/>
  <c r="E61" i="58"/>
  <c r="E13" i="58"/>
  <c r="E86" i="58"/>
  <c r="E120" i="58"/>
  <c r="E113" i="58"/>
  <c r="E43" i="58"/>
  <c r="E34" i="58"/>
  <c r="E88" i="58"/>
  <c r="E24" i="58"/>
  <c r="E122" i="58"/>
  <c r="E73" i="58"/>
  <c r="E89" i="58"/>
  <c r="E5" i="58"/>
  <c r="E109" i="58"/>
  <c r="E72" i="58"/>
  <c r="E74" i="58"/>
  <c r="E44" i="58"/>
  <c r="E40" i="58"/>
  <c r="E25" i="58"/>
  <c r="E101" i="58"/>
  <c r="E55" i="58"/>
  <c r="E67" i="58"/>
  <c r="E103" i="58"/>
  <c r="E52" i="58"/>
  <c r="E108" i="58"/>
  <c r="E45" i="58"/>
  <c r="E47" i="58"/>
  <c r="E62" i="58"/>
  <c r="E41" i="58"/>
  <c r="E31" i="58"/>
  <c r="E23" i="58"/>
  <c r="E22" i="58"/>
  <c r="E29" i="58"/>
  <c r="E102" i="58"/>
  <c r="E56" i="58"/>
  <c r="E64" i="58"/>
  <c r="E28" i="58"/>
  <c r="E123" i="58"/>
  <c r="E36" i="58"/>
  <c r="E99" i="58"/>
  <c r="E79" i="58"/>
  <c r="E6" i="58"/>
  <c r="E110" i="58"/>
  <c r="E12" i="58"/>
  <c r="E20" i="58"/>
  <c r="E19" i="58"/>
  <c r="E35" i="58"/>
  <c r="E75" i="58"/>
  <c r="E17" i="58"/>
  <c r="E70" i="58"/>
  <c r="E104" i="58"/>
  <c r="E46" i="58"/>
  <c r="E68" i="58"/>
  <c r="E37" i="58"/>
  <c r="E87" i="58"/>
  <c r="E106" i="58"/>
  <c r="E16" i="58"/>
  <c r="E65" i="58"/>
  <c r="E92" i="58"/>
  <c r="E95" i="58"/>
  <c r="E96" i="58"/>
  <c r="E83" i="58"/>
  <c r="BK93" i="34"/>
  <c r="M109" i="34"/>
  <c r="BK127" i="34"/>
  <c r="N17" i="43"/>
  <c r="BK89" i="34"/>
  <c r="BK7" i="34"/>
  <c r="BK118" i="34"/>
  <c r="M14" i="34"/>
  <c r="M71" i="34"/>
  <c r="M20" i="34"/>
  <c r="M60" i="34"/>
  <c r="W4" i="43"/>
  <c r="W3" i="43"/>
  <c r="W5" i="43"/>
  <c r="M40" i="34"/>
  <c r="M63" i="34"/>
  <c r="BK19" i="34"/>
  <c r="N24" i="43"/>
  <c r="M99" i="34"/>
  <c r="BK82" i="34"/>
  <c r="BK11" i="34"/>
  <c r="BK31" i="34"/>
  <c r="BK15" i="34"/>
  <c r="BK115" i="34"/>
  <c r="BK22" i="34"/>
  <c r="M37" i="34"/>
  <c r="BK26" i="34"/>
  <c r="BK55" i="34"/>
  <c r="BK103" i="34"/>
  <c r="M53" i="34"/>
  <c r="BK58" i="34"/>
  <c r="BK57" i="34"/>
  <c r="W3" i="44"/>
  <c r="W4" i="44"/>
  <c r="W5" i="44"/>
  <c r="W3" i="42"/>
  <c r="W5" i="42"/>
  <c r="W4" i="42"/>
  <c r="BK74" i="34"/>
  <c r="M94" i="34"/>
  <c r="M58" i="34"/>
  <c r="M43" i="34"/>
  <c r="M30" i="34"/>
  <c r="M36" i="34"/>
  <c r="M113" i="34"/>
  <c r="BK95" i="34"/>
  <c r="BK107" i="34"/>
  <c r="BK94" i="34"/>
  <c r="BK9" i="34"/>
  <c r="BK4" i="34"/>
  <c r="E15" i="33" s="1"/>
  <c r="BK1" i="34"/>
  <c r="D15" i="33" s="1"/>
  <c r="BK18" i="34"/>
  <c r="BK6" i="34"/>
  <c r="M48" i="34"/>
  <c r="BK35" i="34"/>
  <c r="BK111" i="34"/>
  <c r="M46" i="34"/>
  <c r="M104" i="34"/>
  <c r="M93" i="34"/>
  <c r="BK109" i="34"/>
  <c r="M86" i="34"/>
  <c r="BK122" i="34"/>
  <c r="BK39" i="34"/>
  <c r="BK44" i="34"/>
  <c r="N20" i="43"/>
  <c r="BK71" i="34"/>
  <c r="M8" i="34"/>
  <c r="BK60" i="34"/>
  <c r="M96" i="34"/>
  <c r="M62" i="34"/>
  <c r="M75" i="34"/>
  <c r="M64" i="34"/>
  <c r="BK23" i="34"/>
  <c r="BK47" i="34"/>
  <c r="M67" i="34"/>
  <c r="BK112" i="34"/>
  <c r="M82" i="34"/>
  <c r="BK33" i="34"/>
  <c r="BK78" i="34"/>
  <c r="BK45" i="34"/>
  <c r="M123" i="34"/>
  <c r="M77" i="34"/>
  <c r="M59" i="34"/>
  <c r="BK24" i="34"/>
  <c r="M85" i="34"/>
  <c r="M120" i="34"/>
  <c r="M42" i="34"/>
  <c r="BK83" i="34"/>
  <c r="M15" i="34"/>
  <c r="BK56" i="34"/>
  <c r="BK87" i="34"/>
  <c r="M115" i="34"/>
  <c r="BK124" i="34"/>
  <c r="M26" i="34"/>
  <c r="M81" i="34"/>
  <c r="BK97" i="34"/>
  <c r="F4" i="45" a="1"/>
  <c r="F3" i="45"/>
  <c r="BK29" i="34"/>
  <c r="AH15" i="44"/>
  <c r="AH21" i="44"/>
  <c r="AH16" i="44"/>
  <c r="AH50" i="44"/>
  <c r="AH40" i="44"/>
  <c r="AH61" i="44"/>
  <c r="AH24" i="44"/>
  <c r="AH3" i="44"/>
  <c r="AH63" i="44"/>
  <c r="AH30" i="44"/>
  <c r="AH46" i="44"/>
  <c r="AH44" i="44"/>
  <c r="AH5" i="44"/>
  <c r="AH45" i="44"/>
  <c r="AH7" i="44"/>
  <c r="AH55" i="44"/>
  <c r="AH65" i="44"/>
  <c r="AH26" i="44"/>
  <c r="AH47" i="44"/>
  <c r="AH31" i="44"/>
  <c r="AH34" i="44"/>
  <c r="AH28" i="44"/>
  <c r="AH48" i="44"/>
  <c r="AH12" i="44"/>
  <c r="AH56" i="44"/>
  <c r="AH18" i="44"/>
  <c r="AH38" i="44"/>
  <c r="AH23" i="44"/>
  <c r="AH39" i="44"/>
  <c r="AH25" i="44"/>
  <c r="AH42" i="44"/>
  <c r="AH6" i="44"/>
  <c r="AH32" i="44"/>
  <c r="AH10" i="44"/>
  <c r="AH29" i="44"/>
  <c r="AH11" i="44"/>
  <c r="AH35" i="44"/>
  <c r="AH13" i="44"/>
  <c r="AH52" i="44"/>
  <c r="AH57" i="44"/>
  <c r="AH8" i="44"/>
  <c r="AH19" i="44"/>
  <c r="AH43" i="44"/>
  <c r="AH53" i="44"/>
  <c r="AH33" i="44"/>
  <c r="AH54" i="44"/>
  <c r="AH62" i="44"/>
  <c r="AH37" i="44"/>
  <c r="AH49" i="44"/>
  <c r="AH51" i="44"/>
  <c r="AH41" i="44"/>
  <c r="AH59" i="44"/>
  <c r="AH17" i="44"/>
  <c r="AH58" i="44"/>
  <c r="AH27" i="44"/>
  <c r="AH14" i="44"/>
  <c r="AH36" i="44"/>
  <c r="AH22" i="44"/>
  <c r="AH4" i="44"/>
  <c r="AH64" i="44"/>
  <c r="AH60" i="44"/>
  <c r="AH9" i="44"/>
  <c r="AH20" i="44"/>
  <c r="W10" i="42"/>
  <c r="W9" i="42"/>
  <c r="BK13" i="34"/>
  <c r="M34" i="34"/>
  <c r="M74" i="34"/>
  <c r="J17" i="45"/>
  <c r="AD23" i="45"/>
  <c r="AD13" i="45"/>
  <c r="AD16" i="45"/>
  <c r="AD17" i="45"/>
  <c r="AD18" i="45"/>
  <c r="AD11" i="45"/>
  <c r="AD9" i="45"/>
  <c r="AD19" i="45"/>
  <c r="AD25" i="45"/>
  <c r="AD5" i="45"/>
  <c r="AD22" i="45"/>
  <c r="AD21" i="45"/>
  <c r="AD14" i="45"/>
  <c r="AD10" i="45"/>
  <c r="AD24" i="45"/>
  <c r="AD3" i="45"/>
  <c r="AD15" i="45"/>
  <c r="AD26" i="45"/>
  <c r="AD6" i="45"/>
  <c r="AD4" i="45"/>
  <c r="AD7" i="45"/>
  <c r="AD12" i="45"/>
  <c r="AD20" i="45"/>
  <c r="AD8" i="45"/>
  <c r="M66" i="34"/>
  <c r="J19" i="45"/>
  <c r="BK16" i="34"/>
  <c r="BK52" i="34"/>
  <c r="M97" i="34"/>
  <c r="N19" i="43"/>
  <c r="AH112" i="43"/>
  <c r="AH84" i="43"/>
  <c r="AH31" i="43"/>
  <c r="AH41" i="43"/>
  <c r="AH125" i="43"/>
  <c r="AH83" i="43"/>
  <c r="AH57" i="43"/>
  <c r="AH23" i="43"/>
  <c r="AH26" i="43"/>
  <c r="AH65" i="43"/>
  <c r="AH121" i="43"/>
  <c r="AH49" i="43"/>
  <c r="AH63" i="43"/>
  <c r="AH66" i="43"/>
  <c r="AH44" i="43"/>
  <c r="AH114" i="43"/>
  <c r="AH69" i="43"/>
  <c r="AH106" i="43"/>
  <c r="AH14" i="43"/>
  <c r="AH15" i="43"/>
  <c r="AH38" i="43"/>
  <c r="AH5" i="43"/>
  <c r="AH32" i="43"/>
  <c r="AH50" i="43"/>
  <c r="AH93" i="43"/>
  <c r="AH42" i="43"/>
  <c r="AH104" i="43"/>
  <c r="AH52" i="43"/>
  <c r="AH9" i="43"/>
  <c r="AH128" i="43"/>
  <c r="AH37" i="43"/>
  <c r="AH46" i="43"/>
  <c r="AH130" i="43"/>
  <c r="AH33" i="43"/>
  <c r="AH43" i="43"/>
  <c r="AH12" i="43"/>
  <c r="AH18" i="43"/>
  <c r="AH87" i="43"/>
  <c r="AH48" i="43"/>
  <c r="AH7" i="43"/>
  <c r="AH102" i="43"/>
  <c r="AH47" i="43"/>
  <c r="AH100" i="43"/>
  <c r="AH107" i="43"/>
  <c r="AH111" i="43"/>
  <c r="AH120" i="43"/>
  <c r="AH19" i="43"/>
  <c r="AH22" i="43"/>
  <c r="AH119" i="43"/>
  <c r="AH126" i="43"/>
  <c r="AH11" i="43"/>
  <c r="AH25" i="43"/>
  <c r="AH85" i="43"/>
  <c r="AH40" i="43"/>
  <c r="AH76" i="43"/>
  <c r="AH91" i="43"/>
  <c r="AH123" i="43"/>
  <c r="AH64" i="43"/>
  <c r="AH72" i="43"/>
  <c r="AH36" i="43"/>
  <c r="AH29" i="43"/>
  <c r="AH103" i="43"/>
  <c r="AH67" i="43"/>
  <c r="AH6" i="43"/>
  <c r="AH75" i="43"/>
  <c r="AH81" i="43"/>
  <c r="AH113" i="43"/>
  <c r="AH27" i="43"/>
  <c r="AH4" i="43"/>
  <c r="AH61" i="43"/>
  <c r="AH122" i="43"/>
  <c r="AH74" i="43"/>
  <c r="AH28" i="43"/>
  <c r="AH39" i="43"/>
  <c r="AH105" i="43"/>
  <c r="AH97" i="43"/>
  <c r="AH54" i="43"/>
  <c r="AH55" i="43"/>
  <c r="AH78" i="43"/>
  <c r="AH34" i="43"/>
  <c r="AH96" i="43"/>
  <c r="AH77" i="43"/>
  <c r="AH90" i="43"/>
  <c r="AH115" i="43"/>
  <c r="AH86" i="43"/>
  <c r="AH92" i="43"/>
  <c r="AH10" i="43"/>
  <c r="AH53" i="43"/>
  <c r="AH110" i="43"/>
  <c r="AH68" i="43"/>
  <c r="AH127" i="43"/>
  <c r="AH70" i="43"/>
  <c r="AH56" i="43"/>
  <c r="AH21" i="43"/>
  <c r="AH20" i="43"/>
  <c r="AH73" i="43"/>
  <c r="AH16" i="43"/>
  <c r="AH13" i="43"/>
  <c r="AH30" i="43"/>
  <c r="AH35" i="43"/>
  <c r="AH62" i="43"/>
  <c r="AH101" i="43"/>
  <c r="AH8" i="43"/>
  <c r="AH109" i="43"/>
  <c r="AH129" i="43"/>
  <c r="AH116" i="43"/>
  <c r="AH94" i="43"/>
  <c r="AH17" i="43"/>
  <c r="AH95" i="43"/>
  <c r="AH124" i="43"/>
  <c r="AH82" i="43"/>
  <c r="AH80" i="43"/>
  <c r="AH99" i="43"/>
  <c r="AH131" i="43"/>
  <c r="AH89" i="43"/>
  <c r="AH118" i="43"/>
  <c r="AH3" i="43"/>
  <c r="AH88" i="43"/>
  <c r="AH98" i="43"/>
  <c r="AH58" i="43"/>
  <c r="AH45" i="43"/>
  <c r="AH79" i="43"/>
  <c r="AH108" i="43"/>
  <c r="AH132" i="43"/>
  <c r="AH59" i="43"/>
  <c r="AH71" i="43"/>
  <c r="AH60" i="43"/>
  <c r="AH117" i="43"/>
  <c r="AH51" i="43"/>
  <c r="AH24" i="43"/>
  <c r="M13" i="34"/>
  <c r="M61" i="34"/>
  <c r="BK49" i="34"/>
  <c r="BK80" i="34"/>
  <c r="BK79" i="34"/>
  <c r="M49" i="34"/>
  <c r="BK91" i="34"/>
  <c r="M27" i="34"/>
  <c r="M119" i="34"/>
  <c r="BK110" i="34"/>
  <c r="M79" i="34"/>
  <c r="M41" i="34"/>
  <c r="M91" i="34"/>
  <c r="BK27" i="34"/>
  <c r="M105" i="34"/>
  <c r="M6" i="34"/>
  <c r="N17" i="44"/>
  <c r="M35" i="34"/>
  <c r="M38" i="34"/>
  <c r="BK28" i="34"/>
  <c r="BK104" i="34"/>
  <c r="W10" i="44"/>
  <c r="W9" i="44"/>
  <c r="BK32" i="34"/>
  <c r="BK86" i="34"/>
  <c r="M70" i="34"/>
  <c r="M122" i="34"/>
  <c r="BK68" i="34"/>
  <c r="M39" i="34"/>
  <c r="M54" i="34"/>
  <c r="N20" i="44"/>
  <c r="M44" i="34"/>
  <c r="N15" i="43"/>
  <c r="BK8" i="34"/>
  <c r="BK96" i="34"/>
  <c r="BK62" i="34"/>
  <c r="M17" i="34"/>
  <c r="BK75" i="34"/>
  <c r="BK64" i="34"/>
  <c r="M23" i="34"/>
  <c r="M47" i="34"/>
  <c r="M65" i="34"/>
  <c r="BK67" i="34"/>
  <c r="M112" i="34"/>
  <c r="BK69" i="34"/>
  <c r="M33" i="34"/>
  <c r="M78" i="34"/>
  <c r="AB3" i="15"/>
  <c r="BJ102" i="34"/>
  <c r="BJ111" i="34"/>
  <c r="BJ60" i="34"/>
  <c r="BJ129" i="34"/>
  <c r="BJ125" i="34"/>
  <c r="BJ30" i="34"/>
  <c r="BJ8" i="34"/>
  <c r="BJ117" i="34"/>
  <c r="BJ107" i="34"/>
  <c r="BJ110" i="34"/>
  <c r="BJ67" i="34"/>
  <c r="BJ40" i="34"/>
  <c r="BJ124" i="34"/>
  <c r="BJ74" i="34"/>
  <c r="BJ36" i="34"/>
  <c r="BJ32" i="34"/>
  <c r="BJ66" i="34"/>
  <c r="BJ122" i="34"/>
  <c r="BJ106" i="34"/>
  <c r="BJ127" i="34"/>
  <c r="BJ69" i="34"/>
  <c r="BJ22" i="34"/>
  <c r="BJ79" i="34"/>
  <c r="BJ85" i="34"/>
  <c r="BJ17" i="34"/>
  <c r="BJ75" i="34"/>
  <c r="BJ47" i="34"/>
  <c r="BJ118" i="34"/>
  <c r="BJ12" i="34"/>
  <c r="BJ48" i="34"/>
  <c r="BJ29" i="34"/>
  <c r="BJ65" i="34"/>
  <c r="BJ35" i="34"/>
  <c r="BJ64" i="34"/>
  <c r="BJ7" i="34"/>
  <c r="BJ87" i="34"/>
  <c r="BJ88" i="34"/>
  <c r="BJ52" i="34"/>
  <c r="BJ53" i="34"/>
  <c r="BJ83" i="34"/>
  <c r="BJ9" i="34"/>
  <c r="BJ28" i="34"/>
  <c r="BJ76" i="34"/>
  <c r="BJ57" i="34"/>
  <c r="BJ113" i="34"/>
  <c r="BJ25" i="34"/>
  <c r="BJ77" i="34"/>
  <c r="BJ119" i="34"/>
  <c r="BJ27" i="34"/>
  <c r="BJ103" i="34"/>
  <c r="BJ126" i="34"/>
  <c r="BJ109" i="34"/>
  <c r="BJ43" i="34"/>
  <c r="BJ61" i="34"/>
  <c r="BJ41" i="34"/>
  <c r="BJ13" i="34"/>
  <c r="BJ50" i="34"/>
  <c r="BJ49" i="34"/>
  <c r="BJ34" i="34"/>
  <c r="BJ18" i="34"/>
  <c r="BJ54" i="34"/>
  <c r="BJ56" i="34"/>
  <c r="BJ120" i="34"/>
  <c r="BJ73" i="34"/>
  <c r="BJ68" i="34"/>
  <c r="BJ70" i="34"/>
  <c r="BJ39" i="34"/>
  <c r="BJ51" i="34"/>
  <c r="BJ63" i="34"/>
  <c r="BJ23" i="34"/>
  <c r="BJ108" i="34"/>
  <c r="BJ26" i="34"/>
  <c r="BJ59" i="34"/>
  <c r="BJ97" i="34"/>
  <c r="BJ11" i="34"/>
  <c r="BJ123" i="34"/>
  <c r="BJ92" i="34"/>
  <c r="BJ90" i="34"/>
  <c r="BJ46" i="34"/>
  <c r="BJ55" i="34"/>
  <c r="BJ91" i="34"/>
  <c r="BJ14" i="34"/>
  <c r="BJ10" i="34"/>
  <c r="BJ24" i="34"/>
  <c r="BJ112" i="34"/>
  <c r="BJ121" i="34"/>
  <c r="BJ101" i="34"/>
  <c r="BJ33" i="34"/>
  <c r="BJ93" i="34"/>
  <c r="BJ38" i="34"/>
  <c r="BJ58" i="34"/>
  <c r="BJ89" i="34"/>
  <c r="BJ86" i="34"/>
  <c r="BJ44" i="34"/>
  <c r="BJ72" i="34"/>
  <c r="BJ128" i="34"/>
  <c r="BJ98" i="34"/>
  <c r="BJ104" i="34"/>
  <c r="BJ114" i="34"/>
  <c r="BJ99" i="34"/>
  <c r="BJ115" i="34"/>
  <c r="BJ15" i="34"/>
  <c r="BJ21" i="34"/>
  <c r="BJ105" i="34"/>
  <c r="BJ45" i="34"/>
  <c r="BJ78" i="34"/>
  <c r="BJ16" i="34"/>
  <c r="BJ84" i="34"/>
  <c r="BJ81" i="34"/>
  <c r="BJ96" i="34"/>
  <c r="BJ31" i="34"/>
  <c r="BJ80" i="34"/>
  <c r="BJ71" i="34"/>
  <c r="BJ20" i="34"/>
  <c r="BJ42" i="34"/>
  <c r="BJ94" i="34"/>
  <c r="BJ19" i="34"/>
  <c r="BJ116" i="34"/>
  <c r="BJ100" i="34"/>
  <c r="BJ6" i="34"/>
  <c r="BJ82" i="34"/>
  <c r="BJ37" i="34"/>
  <c r="BJ62" i="34"/>
  <c r="N5" i="34"/>
  <c r="BJ95" i="34"/>
  <c r="N10" i="34"/>
  <c r="C118" i="58" l="1"/>
  <c r="C81" i="58"/>
  <c r="C48" i="56"/>
  <c r="C91" i="56"/>
  <c r="C27" i="58"/>
  <c r="C31" i="58"/>
  <c r="C109" i="56"/>
  <c r="C23" i="58"/>
  <c r="C115" i="58"/>
  <c r="C77" i="58"/>
  <c r="C41" i="58"/>
  <c r="C97" i="58"/>
  <c r="C4" i="58"/>
  <c r="C53" i="58"/>
  <c r="C85" i="58"/>
  <c r="C122" i="58"/>
  <c r="C96" i="58"/>
  <c r="C56" i="58"/>
  <c r="C47" i="58"/>
  <c r="C90" i="56"/>
  <c r="C30" i="56"/>
  <c r="C24" i="56"/>
  <c r="C110" i="56"/>
  <c r="C15" i="56"/>
  <c r="C85" i="56"/>
  <c r="C94" i="58"/>
  <c r="C39" i="56"/>
  <c r="C27" i="56"/>
  <c r="C21" i="58"/>
  <c r="C12" i="56"/>
  <c r="C69" i="56"/>
  <c r="C32" i="56"/>
  <c r="C4" i="56"/>
  <c r="C119" i="56"/>
  <c r="C115" i="56"/>
  <c r="C35" i="56"/>
  <c r="C46" i="56"/>
  <c r="C67" i="56"/>
  <c r="C65" i="58"/>
  <c r="C55" i="58"/>
  <c r="C111" i="58"/>
  <c r="C120" i="56"/>
  <c r="C103" i="58"/>
  <c r="C40" i="56"/>
  <c r="C8" i="56"/>
  <c r="C29" i="56"/>
  <c r="C38" i="56"/>
  <c r="C114" i="56"/>
  <c r="C100" i="56"/>
  <c r="C96" i="56"/>
  <c r="C106" i="56"/>
  <c r="C58" i="56"/>
  <c r="C71" i="58"/>
  <c r="C73" i="56"/>
  <c r="C51" i="58"/>
  <c r="C60" i="56"/>
  <c r="C116" i="58"/>
  <c r="C17" i="56"/>
  <c r="C62" i="58"/>
  <c r="C6" i="56"/>
  <c r="C108" i="56"/>
  <c r="C70" i="56"/>
  <c r="C67" i="58"/>
  <c r="C59" i="56"/>
  <c r="C36" i="58"/>
  <c r="C66" i="56"/>
  <c r="C71" i="56"/>
  <c r="C82" i="56"/>
  <c r="C112" i="58"/>
  <c r="C114" i="58"/>
  <c r="C76" i="56"/>
  <c r="C25" i="58"/>
  <c r="C19" i="56"/>
  <c r="C91" i="58"/>
  <c r="C98" i="56"/>
  <c r="C112" i="56"/>
  <c r="C23" i="56"/>
  <c r="C75" i="56"/>
  <c r="C99" i="58"/>
  <c r="C14" i="58"/>
  <c r="C77" i="56"/>
  <c r="C56" i="56"/>
  <c r="C97" i="56"/>
  <c r="C34" i="56"/>
  <c r="C80" i="58"/>
  <c r="C88" i="56"/>
  <c r="C75" i="58"/>
  <c r="C11" i="56"/>
  <c r="C24" i="58"/>
  <c r="C28" i="58"/>
  <c r="C74" i="56"/>
  <c r="C26" i="56"/>
  <c r="C40" i="58"/>
  <c r="C51" i="56"/>
  <c r="C79" i="56"/>
  <c r="C43" i="58"/>
  <c r="C107" i="56"/>
  <c r="C42" i="56"/>
  <c r="C47" i="56"/>
  <c r="C104" i="56"/>
  <c r="C61" i="56"/>
  <c r="C73" i="58"/>
  <c r="C16" i="56"/>
  <c r="C95" i="58"/>
  <c r="C103" i="56"/>
  <c r="C60" i="58"/>
  <c r="C94" i="56"/>
  <c r="C102" i="56"/>
  <c r="C45" i="56"/>
  <c r="C83" i="56"/>
  <c r="C54" i="58"/>
  <c r="C22" i="56"/>
  <c r="C84" i="56"/>
  <c r="C16" i="58"/>
  <c r="C90" i="58"/>
  <c r="C10" i="58"/>
  <c r="C117" i="58"/>
  <c r="C6" i="58"/>
  <c r="C87" i="56"/>
  <c r="C78" i="58"/>
  <c r="C81" i="56"/>
  <c r="C5" i="56"/>
  <c r="C37" i="56"/>
  <c r="C72" i="58"/>
  <c r="C13" i="56"/>
  <c r="C65" i="56"/>
  <c r="C93" i="56"/>
  <c r="C50" i="56"/>
  <c r="C68" i="58"/>
  <c r="C57" i="56"/>
  <c r="C105" i="56"/>
  <c r="C48" i="58"/>
  <c r="C41" i="56"/>
  <c r="C99" i="56"/>
  <c r="C111" i="56"/>
  <c r="C92" i="56"/>
  <c r="C79" i="58"/>
  <c r="C105" i="58"/>
  <c r="C35" i="58"/>
  <c r="C119" i="58"/>
  <c r="C50" i="58"/>
  <c r="C20" i="58"/>
  <c r="C45" i="58"/>
  <c r="C104" i="58"/>
  <c r="C11" i="58"/>
  <c r="C63" i="58"/>
  <c r="C109" i="58"/>
  <c r="C59" i="58"/>
  <c r="C121" i="58"/>
  <c r="C107" i="58"/>
  <c r="C58" i="58"/>
  <c r="C18" i="58"/>
  <c r="C32" i="58"/>
  <c r="C19" i="58"/>
  <c r="C70" i="58"/>
  <c r="C17" i="58"/>
  <c r="C74" i="58"/>
  <c r="C92" i="58"/>
  <c r="C120" i="58"/>
  <c r="C101" i="58"/>
  <c r="C34" i="58"/>
  <c r="C39" i="58"/>
  <c r="C83" i="58"/>
  <c r="C9" i="58"/>
  <c r="C93" i="58"/>
  <c r="C46" i="58"/>
  <c r="C76" i="58"/>
  <c r="C88" i="58"/>
  <c r="C22" i="58"/>
  <c r="C87" i="58"/>
  <c r="C57" i="58"/>
  <c r="C108" i="58"/>
  <c r="C37" i="58"/>
  <c r="C89" i="58"/>
  <c r="C15" i="58"/>
  <c r="C13" i="58"/>
  <c r="C44" i="58"/>
  <c r="C113" i="58"/>
  <c r="C64" i="58"/>
  <c r="C49" i="58"/>
  <c r="C66" i="58"/>
  <c r="C106" i="58"/>
  <c r="AI43" i="44"/>
  <c r="AI43" i="42"/>
  <c r="Q21" i="34"/>
  <c r="O5" i="34"/>
  <c r="Q69" i="34"/>
  <c r="O69" i="34"/>
  <c r="O44" i="34"/>
  <c r="Q44" i="34"/>
  <c r="O99" i="34"/>
  <c r="Q99" i="34"/>
  <c r="O25" i="34"/>
  <c r="Q25" i="34"/>
  <c r="Q114" i="34"/>
  <c r="O114" i="34"/>
  <c r="O22" i="34"/>
  <c r="Q22" i="34"/>
  <c r="O65" i="34"/>
  <c r="Q65" i="34"/>
  <c r="O81" i="34"/>
  <c r="Q81" i="34"/>
  <c r="O21" i="34"/>
  <c r="O86" i="34"/>
  <c r="Q86" i="34"/>
  <c r="O92" i="34"/>
  <c r="Q92" i="34"/>
  <c r="Q128" i="34"/>
  <c r="O128" i="34"/>
  <c r="Q39" i="34"/>
  <c r="O39" i="34"/>
  <c r="AI257" i="42"/>
  <c r="O24" i="42"/>
  <c r="C43" i="42" s="1"/>
  <c r="H34" i="41" s="1"/>
  <c r="AI259" i="42"/>
  <c r="AI150" i="42"/>
  <c r="AI201" i="42"/>
  <c r="AI135" i="42"/>
  <c r="AI52" i="42"/>
  <c r="AI236" i="42"/>
  <c r="AI142" i="42"/>
  <c r="AI16" i="42"/>
  <c r="AI46" i="42"/>
  <c r="AI100" i="42"/>
  <c r="AI214" i="42"/>
  <c r="AI233" i="42"/>
  <c r="AI11" i="42"/>
  <c r="AI232" i="42"/>
  <c r="AI118" i="42"/>
  <c r="AI113" i="42"/>
  <c r="AI128" i="42"/>
  <c r="AI86" i="42"/>
  <c r="AI114" i="42"/>
  <c r="AI251" i="42"/>
  <c r="AI101" i="42"/>
  <c r="AI215" i="42"/>
  <c r="AI131" i="42"/>
  <c r="AI51" i="42"/>
  <c r="AI182" i="42"/>
  <c r="AI125" i="42"/>
  <c r="AI227" i="42"/>
  <c r="AI143" i="42"/>
  <c r="AI218" i="42"/>
  <c r="AI194" i="42"/>
  <c r="AI144" i="42"/>
  <c r="AI81" i="42"/>
  <c r="AI76" i="42"/>
  <c r="AI27" i="42"/>
  <c r="AI22" i="42"/>
  <c r="AI147" i="42"/>
  <c r="AI132" i="42"/>
  <c r="AI37" i="42"/>
  <c r="O28" i="42"/>
  <c r="C47" i="42" s="1"/>
  <c r="H38" i="41" s="1"/>
  <c r="AI250" i="42"/>
  <c r="AI129" i="42"/>
  <c r="AI85" i="42"/>
  <c r="AI53" i="42"/>
  <c r="AI20" i="42"/>
  <c r="AI171" i="42"/>
  <c r="AI38" i="42"/>
  <c r="AI163" i="42"/>
  <c r="AI31" i="42"/>
  <c r="AI5" i="42"/>
  <c r="O18" i="42"/>
  <c r="C37" i="42" s="1"/>
  <c r="H28" i="41" s="1"/>
  <c r="AI158" i="42"/>
  <c r="AI219" i="42"/>
  <c r="AI173" i="42"/>
  <c r="AI185" i="42"/>
  <c r="AI32" i="42"/>
  <c r="AI56" i="42"/>
  <c r="AI167" i="42"/>
  <c r="AI103" i="42"/>
  <c r="AI99" i="42"/>
  <c r="AI111" i="42"/>
  <c r="AI244" i="42"/>
  <c r="O29" i="42"/>
  <c r="C48" i="42" s="1"/>
  <c r="H39" i="41" s="1"/>
  <c r="AI123" i="42"/>
  <c r="AI104" i="42"/>
  <c r="AI12" i="42"/>
  <c r="AI191" i="42"/>
  <c r="AI155" i="42"/>
  <c r="AI28" i="42"/>
  <c r="AI106" i="42"/>
  <c r="AI83" i="42"/>
  <c r="AI17" i="42"/>
  <c r="AI141" i="42"/>
  <c r="AI256" i="42"/>
  <c r="AI57" i="42"/>
  <c r="AI166" i="42"/>
  <c r="AI69" i="42"/>
  <c r="AI222" i="42"/>
  <c r="AI145" i="42"/>
  <c r="AI40" i="42"/>
  <c r="O16" i="42"/>
  <c r="C35" i="42" s="1"/>
  <c r="H26" i="41" s="1"/>
  <c r="AI152" i="42"/>
  <c r="O22" i="42"/>
  <c r="C41" i="42" s="1"/>
  <c r="H32" i="41" s="1"/>
  <c r="AI66" i="42"/>
  <c r="AI243" i="42"/>
  <c r="AI120" i="42"/>
  <c r="AI151" i="42"/>
  <c r="AI91" i="42"/>
  <c r="AI84" i="42"/>
  <c r="AI208" i="42"/>
  <c r="AI7" i="42"/>
  <c r="AI146" i="42"/>
  <c r="AI242" i="42"/>
  <c r="AI78" i="42"/>
  <c r="AI64" i="42"/>
  <c r="AI92" i="42"/>
  <c r="AI235" i="42"/>
  <c r="AI110" i="42"/>
  <c r="AI254" i="42"/>
  <c r="AI138" i="42"/>
  <c r="AI108" i="42"/>
  <c r="AI159" i="42"/>
  <c r="AI122" i="42"/>
  <c r="AI55" i="42"/>
  <c r="AI209" i="42"/>
  <c r="AI197" i="42"/>
  <c r="AI127" i="42"/>
  <c r="AI107" i="42"/>
  <c r="AI33" i="42"/>
  <c r="AI195" i="42"/>
  <c r="AI98" i="42"/>
  <c r="AI134" i="42"/>
  <c r="AI178" i="42"/>
  <c r="AI180" i="42"/>
  <c r="AI168" i="42"/>
  <c r="AI189" i="42"/>
  <c r="AI210" i="42"/>
  <c r="O23" i="42"/>
  <c r="C42" i="42" s="1"/>
  <c r="H33" i="41" s="1"/>
  <c r="AI246" i="42"/>
  <c r="O17" i="42"/>
  <c r="C36" i="42" s="1"/>
  <c r="H27" i="41" s="1"/>
  <c r="AI169" i="42"/>
  <c r="AI240" i="42"/>
  <c r="AI62" i="42"/>
  <c r="AI88" i="42"/>
  <c r="AI196" i="42"/>
  <c r="AI45" i="42"/>
  <c r="AI59" i="42"/>
  <c r="AI47" i="42"/>
  <c r="AI220" i="42"/>
  <c r="AI105" i="42"/>
  <c r="AI19" i="42"/>
  <c r="AI193" i="42"/>
  <c r="AI202" i="42"/>
  <c r="AI200" i="42"/>
  <c r="AI137" i="42"/>
  <c r="AI237" i="42"/>
  <c r="AI174" i="42"/>
  <c r="AI15" i="42"/>
  <c r="AI60" i="42"/>
  <c r="AI153" i="42"/>
  <c r="AI29" i="42"/>
  <c r="AI24" i="42"/>
  <c r="AI162" i="42"/>
  <c r="AI160" i="42"/>
  <c r="AI70" i="42"/>
  <c r="AI216" i="42"/>
  <c r="AI34" i="42"/>
  <c r="AI68" i="42"/>
  <c r="AI205" i="42"/>
  <c r="AI161" i="42"/>
  <c r="AI226" i="42"/>
  <c r="AI245" i="42"/>
  <c r="AI71" i="42"/>
  <c r="AI50" i="42"/>
  <c r="AI79" i="42"/>
  <c r="AI149" i="42"/>
  <c r="AI49" i="42"/>
  <c r="AI179" i="42"/>
  <c r="AI121" i="42"/>
  <c r="AI241" i="42"/>
  <c r="AI10" i="42"/>
  <c r="AI175" i="42"/>
  <c r="AI224" i="42"/>
  <c r="AI199" i="42"/>
  <c r="AI249" i="42"/>
  <c r="AI157" i="42"/>
  <c r="AI255" i="42"/>
  <c r="AI165" i="42"/>
  <c r="AI35" i="42"/>
  <c r="AI211" i="42"/>
  <c r="AI190" i="42"/>
  <c r="AI239" i="42"/>
  <c r="AI117" i="42"/>
  <c r="AI248" i="42"/>
  <c r="AI228" i="42"/>
  <c r="AI247" i="42"/>
  <c r="AI18" i="42"/>
  <c r="AI187" i="42"/>
  <c r="AI77" i="42"/>
  <c r="AI223" i="42"/>
  <c r="AI89" i="42"/>
  <c r="AI181" i="42"/>
  <c r="AI97" i="42"/>
  <c r="AI94" i="42"/>
  <c r="AI87" i="42"/>
  <c r="AI67" i="42"/>
  <c r="AI41" i="42"/>
  <c r="AI82" i="42"/>
  <c r="AI217" i="42"/>
  <c r="AI148" i="42"/>
  <c r="AI198" i="42"/>
  <c r="AI23" i="42"/>
  <c r="AI8" i="42"/>
  <c r="AI36" i="42"/>
  <c r="AI6" i="42"/>
  <c r="AI133" i="42"/>
  <c r="AI172" i="42"/>
  <c r="AI42" i="42"/>
  <c r="AI3" i="42"/>
  <c r="AI112" i="42"/>
  <c r="AI9" i="42"/>
  <c r="AI39" i="42"/>
  <c r="AI188" i="42"/>
  <c r="AI124" i="42"/>
  <c r="AI253" i="42"/>
  <c r="AI229" i="42"/>
  <c r="AI170" i="42"/>
  <c r="AI54" i="42"/>
  <c r="AI136" i="42"/>
  <c r="AI44" i="42"/>
  <c r="AI115" i="42"/>
  <c r="AI119" i="42"/>
  <c r="AI80" i="42"/>
  <c r="AI203" i="42"/>
  <c r="AI90" i="42"/>
  <c r="AI156" i="42"/>
  <c r="AI186" i="42"/>
  <c r="AI213" i="42"/>
  <c r="AI204" i="42"/>
  <c r="AI130" i="42"/>
  <c r="O30" i="42"/>
  <c r="C49" i="42" s="1"/>
  <c r="H40" i="41" s="1"/>
  <c r="AI63" i="42"/>
  <c r="AI258" i="42"/>
  <c r="AI72" i="42"/>
  <c r="AI206" i="42"/>
  <c r="AI231" i="42"/>
  <c r="AI139" i="42"/>
  <c r="AI30" i="42"/>
  <c r="AI75" i="42"/>
  <c r="AI126" i="42"/>
  <c r="AI96" i="42"/>
  <c r="AI177" i="42"/>
  <c r="AI14" i="42"/>
  <c r="AI13" i="42"/>
  <c r="AI74" i="42"/>
  <c r="AI252" i="42"/>
  <c r="AI176" i="42"/>
  <c r="AI61" i="42"/>
  <c r="AI26" i="42"/>
  <c r="AI93" i="42"/>
  <c r="AI234" i="42"/>
  <c r="AI21" i="42"/>
  <c r="AI48" i="42"/>
  <c r="AI212" i="42"/>
  <c r="AI154" i="42"/>
  <c r="O15" i="42"/>
  <c r="C34" i="42" s="1"/>
  <c r="H25" i="41" s="1"/>
  <c r="AI225" i="42"/>
  <c r="AI184" i="42"/>
  <c r="AI238" i="42"/>
  <c r="AI183" i="42"/>
  <c r="AI102" i="42"/>
  <c r="AI25" i="42"/>
  <c r="AI192" i="42"/>
  <c r="AI116" i="42"/>
  <c r="AI109" i="42"/>
  <c r="AI65" i="42"/>
  <c r="AI73" i="42"/>
  <c r="AI164" i="42"/>
  <c r="AI207" i="42"/>
  <c r="AI230" i="42"/>
  <c r="AI4" i="42"/>
  <c r="O26" i="42"/>
  <c r="C45" i="42" s="1"/>
  <c r="H36" i="41" s="1"/>
  <c r="AI58" i="42"/>
  <c r="O20" i="42"/>
  <c r="C39" i="42" s="1"/>
  <c r="H30" i="41" s="1"/>
  <c r="AI140" i="42"/>
  <c r="AI221" i="42"/>
  <c r="AI95" i="42"/>
  <c r="O25" i="42"/>
  <c r="C44" i="42" s="1"/>
  <c r="H35" i="41" s="1"/>
  <c r="O21" i="42"/>
  <c r="C40" i="42" s="1"/>
  <c r="H31" i="41" s="1"/>
  <c r="O19" i="42"/>
  <c r="C38" i="42" s="1"/>
  <c r="H29" i="41" s="1"/>
  <c r="O27" i="42"/>
  <c r="C46" i="42" s="1"/>
  <c r="H37" i="41" s="1"/>
  <c r="O6" i="34"/>
  <c r="Q6" i="34"/>
  <c r="Q10" i="34"/>
  <c r="O112" i="34"/>
  <c r="Q112" i="34"/>
  <c r="O122" i="34"/>
  <c r="Q122" i="34"/>
  <c r="O105" i="34"/>
  <c r="Q105" i="34"/>
  <c r="O119" i="34"/>
  <c r="Q119" i="34"/>
  <c r="Q97" i="34"/>
  <c r="O97" i="34"/>
  <c r="Q74" i="34"/>
  <c r="O74" i="34"/>
  <c r="F6" i="45"/>
  <c r="F4" i="45"/>
  <c r="F7" i="45"/>
  <c r="F5" i="45"/>
  <c r="O10" i="34"/>
  <c r="O77" i="34"/>
  <c r="Q77" i="34"/>
  <c r="O46" i="34"/>
  <c r="Q46" i="34"/>
  <c r="Q58" i="34"/>
  <c r="O58" i="34"/>
  <c r="AJ119" i="43"/>
  <c r="AJ43" i="43"/>
  <c r="AJ132" i="43"/>
  <c r="AJ121" i="43"/>
  <c r="P22" i="43"/>
  <c r="AJ4" i="43"/>
  <c r="AJ59" i="43"/>
  <c r="AJ124" i="43"/>
  <c r="AJ131" i="43"/>
  <c r="AJ65" i="43"/>
  <c r="AJ6" i="43"/>
  <c r="AJ61" i="43"/>
  <c r="AJ29" i="43"/>
  <c r="AJ117" i="43"/>
  <c r="AJ58" i="43"/>
  <c r="AJ91" i="43"/>
  <c r="AJ68" i="43"/>
  <c r="AJ74" i="43"/>
  <c r="AJ22" i="43"/>
  <c r="AJ5" i="43"/>
  <c r="AJ73" i="43"/>
  <c r="AJ93" i="43"/>
  <c r="AJ62" i="43"/>
  <c r="AJ47" i="43"/>
  <c r="AJ104" i="43"/>
  <c r="AJ31" i="43"/>
  <c r="AJ38" i="43"/>
  <c r="AJ8" i="43"/>
  <c r="AJ33" i="43"/>
  <c r="AJ48" i="43"/>
  <c r="AJ27" i="43"/>
  <c r="P20" i="43"/>
  <c r="AJ86" i="43"/>
  <c r="AJ112" i="43"/>
  <c r="AJ10" i="43"/>
  <c r="AJ15" i="43"/>
  <c r="AJ20" i="43"/>
  <c r="P21" i="43"/>
  <c r="AJ30" i="43"/>
  <c r="AJ41" i="43"/>
  <c r="AJ18" i="43"/>
  <c r="P16" i="43"/>
  <c r="AJ9" i="43"/>
  <c r="AJ126" i="43"/>
  <c r="AJ66" i="43"/>
  <c r="AJ36" i="43"/>
  <c r="AJ81" i="43"/>
  <c r="AJ28" i="43"/>
  <c r="AJ110" i="43"/>
  <c r="AJ53" i="43"/>
  <c r="AJ118" i="43"/>
  <c r="AJ97" i="43"/>
  <c r="AJ57" i="43"/>
  <c r="AJ94" i="43"/>
  <c r="AJ101" i="43"/>
  <c r="AJ17" i="43"/>
  <c r="AJ75" i="43"/>
  <c r="AJ49" i="43"/>
  <c r="AJ123" i="43"/>
  <c r="AJ95" i="43"/>
  <c r="AJ116" i="43"/>
  <c r="AJ106" i="43"/>
  <c r="AJ60" i="43"/>
  <c r="AJ23" i="43"/>
  <c r="AJ63" i="43"/>
  <c r="P23" i="43"/>
  <c r="AJ40" i="43"/>
  <c r="AJ79" i="43"/>
  <c r="AJ111" i="43"/>
  <c r="AJ12" i="43"/>
  <c r="AJ14" i="43"/>
  <c r="AJ96" i="43"/>
  <c r="P24" i="43"/>
  <c r="AJ114" i="43"/>
  <c r="AJ98" i="43"/>
  <c r="AJ120" i="43"/>
  <c r="AJ89" i="43"/>
  <c r="P18" i="43"/>
  <c r="AJ56" i="43"/>
  <c r="AJ129" i="43"/>
  <c r="AJ70" i="43"/>
  <c r="AJ51" i="43"/>
  <c r="AJ39" i="43"/>
  <c r="AJ99" i="43"/>
  <c r="AJ115" i="43"/>
  <c r="AJ102" i="43"/>
  <c r="AJ69" i="43"/>
  <c r="AJ21" i="43"/>
  <c r="AJ13" i="43"/>
  <c r="AJ92" i="43"/>
  <c r="AJ26" i="43"/>
  <c r="AJ72" i="43"/>
  <c r="AJ45" i="43"/>
  <c r="AJ125" i="43"/>
  <c r="AJ3" i="43"/>
  <c r="AJ42" i="43"/>
  <c r="AJ105" i="43"/>
  <c r="AJ82" i="43"/>
  <c r="AJ34" i="43"/>
  <c r="AJ103" i="43"/>
  <c r="AJ54" i="43"/>
  <c r="AJ85" i="43"/>
  <c r="AJ52" i="43"/>
  <c r="AJ87" i="43"/>
  <c r="AJ35" i="43"/>
  <c r="AJ127" i="43"/>
  <c r="AJ24" i="43"/>
  <c r="AJ122" i="43"/>
  <c r="AJ88" i="43"/>
  <c r="AJ80" i="43"/>
  <c r="AJ78" i="43"/>
  <c r="AJ7" i="43"/>
  <c r="AJ77" i="43"/>
  <c r="AJ100" i="43"/>
  <c r="AJ55" i="43"/>
  <c r="AJ44" i="43"/>
  <c r="AJ19" i="43"/>
  <c r="AJ32" i="43"/>
  <c r="AJ130" i="43"/>
  <c r="AJ25" i="43"/>
  <c r="AJ64" i="43"/>
  <c r="AJ84" i="43"/>
  <c r="AJ37" i="43"/>
  <c r="AJ108" i="43"/>
  <c r="AJ107" i="43"/>
  <c r="AJ83" i="43"/>
  <c r="AJ46" i="43"/>
  <c r="P15" i="43"/>
  <c r="AJ11" i="43"/>
  <c r="AJ71" i="43"/>
  <c r="AJ109" i="43"/>
  <c r="AJ90" i="43"/>
  <c r="AJ113" i="43"/>
  <c r="AJ128" i="43"/>
  <c r="AJ50" i="43"/>
  <c r="AJ16" i="43"/>
  <c r="AJ67" i="43"/>
  <c r="AJ76" i="43"/>
  <c r="P19" i="43"/>
  <c r="P17" i="43"/>
  <c r="O109" i="34"/>
  <c r="Q109" i="34"/>
  <c r="Q11" i="34"/>
  <c r="O11" i="34"/>
  <c r="O16" i="34"/>
  <c r="Q16" i="34"/>
  <c r="O102" i="34"/>
  <c r="Q102" i="34"/>
  <c r="O129" i="34"/>
  <c r="Q129" i="34"/>
  <c r="Q84" i="34"/>
  <c r="O84" i="34"/>
  <c r="Q31" i="34"/>
  <c r="O31" i="34"/>
  <c r="Q124" i="34"/>
  <c r="O124" i="34"/>
  <c r="Q12" i="34"/>
  <c r="O12" i="34"/>
  <c r="O52" i="34"/>
  <c r="Q52" i="34"/>
  <c r="Q120" i="34"/>
  <c r="O120" i="34"/>
  <c r="Q60" i="34"/>
  <c r="O60" i="34"/>
  <c r="Q127" i="34"/>
  <c r="O127" i="34"/>
  <c r="O47" i="34"/>
  <c r="Q47" i="34"/>
  <c r="O41" i="34"/>
  <c r="Q41" i="34"/>
  <c r="O49" i="34"/>
  <c r="Q49" i="34"/>
  <c r="Q13" i="34"/>
  <c r="O13" i="34"/>
  <c r="Q26" i="34"/>
  <c r="O26" i="34"/>
  <c r="O15" i="34"/>
  <c r="Q15" i="34"/>
  <c r="O85" i="34"/>
  <c r="Q85" i="34"/>
  <c r="Q75" i="34"/>
  <c r="O75" i="34"/>
  <c r="Q113" i="34"/>
  <c r="O113" i="34"/>
  <c r="Q20" i="34"/>
  <c r="O20" i="34"/>
  <c r="S5" i="34"/>
  <c r="U5" i="34"/>
  <c r="O121" i="34"/>
  <c r="Q121" i="34"/>
  <c r="O9" i="34"/>
  <c r="Q9" i="34"/>
  <c r="Q98" i="34"/>
  <c r="O98" i="34"/>
  <c r="O116" i="34"/>
  <c r="Q116" i="34"/>
  <c r="O103" i="34"/>
  <c r="Q103" i="34"/>
  <c r="Q50" i="34"/>
  <c r="O50" i="34"/>
  <c r="O55" i="34"/>
  <c r="Q55" i="34"/>
  <c r="Q18" i="34"/>
  <c r="O18" i="34"/>
  <c r="Q91" i="34"/>
  <c r="O91" i="34"/>
  <c r="Q68" i="34"/>
  <c r="O68" i="34"/>
  <c r="AF3" i="45"/>
  <c r="AF19" i="45"/>
  <c r="AF7" i="45"/>
  <c r="AF21" i="45"/>
  <c r="AF8" i="45"/>
  <c r="AF16" i="45"/>
  <c r="AF18" i="45"/>
  <c r="AF12" i="45"/>
  <c r="AF15" i="45"/>
  <c r="AF6" i="45"/>
  <c r="AF17" i="45"/>
  <c r="AF9" i="45"/>
  <c r="AF4" i="45"/>
  <c r="AF20" i="45"/>
  <c r="AF11" i="45"/>
  <c r="AF23" i="45"/>
  <c r="AF24" i="45"/>
  <c r="AF14" i="45"/>
  <c r="AF10" i="45"/>
  <c r="AF5" i="45"/>
  <c r="AF26" i="45"/>
  <c r="AF25" i="45"/>
  <c r="AF13" i="45"/>
  <c r="L18" i="45"/>
  <c r="C26" i="45" s="1"/>
  <c r="H6" i="41" s="1"/>
  <c r="AF22" i="45"/>
  <c r="L16" i="45"/>
  <c r="C24" i="45" s="1"/>
  <c r="H4" i="41" s="1"/>
  <c r="L19" i="45"/>
  <c r="C27" i="45" s="1"/>
  <c r="H7" i="41" s="1"/>
  <c r="L17" i="45"/>
  <c r="C25" i="45" s="1"/>
  <c r="H5" i="41" s="1"/>
  <c r="L15" i="45"/>
  <c r="C23" i="45" s="1"/>
  <c r="H3" i="41" s="1"/>
  <c r="O33" i="34"/>
  <c r="Q33" i="34"/>
  <c r="O35" i="34"/>
  <c r="Q35" i="34"/>
  <c r="O62" i="34"/>
  <c r="Q62" i="34"/>
  <c r="O48" i="34"/>
  <c r="Q48" i="34"/>
  <c r="O36" i="34"/>
  <c r="Q36" i="34"/>
  <c r="AJ80" i="42"/>
  <c r="AJ254" i="42"/>
  <c r="AJ147" i="42"/>
  <c r="AJ121" i="42"/>
  <c r="AJ247" i="42"/>
  <c r="AJ190" i="42"/>
  <c r="AJ149" i="42"/>
  <c r="AJ129" i="42"/>
  <c r="AJ32" i="42"/>
  <c r="AJ82" i="42"/>
  <c r="AJ84" i="42"/>
  <c r="AJ35" i="42"/>
  <c r="AJ26" i="42"/>
  <c r="AJ167" i="42"/>
  <c r="AJ126" i="42"/>
  <c r="AJ224" i="42"/>
  <c r="AJ185" i="42"/>
  <c r="AJ145" i="42"/>
  <c r="AJ92" i="42"/>
  <c r="AJ250" i="42"/>
  <c r="AJ218" i="42"/>
  <c r="AJ199" i="42"/>
  <c r="AJ57" i="42"/>
  <c r="AJ95" i="42"/>
  <c r="AJ174" i="42"/>
  <c r="AJ111" i="42"/>
  <c r="AJ204" i="42"/>
  <c r="AJ169" i="42"/>
  <c r="AJ165" i="42"/>
  <c r="AJ78" i="42"/>
  <c r="AJ197" i="42"/>
  <c r="AJ85" i="42"/>
  <c r="AJ203" i="42"/>
  <c r="AJ107" i="42"/>
  <c r="AJ143" i="42"/>
  <c r="AJ137" i="42"/>
  <c r="AJ243" i="42"/>
  <c r="AJ238" i="42"/>
  <c r="AJ257" i="42"/>
  <c r="AJ253" i="42"/>
  <c r="AJ62" i="42"/>
  <c r="AJ136" i="42"/>
  <c r="AJ118" i="42"/>
  <c r="AJ251" i="42"/>
  <c r="AJ200" i="42"/>
  <c r="AJ72" i="42"/>
  <c r="AJ128" i="42"/>
  <c r="AJ3" i="42"/>
  <c r="AJ59" i="42"/>
  <c r="AJ45" i="42"/>
  <c r="AJ198" i="42"/>
  <c r="AJ249" i="42"/>
  <c r="AJ91" i="42"/>
  <c r="AJ184" i="42"/>
  <c r="AJ255" i="42"/>
  <c r="AJ234" i="42"/>
  <c r="AJ37" i="42"/>
  <c r="AJ13" i="42"/>
  <c r="AJ64" i="42"/>
  <c r="AJ183" i="42"/>
  <c r="AJ239" i="42"/>
  <c r="AJ114" i="42"/>
  <c r="AJ246" i="42"/>
  <c r="AJ93" i="42"/>
  <c r="AJ46" i="42"/>
  <c r="AJ99" i="42"/>
  <c r="AJ181" i="42"/>
  <c r="AJ15" i="42"/>
  <c r="AJ113" i="42"/>
  <c r="AJ22" i="42"/>
  <c r="AJ94" i="42"/>
  <c r="P29" i="42"/>
  <c r="AJ30" i="42"/>
  <c r="AJ133" i="42"/>
  <c r="P20" i="42"/>
  <c r="AJ117" i="42"/>
  <c r="AJ75" i="42"/>
  <c r="AJ148" i="42"/>
  <c r="AJ212" i="42"/>
  <c r="AJ110" i="42"/>
  <c r="AJ233" i="42"/>
  <c r="AJ221" i="42"/>
  <c r="AJ81" i="42"/>
  <c r="AJ231" i="42"/>
  <c r="AJ86" i="42"/>
  <c r="AJ146" i="42"/>
  <c r="AJ173" i="42"/>
  <c r="AJ123" i="42"/>
  <c r="AJ54" i="42"/>
  <c r="AJ208" i="42"/>
  <c r="AJ47" i="42"/>
  <c r="AJ41" i="42"/>
  <c r="AJ168" i="42"/>
  <c r="AJ189" i="42"/>
  <c r="AJ135" i="42"/>
  <c r="AJ44" i="42"/>
  <c r="P15" i="42"/>
  <c r="AJ36" i="42"/>
  <c r="AJ66" i="42"/>
  <c r="AJ38" i="42"/>
  <c r="AJ70" i="42"/>
  <c r="AJ33" i="42"/>
  <c r="AJ16" i="42"/>
  <c r="AJ134" i="42"/>
  <c r="AJ150" i="42"/>
  <c r="AJ23" i="42"/>
  <c r="AJ25" i="42"/>
  <c r="AJ5" i="42"/>
  <c r="AJ144" i="42"/>
  <c r="AJ20" i="42"/>
  <c r="AJ24" i="42"/>
  <c r="AJ229" i="42"/>
  <c r="AJ228" i="42"/>
  <c r="AJ21" i="42"/>
  <c r="AJ217" i="42"/>
  <c r="AJ223" i="42"/>
  <c r="AJ48" i="42"/>
  <c r="AJ215" i="42"/>
  <c r="AJ10" i="42"/>
  <c r="AJ6" i="42"/>
  <c r="AJ211" i="42"/>
  <c r="AJ69" i="42"/>
  <c r="AJ43" i="42"/>
  <c r="P23" i="42"/>
  <c r="AJ220" i="42"/>
  <c r="AJ162" i="42"/>
  <c r="AJ79" i="42"/>
  <c r="AJ163" i="42"/>
  <c r="AJ256" i="42"/>
  <c r="AJ191" i="42"/>
  <c r="AJ132" i="42"/>
  <c r="AJ97" i="42"/>
  <c r="AJ42" i="42"/>
  <c r="AJ139" i="42"/>
  <c r="AJ31" i="42"/>
  <c r="AJ176" i="42"/>
  <c r="AJ187" i="42"/>
  <c r="AJ77" i="42"/>
  <c r="AJ19" i="42"/>
  <c r="AJ226" i="42"/>
  <c r="AJ259" i="42"/>
  <c r="AJ50" i="42"/>
  <c r="AJ17" i="42"/>
  <c r="AJ232" i="42"/>
  <c r="AJ201" i="42"/>
  <c r="AJ8" i="42"/>
  <c r="AJ103" i="42"/>
  <c r="AJ102" i="42"/>
  <c r="AJ240" i="42"/>
  <c r="AJ53" i="42"/>
  <c r="AJ244" i="42"/>
  <c r="AJ235" i="42"/>
  <c r="AJ88" i="42"/>
  <c r="AJ209" i="42"/>
  <c r="AJ115" i="42"/>
  <c r="AJ12" i="42"/>
  <c r="AJ166" i="42"/>
  <c r="AJ76" i="42"/>
  <c r="AJ28" i="42"/>
  <c r="AJ68" i="42"/>
  <c r="AJ141" i="42"/>
  <c r="AJ213" i="42"/>
  <c r="AJ130" i="42"/>
  <c r="AJ202" i="42"/>
  <c r="AJ188" i="42"/>
  <c r="AJ98" i="42"/>
  <c r="AJ196" i="42"/>
  <c r="AJ171" i="42"/>
  <c r="AJ39" i="42"/>
  <c r="AJ182" i="42"/>
  <c r="AJ56" i="42"/>
  <c r="AJ119" i="42"/>
  <c r="AJ142" i="42"/>
  <c r="AJ106" i="42"/>
  <c r="AJ193" i="42"/>
  <c r="AJ138" i="42"/>
  <c r="AJ61" i="42"/>
  <c r="AJ248" i="42"/>
  <c r="AJ124" i="42"/>
  <c r="AJ100" i="42"/>
  <c r="AJ116" i="42"/>
  <c r="AJ34" i="42"/>
  <c r="AJ175" i="42"/>
  <c r="AJ83" i="42"/>
  <c r="AJ101" i="42"/>
  <c r="AJ155" i="42"/>
  <c r="AJ112" i="42"/>
  <c r="AJ152" i="42"/>
  <c r="AJ154" i="42"/>
  <c r="AJ210" i="42"/>
  <c r="AJ205" i="42"/>
  <c r="AJ225" i="42"/>
  <c r="AJ216" i="42"/>
  <c r="AJ14" i="42"/>
  <c r="AJ230" i="42"/>
  <c r="AJ109" i="42"/>
  <c r="AJ180" i="42"/>
  <c r="AJ242" i="42"/>
  <c r="AJ158" i="42"/>
  <c r="AJ140" i="42"/>
  <c r="AJ237" i="42"/>
  <c r="AJ157" i="42"/>
  <c r="AJ63" i="42"/>
  <c r="AJ104" i="42"/>
  <c r="AJ96" i="42"/>
  <c r="AJ178" i="42"/>
  <c r="AJ156" i="42"/>
  <c r="AJ29" i="42"/>
  <c r="P16" i="42"/>
  <c r="AJ131" i="42"/>
  <c r="AJ214" i="42"/>
  <c r="AJ206" i="42"/>
  <c r="AJ11" i="42"/>
  <c r="AJ177" i="42"/>
  <c r="AJ18" i="42"/>
  <c r="AJ153" i="42"/>
  <c r="AJ52" i="42"/>
  <c r="AJ74" i="42"/>
  <c r="AJ192" i="42"/>
  <c r="AJ241" i="42"/>
  <c r="AJ108" i="42"/>
  <c r="P22" i="42"/>
  <c r="AJ40" i="42"/>
  <c r="AJ207" i="42"/>
  <c r="AJ60" i="42"/>
  <c r="AJ49" i="42"/>
  <c r="AJ90" i="42"/>
  <c r="AJ9" i="42"/>
  <c r="AJ65" i="42"/>
  <c r="P17" i="42"/>
  <c r="AJ89" i="42"/>
  <c r="AJ170" i="42"/>
  <c r="AJ55" i="42"/>
  <c r="AJ194" i="42"/>
  <c r="AJ195" i="42"/>
  <c r="AJ161" i="42"/>
  <c r="AJ164" i="42"/>
  <c r="AJ7" i="42"/>
  <c r="P25" i="42"/>
  <c r="AJ179" i="42"/>
  <c r="P24" i="42"/>
  <c r="AJ120" i="42"/>
  <c r="AJ67" i="42"/>
  <c r="AJ159" i="42"/>
  <c r="AJ219" i="42"/>
  <c r="AJ222" i="42"/>
  <c r="AJ58" i="42"/>
  <c r="AJ125" i="42"/>
  <c r="AJ236" i="42"/>
  <c r="AJ258" i="42"/>
  <c r="AJ105" i="42"/>
  <c r="AJ127" i="42"/>
  <c r="P18" i="42"/>
  <c r="AJ227" i="42"/>
  <c r="AJ151" i="42"/>
  <c r="AJ160" i="42"/>
  <c r="AJ73" i="42"/>
  <c r="AJ172" i="42"/>
  <c r="AJ122" i="42"/>
  <c r="AJ87" i="42"/>
  <c r="AJ4" i="42"/>
  <c r="AJ252" i="42"/>
  <c r="AJ51" i="42"/>
  <c r="AJ71" i="42"/>
  <c r="AJ245" i="42"/>
  <c r="AJ27" i="42"/>
  <c r="AJ186" i="42"/>
  <c r="P21" i="42"/>
  <c r="P19" i="42"/>
  <c r="P27" i="42"/>
  <c r="P26" i="42"/>
  <c r="P30" i="42"/>
  <c r="P28" i="42"/>
  <c r="Q37" i="34"/>
  <c r="O37" i="34"/>
  <c r="O71" i="34"/>
  <c r="Q71" i="34"/>
  <c r="O111" i="34"/>
  <c r="Q111" i="34"/>
  <c r="O19" i="34"/>
  <c r="Q19" i="34"/>
  <c r="Q118" i="34"/>
  <c r="O118" i="34"/>
  <c r="O51" i="34"/>
  <c r="Q51" i="34"/>
  <c r="Q101" i="34"/>
  <c r="O101" i="34"/>
  <c r="Q24" i="34"/>
  <c r="O24" i="34"/>
  <c r="Q106" i="34"/>
  <c r="O106" i="34"/>
  <c r="Q110" i="34"/>
  <c r="O110" i="34"/>
  <c r="Q34" i="34"/>
  <c r="O34" i="34"/>
  <c r="O123" i="34"/>
  <c r="Q123" i="34"/>
  <c r="AI48" i="43"/>
  <c r="O20" i="43"/>
  <c r="C33" i="43" s="1"/>
  <c r="H20" i="41" s="1"/>
  <c r="AI39" i="43"/>
  <c r="AI84" i="43"/>
  <c r="AI120" i="43"/>
  <c r="AI25" i="43"/>
  <c r="AI33" i="43"/>
  <c r="AI29" i="43"/>
  <c r="AI69" i="43"/>
  <c r="AI95" i="43"/>
  <c r="AI23" i="43"/>
  <c r="AI8" i="43"/>
  <c r="AI3" i="43"/>
  <c r="O15" i="43"/>
  <c r="C28" i="43" s="1"/>
  <c r="H15" i="41" s="1"/>
  <c r="AI21" i="43"/>
  <c r="AI43" i="43"/>
  <c r="AI47" i="43"/>
  <c r="AI57" i="43"/>
  <c r="AI68" i="43"/>
  <c r="AI53" i="43"/>
  <c r="AI42" i="43"/>
  <c r="AI60" i="43"/>
  <c r="AI127" i="43"/>
  <c r="AI108" i="43"/>
  <c r="AI117" i="43"/>
  <c r="AI64" i="43"/>
  <c r="AI81" i="43"/>
  <c r="AI45" i="43"/>
  <c r="AI38" i="43"/>
  <c r="AI28" i="43"/>
  <c r="AI54" i="43"/>
  <c r="AI93" i="43"/>
  <c r="AI86" i="43"/>
  <c r="AI99" i="43"/>
  <c r="AI110" i="43"/>
  <c r="AI30" i="43"/>
  <c r="AI88" i="43"/>
  <c r="AI49" i="43"/>
  <c r="AI103" i="43"/>
  <c r="AI27" i="43"/>
  <c r="AI67" i="43"/>
  <c r="AI96" i="43"/>
  <c r="AI41" i="43"/>
  <c r="AI50" i="43"/>
  <c r="AI17" i="43"/>
  <c r="AI26" i="43"/>
  <c r="O17" i="43"/>
  <c r="C30" i="43" s="1"/>
  <c r="H17" i="41" s="1"/>
  <c r="AI72" i="43"/>
  <c r="AI130" i="43"/>
  <c r="AI35" i="43"/>
  <c r="AI24" i="43"/>
  <c r="AI102" i="43"/>
  <c r="AI100" i="43"/>
  <c r="AI76" i="43"/>
  <c r="AI44" i="43"/>
  <c r="AI87" i="43"/>
  <c r="AI6" i="43"/>
  <c r="AI123" i="43"/>
  <c r="O22" i="43"/>
  <c r="C35" i="43" s="1"/>
  <c r="H22" i="41" s="1"/>
  <c r="AI122" i="43"/>
  <c r="AI16" i="43"/>
  <c r="AI75" i="43"/>
  <c r="O23" i="43"/>
  <c r="C36" i="43" s="1"/>
  <c r="H23" i="41" s="1"/>
  <c r="AI34" i="43"/>
  <c r="AI7" i="43"/>
  <c r="AI15" i="43"/>
  <c r="AI52" i="43"/>
  <c r="AI92" i="43"/>
  <c r="O19" i="43"/>
  <c r="C32" i="43" s="1"/>
  <c r="H19" i="41" s="1"/>
  <c r="AI37" i="43"/>
  <c r="AI80" i="43"/>
  <c r="AI126" i="43"/>
  <c r="AI40" i="43"/>
  <c r="AI132" i="43"/>
  <c r="AI13" i="43"/>
  <c r="O24" i="43"/>
  <c r="C37" i="43" s="1"/>
  <c r="H24" i="41" s="1"/>
  <c r="AI125" i="43"/>
  <c r="AI114" i="43"/>
  <c r="AI98" i="43"/>
  <c r="AI115" i="43"/>
  <c r="AI128" i="43"/>
  <c r="AI12" i="43"/>
  <c r="AI101" i="43"/>
  <c r="AI83" i="43"/>
  <c r="AI31" i="43"/>
  <c r="AI106" i="43"/>
  <c r="AI79" i="43"/>
  <c r="AI14" i="43"/>
  <c r="AI85" i="43"/>
  <c r="AI77" i="43"/>
  <c r="AI91" i="43"/>
  <c r="AI5" i="43"/>
  <c r="AI74" i="43"/>
  <c r="AI10" i="43"/>
  <c r="AI46" i="43"/>
  <c r="AI94" i="43"/>
  <c r="AI63" i="43"/>
  <c r="AI113" i="43"/>
  <c r="AI66" i="43"/>
  <c r="O21" i="43"/>
  <c r="C34" i="43" s="1"/>
  <c r="H21" i="41" s="1"/>
  <c r="AI82" i="43"/>
  <c r="AI59" i="43"/>
  <c r="AI32" i="43"/>
  <c r="AI104" i="43"/>
  <c r="AI61" i="43"/>
  <c r="AI36" i="43"/>
  <c r="AI58" i="43"/>
  <c r="AI22" i="43"/>
  <c r="AI73" i="43"/>
  <c r="AI129" i="43"/>
  <c r="AI111" i="43"/>
  <c r="AI19" i="43"/>
  <c r="AI107" i="43"/>
  <c r="AI65" i="43"/>
  <c r="AI71" i="43"/>
  <c r="AI9" i="43"/>
  <c r="AI4" i="43"/>
  <c r="O18" i="43"/>
  <c r="C31" i="43" s="1"/>
  <c r="H18" i="41" s="1"/>
  <c r="AI112" i="43"/>
  <c r="O16" i="43"/>
  <c r="C29" i="43" s="1"/>
  <c r="H16" i="41" s="1"/>
  <c r="AI78" i="43"/>
  <c r="AI89" i="43"/>
  <c r="AI56" i="43"/>
  <c r="AI18" i="43"/>
  <c r="AI90" i="43"/>
  <c r="AI116" i="43"/>
  <c r="AI62" i="43"/>
  <c r="AI131" i="43"/>
  <c r="AI109" i="43"/>
  <c r="AI70" i="43"/>
  <c r="AI121" i="43"/>
  <c r="AI119" i="43"/>
  <c r="AI11" i="43"/>
  <c r="AI105" i="43"/>
  <c r="AI124" i="43"/>
  <c r="AI51" i="43"/>
  <c r="AI118" i="43"/>
  <c r="AI55" i="43"/>
  <c r="AI97" i="43"/>
  <c r="AI20" i="43"/>
  <c r="Q108" i="34"/>
  <c r="O108" i="34"/>
  <c r="O17" i="34"/>
  <c r="Q17" i="34"/>
  <c r="Q42" i="34"/>
  <c r="O42" i="34"/>
  <c r="Q126" i="34"/>
  <c r="O126" i="34"/>
  <c r="O28" i="34"/>
  <c r="Q28" i="34"/>
  <c r="Q82" i="34"/>
  <c r="O82" i="34"/>
  <c r="Q117" i="34"/>
  <c r="O117" i="34"/>
  <c r="Q72" i="34"/>
  <c r="O72" i="34"/>
  <c r="O76" i="34"/>
  <c r="Q76" i="34"/>
  <c r="Q54" i="34"/>
  <c r="O54" i="34"/>
  <c r="O79" i="34"/>
  <c r="Q79" i="34"/>
  <c r="Q66" i="34"/>
  <c r="O66" i="34"/>
  <c r="Q67" i="34"/>
  <c r="O67" i="34"/>
  <c r="O96" i="34"/>
  <c r="Q96" i="34"/>
  <c r="O93" i="34"/>
  <c r="Q93" i="34"/>
  <c r="Q30" i="34"/>
  <c r="O30" i="34"/>
  <c r="O53" i="34"/>
  <c r="Q53" i="34"/>
  <c r="O63" i="34"/>
  <c r="Q63" i="34"/>
  <c r="Q14" i="34"/>
  <c r="O14" i="34"/>
  <c r="AE23" i="45"/>
  <c r="AE19" i="45"/>
  <c r="AE11" i="45"/>
  <c r="AE9" i="45"/>
  <c r="AE22" i="45"/>
  <c r="AE4" i="45"/>
  <c r="AE17" i="45"/>
  <c r="AE13" i="45"/>
  <c r="AE21" i="45"/>
  <c r="AE26" i="45"/>
  <c r="AE12" i="45"/>
  <c r="AE16" i="45"/>
  <c r="K17" i="45"/>
  <c r="AE25" i="45"/>
  <c r="AE8" i="45"/>
  <c r="AE6" i="45"/>
  <c r="AE24" i="45"/>
  <c r="AE3" i="45"/>
  <c r="K18" i="45"/>
  <c r="AE14" i="45"/>
  <c r="AE10" i="45"/>
  <c r="AE5" i="45"/>
  <c r="AE15" i="45"/>
  <c r="AE7" i="45"/>
  <c r="AE18" i="45"/>
  <c r="AE20" i="45"/>
  <c r="K15" i="45"/>
  <c r="K19" i="45"/>
  <c r="K16" i="45"/>
  <c r="O56" i="34"/>
  <c r="Q7" i="34"/>
  <c r="O7" i="34"/>
  <c r="Q107" i="34"/>
  <c r="O107" i="34"/>
  <c r="Q29" i="34"/>
  <c r="O29" i="34"/>
  <c r="O88" i="34"/>
  <c r="Q88" i="34"/>
  <c r="O45" i="34"/>
  <c r="Q45" i="34"/>
  <c r="O80" i="34"/>
  <c r="Q80" i="34"/>
  <c r="O70" i="34"/>
  <c r="Q70" i="34"/>
  <c r="Q27" i="34"/>
  <c r="O27" i="34"/>
  <c r="Q8" i="34"/>
  <c r="O8" i="34"/>
  <c r="Q94" i="34"/>
  <c r="O94" i="34"/>
  <c r="O95" i="34"/>
  <c r="Q95" i="34"/>
  <c r="Q87" i="34"/>
  <c r="O87" i="34"/>
  <c r="O61" i="34"/>
  <c r="Q61" i="34"/>
  <c r="O64" i="34"/>
  <c r="Q64" i="34"/>
  <c r="Q90" i="34"/>
  <c r="O90" i="34"/>
  <c r="O78" i="34"/>
  <c r="Q78" i="34"/>
  <c r="O38" i="34"/>
  <c r="Q38" i="34"/>
  <c r="Q23" i="34"/>
  <c r="O23" i="34"/>
  <c r="AI57" i="44"/>
  <c r="AI6" i="44"/>
  <c r="AI62" i="44"/>
  <c r="AI4" i="44"/>
  <c r="AI53" i="44"/>
  <c r="AI42" i="44"/>
  <c r="AI34" i="44"/>
  <c r="AI65" i="44"/>
  <c r="AI45" i="44"/>
  <c r="AI5" i="44"/>
  <c r="O17" i="44"/>
  <c r="AI36" i="44"/>
  <c r="AI64" i="44"/>
  <c r="AI30" i="44"/>
  <c r="AI48" i="44"/>
  <c r="AI39" i="44"/>
  <c r="AI7" i="44"/>
  <c r="AI22" i="44"/>
  <c r="AI35" i="44"/>
  <c r="AI9" i="44"/>
  <c r="AI33" i="44"/>
  <c r="AI23" i="44"/>
  <c r="AI10" i="44"/>
  <c r="AI38" i="44"/>
  <c r="AI25" i="44"/>
  <c r="AI18" i="44"/>
  <c r="AI14" i="44"/>
  <c r="AI19" i="44"/>
  <c r="AI8" i="44"/>
  <c r="O15" i="44"/>
  <c r="AI49" i="44"/>
  <c r="AI51" i="44"/>
  <c r="AI59" i="44"/>
  <c r="AI16" i="44"/>
  <c r="AI58" i="44"/>
  <c r="AI32" i="44"/>
  <c r="AI63" i="44"/>
  <c r="AI54" i="44"/>
  <c r="AI41" i="44"/>
  <c r="O16" i="44"/>
  <c r="O19" i="44"/>
  <c r="AI50" i="44"/>
  <c r="AI55" i="44"/>
  <c r="AI52" i="44"/>
  <c r="AI29" i="44"/>
  <c r="AI28" i="44"/>
  <c r="AI61" i="44"/>
  <c r="AI60" i="44"/>
  <c r="AI12" i="44"/>
  <c r="AI24" i="44"/>
  <c r="AI21" i="44"/>
  <c r="AI27" i="44"/>
  <c r="AI31" i="44"/>
  <c r="AI17" i="44"/>
  <c r="AI11" i="44"/>
  <c r="AI3" i="44"/>
  <c r="AI37" i="44"/>
  <c r="AI13" i="44"/>
  <c r="AI40" i="44"/>
  <c r="AI15" i="44"/>
  <c r="AI56" i="44"/>
  <c r="AI26" i="44"/>
  <c r="O21" i="44"/>
  <c r="AI44" i="44"/>
  <c r="AI46" i="44"/>
  <c r="AI47" i="44"/>
  <c r="AI20" i="44"/>
  <c r="O18" i="44"/>
  <c r="O20" i="44"/>
  <c r="O115" i="34"/>
  <c r="Q115" i="34"/>
  <c r="O59" i="34"/>
  <c r="Q59" i="34"/>
  <c r="Q104" i="34"/>
  <c r="O104" i="34"/>
  <c r="O43" i="34"/>
  <c r="Q43" i="34"/>
  <c r="AJ41" i="44"/>
  <c r="AJ17" i="44"/>
  <c r="AJ61" i="44"/>
  <c r="AJ39" i="44"/>
  <c r="AJ64" i="44"/>
  <c r="AJ62" i="44"/>
  <c r="AJ19" i="44"/>
  <c r="AJ42" i="44"/>
  <c r="AJ65" i="44"/>
  <c r="AJ40" i="44"/>
  <c r="AJ25" i="44"/>
  <c r="AJ59" i="44"/>
  <c r="AJ51" i="44"/>
  <c r="AJ34" i="44"/>
  <c r="AJ48" i="44"/>
  <c r="AJ29" i="44"/>
  <c r="AJ16" i="44"/>
  <c r="AJ20" i="44"/>
  <c r="P17" i="44"/>
  <c r="C27" i="44" s="1"/>
  <c r="H10" i="41" s="1"/>
  <c r="AJ11" i="44"/>
  <c r="AJ4" i="44"/>
  <c r="AJ12" i="44"/>
  <c r="AJ60" i="44"/>
  <c r="AJ3" i="44"/>
  <c r="AJ38" i="44"/>
  <c r="AJ22" i="44"/>
  <c r="AJ56" i="44"/>
  <c r="AJ13" i="44"/>
  <c r="AJ43" i="44"/>
  <c r="AJ7" i="44"/>
  <c r="AJ18" i="44"/>
  <c r="AJ24" i="44"/>
  <c r="AJ5" i="44"/>
  <c r="AJ53" i="44"/>
  <c r="AJ27" i="44"/>
  <c r="AJ9" i="44"/>
  <c r="AJ57" i="44"/>
  <c r="AJ45" i="44"/>
  <c r="AJ30" i="44"/>
  <c r="AJ35" i="44"/>
  <c r="AJ8" i="44"/>
  <c r="AJ37" i="44"/>
  <c r="AJ32" i="44"/>
  <c r="AJ23" i="44"/>
  <c r="AJ31" i="44"/>
  <c r="AJ33" i="44"/>
  <c r="AJ21" i="44"/>
  <c r="AJ63" i="44"/>
  <c r="AJ44" i="44"/>
  <c r="AJ55" i="44"/>
  <c r="AJ58" i="44"/>
  <c r="P15" i="44"/>
  <c r="C25" i="44" s="1"/>
  <c r="H8" i="41" s="1"/>
  <c r="AJ52" i="44"/>
  <c r="AJ6" i="44"/>
  <c r="AJ49" i="44"/>
  <c r="AJ10" i="44"/>
  <c r="AJ46" i="44"/>
  <c r="AJ15" i="44"/>
  <c r="AJ14" i="44"/>
  <c r="AJ54" i="44"/>
  <c r="AJ47" i="44"/>
  <c r="AJ26" i="44"/>
  <c r="AJ36" i="44"/>
  <c r="AJ50" i="44"/>
  <c r="AJ28" i="44"/>
  <c r="P16" i="44"/>
  <c r="C26" i="44" s="1"/>
  <c r="H9" i="41" s="1"/>
  <c r="P18" i="44"/>
  <c r="C28" i="44" s="1"/>
  <c r="H11" i="41" s="1"/>
  <c r="P21" i="44"/>
  <c r="C31" i="44" s="1"/>
  <c r="H14" i="41" s="1"/>
  <c r="P19" i="44"/>
  <c r="C29" i="44" s="1"/>
  <c r="H12" i="41" s="1"/>
  <c r="P20" i="44"/>
  <c r="C30" i="44" s="1"/>
  <c r="H13" i="41" s="1"/>
  <c r="Q40" i="34"/>
  <c r="O40" i="34"/>
  <c r="O73" i="34"/>
  <c r="Q73" i="34"/>
  <c r="Q56" i="34"/>
  <c r="Q89" i="34"/>
  <c r="O89" i="34"/>
  <c r="Q125" i="34"/>
  <c r="O125" i="34"/>
  <c r="Q83" i="34"/>
  <c r="O83" i="34"/>
  <c r="O57" i="34"/>
  <c r="Q57" i="34"/>
  <c r="O32" i="34"/>
  <c r="Q32" i="34"/>
  <c r="Q100" i="34"/>
  <c r="O100" i="34"/>
  <c r="N72" i="34"/>
  <c r="N21" i="34"/>
  <c r="N100" i="34"/>
  <c r="N108" i="34"/>
  <c r="N91" i="34"/>
  <c r="N88" i="34"/>
  <c r="N97" i="34"/>
  <c r="N33" i="34"/>
  <c r="N62" i="34"/>
  <c r="N26" i="34"/>
  <c r="N30" i="34"/>
  <c r="N95" i="34"/>
  <c r="N67" i="34"/>
  <c r="N56" i="34"/>
  <c r="N22" i="34"/>
  <c r="N46" i="34"/>
  <c r="N40" i="34"/>
  <c r="N24" i="34"/>
  <c r="N12" i="34"/>
  <c r="N73" i="34"/>
  <c r="N42" i="34"/>
  <c r="N71" i="34"/>
  <c r="N84" i="34"/>
  <c r="N104" i="34"/>
  <c r="N39" i="34"/>
  <c r="N18" i="34"/>
  <c r="N115" i="34"/>
  <c r="N74" i="34"/>
  <c r="N120" i="34"/>
  <c r="N16" i="34"/>
  <c r="N35" i="34"/>
  <c r="N93" i="34"/>
  <c r="N13" i="34"/>
  <c r="R5" i="34"/>
  <c r="N107" i="34"/>
  <c r="N116" i="34"/>
  <c r="N77" i="34"/>
  <c r="N86" i="34"/>
  <c r="N125" i="34"/>
  <c r="N32" i="34"/>
  <c r="N34" i="34"/>
  <c r="N15" i="34"/>
  <c r="N6" i="34"/>
  <c r="N51" i="34"/>
  <c r="N113" i="34"/>
  <c r="N37" i="34"/>
  <c r="N114" i="34"/>
  <c r="N124" i="34"/>
  <c r="N55" i="34"/>
  <c r="N94" i="34"/>
  <c r="N92" i="34"/>
  <c r="N75" i="34"/>
  <c r="N59" i="34"/>
  <c r="N105" i="34"/>
  <c r="N99" i="34"/>
  <c r="N48" i="34"/>
  <c r="N19" i="34"/>
  <c r="N28" i="34"/>
  <c r="N78" i="34"/>
  <c r="N81" i="34"/>
  <c r="N20" i="34"/>
  <c r="N9" i="34"/>
  <c r="N44" i="34"/>
  <c r="N98" i="34"/>
  <c r="N121" i="34"/>
  <c r="N82" i="34"/>
  <c r="N89" i="34"/>
  <c r="N36" i="34"/>
  <c r="N66" i="34"/>
  <c r="N123" i="34"/>
  <c r="N58" i="34"/>
  <c r="N101" i="34"/>
  <c r="N70" i="34"/>
  <c r="N79" i="34"/>
  <c r="N47" i="34"/>
  <c r="N102" i="34"/>
  <c r="N8" i="34"/>
  <c r="N53" i="34"/>
  <c r="N61" i="34"/>
  <c r="N38" i="34"/>
  <c r="N25" i="34"/>
  <c r="N43" i="34"/>
  <c r="N14" i="34"/>
  <c r="N63" i="34"/>
  <c r="N45" i="34"/>
  <c r="N52" i="34"/>
  <c r="N64" i="34"/>
  <c r="N60" i="34"/>
  <c r="N87" i="34"/>
  <c r="N27" i="34"/>
  <c r="N112" i="34"/>
  <c r="N117" i="34"/>
  <c r="N7" i="34"/>
  <c r="N68" i="34"/>
  <c r="N17" i="34"/>
  <c r="N11" i="34"/>
  <c r="N110" i="34"/>
  <c r="N96" i="34"/>
  <c r="N54" i="34"/>
  <c r="N106" i="34"/>
  <c r="N111" i="34"/>
  <c r="N122" i="34"/>
  <c r="N103" i="34"/>
  <c r="N128" i="34"/>
  <c r="N76" i="34"/>
  <c r="N50" i="34"/>
  <c r="N29" i="34"/>
  <c r="N23" i="34"/>
  <c r="N129" i="34"/>
  <c r="N127" i="34"/>
  <c r="N57" i="34"/>
  <c r="N118" i="34"/>
  <c r="N85" i="34"/>
  <c r="N90" i="34"/>
  <c r="N31" i="34"/>
  <c r="N83" i="34"/>
  <c r="N80" i="34"/>
  <c r="N126" i="34"/>
  <c r="N41" i="34"/>
  <c r="N69" i="34"/>
  <c r="N65" i="34"/>
  <c r="N119" i="34"/>
  <c r="N49" i="34"/>
  <c r="N109" i="34"/>
  <c r="U21" i="34" l="1"/>
  <c r="U73" i="34"/>
  <c r="S73" i="34"/>
  <c r="U82" i="34"/>
  <c r="S82" i="34"/>
  <c r="U51" i="34"/>
  <c r="S51" i="34"/>
  <c r="S33" i="34"/>
  <c r="U33" i="34"/>
  <c r="U129" i="34"/>
  <c r="S129" i="34"/>
  <c r="S116" i="34"/>
  <c r="U116" i="34"/>
  <c r="S52" i="34"/>
  <c r="U52" i="34"/>
  <c r="S57" i="34"/>
  <c r="U57" i="34"/>
  <c r="S59" i="34"/>
  <c r="U59" i="34"/>
  <c r="S29" i="34"/>
  <c r="U29" i="34"/>
  <c r="U14" i="34"/>
  <c r="S14" i="34"/>
  <c r="S42" i="34"/>
  <c r="U42" i="34"/>
  <c r="U24" i="34"/>
  <c r="S24" i="34"/>
  <c r="S105" i="34"/>
  <c r="U105" i="34"/>
  <c r="S69" i="34"/>
  <c r="U69" i="34"/>
  <c r="U45" i="34"/>
  <c r="S45" i="34"/>
  <c r="S40" i="34"/>
  <c r="U40" i="34"/>
  <c r="U67" i="34"/>
  <c r="S67" i="34"/>
  <c r="U17" i="34"/>
  <c r="S17" i="34"/>
  <c r="U56" i="34"/>
  <c r="S56" i="34"/>
  <c r="S32" i="34"/>
  <c r="U32" i="34"/>
  <c r="U83" i="34"/>
  <c r="S83" i="34"/>
  <c r="S87" i="34"/>
  <c r="U87" i="34"/>
  <c r="S96" i="34"/>
  <c r="U96" i="34"/>
  <c r="S66" i="34"/>
  <c r="U66" i="34"/>
  <c r="U76" i="34"/>
  <c r="S76" i="34"/>
  <c r="U126" i="34"/>
  <c r="S126" i="34"/>
  <c r="U48" i="34"/>
  <c r="S48" i="34"/>
  <c r="S18" i="34"/>
  <c r="U18" i="34"/>
  <c r="U103" i="34"/>
  <c r="S103" i="34"/>
  <c r="U9" i="34"/>
  <c r="S9" i="34"/>
  <c r="S49" i="34"/>
  <c r="U49" i="34"/>
  <c r="S124" i="34"/>
  <c r="U124" i="34"/>
  <c r="S112" i="34"/>
  <c r="U112" i="34"/>
  <c r="S39" i="34"/>
  <c r="U39" i="34"/>
  <c r="S25" i="34"/>
  <c r="U25" i="34"/>
  <c r="S80" i="34"/>
  <c r="U80" i="34"/>
  <c r="U79" i="34"/>
  <c r="S79" i="34"/>
  <c r="U125" i="34"/>
  <c r="S125" i="34"/>
  <c r="U11" i="34"/>
  <c r="S11" i="34"/>
  <c r="U63" i="34"/>
  <c r="S63" i="34"/>
  <c r="S72" i="34"/>
  <c r="U72" i="34"/>
  <c r="U28" i="34"/>
  <c r="S28" i="34"/>
  <c r="U121" i="34"/>
  <c r="S121" i="34"/>
  <c r="U85" i="34"/>
  <c r="S85" i="34"/>
  <c r="S60" i="34"/>
  <c r="U60" i="34"/>
  <c r="U31" i="34"/>
  <c r="S31" i="34"/>
  <c r="U102" i="34"/>
  <c r="S102" i="34"/>
  <c r="U109" i="34"/>
  <c r="S109" i="34"/>
  <c r="S128" i="34"/>
  <c r="U128" i="34"/>
  <c r="S81" i="34"/>
  <c r="U81" i="34"/>
  <c r="S99" i="34"/>
  <c r="U99" i="34"/>
  <c r="U106" i="34"/>
  <c r="S106" i="34"/>
  <c r="S7" i="34"/>
  <c r="U7" i="34"/>
  <c r="S127" i="34"/>
  <c r="U127" i="34"/>
  <c r="U77" i="34"/>
  <c r="S77" i="34"/>
  <c r="U62" i="34"/>
  <c r="S62" i="34"/>
  <c r="U20" i="34"/>
  <c r="S20" i="34"/>
  <c r="U22" i="34"/>
  <c r="S22" i="34"/>
  <c r="S115" i="34"/>
  <c r="U115" i="34"/>
  <c r="U118" i="34"/>
  <c r="S118" i="34"/>
  <c r="U71" i="34"/>
  <c r="S71" i="34"/>
  <c r="S36" i="34"/>
  <c r="U36" i="34"/>
  <c r="U35" i="34"/>
  <c r="S35" i="34"/>
  <c r="U91" i="34"/>
  <c r="S91" i="34"/>
  <c r="S13" i="34"/>
  <c r="U13" i="34"/>
  <c r="U12" i="34"/>
  <c r="S12" i="34"/>
  <c r="S58" i="34"/>
  <c r="U58" i="34"/>
  <c r="R6" i="34"/>
  <c r="S6" i="34" s="1"/>
  <c r="S4" i="34" s="1"/>
  <c r="E4" i="33" s="1"/>
  <c r="U6" i="34"/>
  <c r="S92" i="34"/>
  <c r="U92" i="34"/>
  <c r="U38" i="34"/>
  <c r="S38" i="34"/>
  <c r="U37" i="34"/>
  <c r="S37" i="34"/>
  <c r="S55" i="34"/>
  <c r="U55" i="34"/>
  <c r="S75" i="34"/>
  <c r="U75" i="34"/>
  <c r="S8" i="34"/>
  <c r="U8" i="34"/>
  <c r="U41" i="34"/>
  <c r="S41" i="34"/>
  <c r="S78" i="34"/>
  <c r="U78" i="34"/>
  <c r="U30" i="34"/>
  <c r="S30" i="34"/>
  <c r="S111" i="34"/>
  <c r="U111" i="34"/>
  <c r="S74" i="34"/>
  <c r="U74" i="34"/>
  <c r="S93" i="34"/>
  <c r="U93" i="34"/>
  <c r="S100" i="34"/>
  <c r="U100" i="34"/>
  <c r="U89" i="34"/>
  <c r="S89" i="34"/>
  <c r="S23" i="34"/>
  <c r="U23" i="34"/>
  <c r="S70" i="34"/>
  <c r="U70" i="34"/>
  <c r="U54" i="34"/>
  <c r="S54" i="34"/>
  <c r="S123" i="34"/>
  <c r="U123" i="34"/>
  <c r="U110" i="34"/>
  <c r="S110" i="34"/>
  <c r="S101" i="34"/>
  <c r="U101" i="34"/>
  <c r="S19" i="34"/>
  <c r="U19" i="34"/>
  <c r="U50" i="34"/>
  <c r="S50" i="34"/>
  <c r="S98" i="34"/>
  <c r="U98" i="34"/>
  <c r="W5" i="34"/>
  <c r="Y5" i="34"/>
  <c r="S113" i="34"/>
  <c r="U113" i="34"/>
  <c r="S15" i="34"/>
  <c r="U15" i="34"/>
  <c r="U47" i="34"/>
  <c r="S47" i="34"/>
  <c r="S16" i="34"/>
  <c r="U16" i="34"/>
  <c r="S46" i="34"/>
  <c r="U46" i="34"/>
  <c r="U97" i="34"/>
  <c r="S97" i="34"/>
  <c r="S122" i="34"/>
  <c r="U122" i="34"/>
  <c r="S21" i="34"/>
  <c r="S104" i="34"/>
  <c r="U104" i="34"/>
  <c r="S64" i="34"/>
  <c r="U64" i="34"/>
  <c r="S108" i="34"/>
  <c r="U108" i="34"/>
  <c r="S68" i="34"/>
  <c r="U68" i="34"/>
  <c r="U86" i="34"/>
  <c r="S86" i="34"/>
  <c r="U95" i="34"/>
  <c r="S95" i="34"/>
  <c r="S34" i="34"/>
  <c r="U34" i="34"/>
  <c r="S26" i="34"/>
  <c r="U26" i="34"/>
  <c r="S10" i="34"/>
  <c r="U10" i="34"/>
  <c r="U61" i="34"/>
  <c r="S61" i="34"/>
  <c r="U43" i="34"/>
  <c r="S43" i="34"/>
  <c r="U27" i="34"/>
  <c r="S27" i="34"/>
  <c r="U90" i="34"/>
  <c r="S90" i="34"/>
  <c r="S94" i="34"/>
  <c r="U94" i="34"/>
  <c r="S88" i="34"/>
  <c r="U88" i="34"/>
  <c r="S107" i="34"/>
  <c r="U107" i="34"/>
  <c r="S53" i="34"/>
  <c r="U53" i="34"/>
  <c r="U117" i="34"/>
  <c r="S117" i="34"/>
  <c r="U120" i="34"/>
  <c r="S120" i="34"/>
  <c r="U84" i="34"/>
  <c r="S84" i="34"/>
  <c r="U119" i="34"/>
  <c r="S119" i="34"/>
  <c r="S65" i="34"/>
  <c r="U65" i="34"/>
  <c r="U114" i="34"/>
  <c r="S114" i="34"/>
  <c r="U44" i="34"/>
  <c r="S44" i="34"/>
  <c r="O1" i="34"/>
  <c r="D3" i="33" s="1"/>
  <c r="O4" i="34"/>
  <c r="E3" i="33" s="1"/>
  <c r="N4" i="8"/>
  <c r="N4" i="10"/>
  <c r="N4" i="7"/>
  <c r="AB3" i="16"/>
  <c r="N4" i="9"/>
  <c r="AB3" i="21"/>
  <c r="AB3" i="22"/>
  <c r="AB3" i="20"/>
  <c r="N4" i="11"/>
  <c r="AB3" i="19"/>
  <c r="R30" i="34"/>
  <c r="R107" i="34"/>
  <c r="R73" i="34"/>
  <c r="R123" i="34"/>
  <c r="R68" i="34"/>
  <c r="R55" i="34"/>
  <c r="R9" i="34"/>
  <c r="R87" i="34"/>
  <c r="R14" i="34"/>
  <c r="R121" i="34"/>
  <c r="R10" i="34"/>
  <c r="R41" i="34"/>
  <c r="R36" i="34"/>
  <c r="R63" i="34"/>
  <c r="R23" i="34"/>
  <c r="R109" i="34"/>
  <c r="R84" i="34"/>
  <c r="R40" i="34"/>
  <c r="R29" i="34"/>
  <c r="R82" i="34"/>
  <c r="R126" i="34"/>
  <c r="R77" i="34"/>
  <c r="R119" i="34"/>
  <c r="R31" i="34"/>
  <c r="R53" i="34"/>
  <c r="R104" i="34"/>
  <c r="R95" i="34"/>
  <c r="R16" i="34"/>
  <c r="R81" i="34"/>
  <c r="R110" i="34"/>
  <c r="R75" i="34"/>
  <c r="R76" i="34"/>
  <c r="R85" i="34"/>
  <c r="R7" i="34"/>
  <c r="R108" i="34"/>
  <c r="R111" i="34"/>
  <c r="R17" i="34"/>
  <c r="R35" i="34"/>
  <c r="R88" i="34"/>
  <c r="R64" i="34"/>
  <c r="R65" i="34"/>
  <c r="R74" i="34"/>
  <c r="R24" i="34"/>
  <c r="R89" i="34"/>
  <c r="R32" i="34"/>
  <c r="R94" i="34"/>
  <c r="R124" i="34"/>
  <c r="R78" i="34"/>
  <c r="R11" i="34"/>
  <c r="R67" i="34"/>
  <c r="R86" i="34"/>
  <c r="R39" i="34"/>
  <c r="R101" i="34"/>
  <c r="R90" i="34"/>
  <c r="R113" i="34"/>
  <c r="R118" i="34"/>
  <c r="R120" i="34"/>
  <c r="R60" i="34"/>
  <c r="R99" i="34"/>
  <c r="R46" i="34"/>
  <c r="R43" i="34"/>
  <c r="R117" i="34"/>
  <c r="R19" i="34"/>
  <c r="R57" i="34"/>
  <c r="R97" i="34"/>
  <c r="R92" i="34"/>
  <c r="R27" i="34"/>
  <c r="R125" i="34"/>
  <c r="R102" i="34"/>
  <c r="R44" i="34"/>
  <c r="R83" i="34"/>
  <c r="R128" i="34"/>
  <c r="R127" i="34"/>
  <c r="R47" i="34"/>
  <c r="R52" i="34"/>
  <c r="R28" i="34"/>
  <c r="R114" i="34"/>
  <c r="R71" i="34"/>
  <c r="R115" i="34"/>
  <c r="R61" i="34"/>
  <c r="R42" i="34"/>
  <c r="R72" i="34"/>
  <c r="R38" i="34"/>
  <c r="R34" i="34"/>
  <c r="R51" i="34"/>
  <c r="R37" i="34"/>
  <c r="R122" i="34"/>
  <c r="R105" i="34"/>
  <c r="R59" i="34"/>
  <c r="R103" i="34"/>
  <c r="R20" i="34"/>
  <c r="R56" i="34"/>
  <c r="R106" i="34"/>
  <c r="R48" i="34"/>
  <c r="R116" i="34"/>
  <c r="R93" i="34"/>
  <c r="R26" i="34"/>
  <c r="R70" i="34"/>
  <c r="R21" i="34"/>
  <c r="R96" i="34"/>
  <c r="R58" i="34"/>
  <c r="R15" i="34"/>
  <c r="R98" i="34"/>
  <c r="V5" i="34"/>
  <c r="R80" i="34"/>
  <c r="R12" i="34"/>
  <c r="R22" i="34"/>
  <c r="R54" i="34"/>
  <c r="R112" i="34"/>
  <c r="R50" i="34"/>
  <c r="R129" i="34"/>
  <c r="R91" i="34"/>
  <c r="R8" i="34"/>
  <c r="R13" i="34"/>
  <c r="R62" i="34"/>
  <c r="R100" i="34"/>
  <c r="R66" i="34"/>
  <c r="R49" i="34"/>
  <c r="R79" i="34"/>
  <c r="R25" i="34"/>
  <c r="R33" i="34"/>
  <c r="R45" i="34"/>
  <c r="R18" i="34"/>
  <c r="R69" i="34"/>
  <c r="V21" i="34"/>
  <c r="S1" i="34" l="1"/>
  <c r="D4" i="33" s="1"/>
  <c r="Y44" i="34"/>
  <c r="W44" i="34"/>
  <c r="Y111" i="34"/>
  <c r="W111" i="34"/>
  <c r="W115" i="34"/>
  <c r="Y115" i="34"/>
  <c r="W82" i="34"/>
  <c r="Y82" i="34"/>
  <c r="Y25" i="34"/>
  <c r="W25" i="34"/>
  <c r="W66" i="34"/>
  <c r="Y66" i="34"/>
  <c r="W40" i="34"/>
  <c r="Y40" i="34"/>
  <c r="W34" i="34"/>
  <c r="Y34" i="34"/>
  <c r="Y86" i="34"/>
  <c r="W86" i="34"/>
  <c r="Y101" i="34"/>
  <c r="W101" i="34"/>
  <c r="Y7" i="34"/>
  <c r="V7" i="34"/>
  <c r="W7" i="34" s="1"/>
  <c r="W60" i="34"/>
  <c r="Y60" i="34"/>
  <c r="W73" i="34"/>
  <c r="Y73" i="34"/>
  <c r="W117" i="34"/>
  <c r="Y117" i="34"/>
  <c r="W113" i="34"/>
  <c r="Y113" i="34"/>
  <c r="Y8" i="34"/>
  <c r="W8" i="34"/>
  <c r="W109" i="34"/>
  <c r="Y109" i="34"/>
  <c r="Y65" i="34"/>
  <c r="W65" i="34"/>
  <c r="Y53" i="34"/>
  <c r="W53" i="34"/>
  <c r="Y10" i="34"/>
  <c r="W10" i="34"/>
  <c r="Y97" i="34"/>
  <c r="W97" i="34"/>
  <c r="Y107" i="34"/>
  <c r="W107" i="34"/>
  <c r="W26" i="34"/>
  <c r="Y26" i="34"/>
  <c r="W95" i="34"/>
  <c r="Y95" i="34"/>
  <c r="W15" i="34"/>
  <c r="Y15" i="34"/>
  <c r="Y100" i="34"/>
  <c r="W100" i="34"/>
  <c r="W13" i="34"/>
  <c r="Y13" i="34"/>
  <c r="Y36" i="34"/>
  <c r="W36" i="34"/>
  <c r="Y20" i="34"/>
  <c r="W20" i="34"/>
  <c r="W72" i="34"/>
  <c r="Y72" i="34"/>
  <c r="Y112" i="34"/>
  <c r="W112" i="34"/>
  <c r="Y67" i="34"/>
  <c r="W67" i="34"/>
  <c r="Y69" i="34"/>
  <c r="W69" i="34"/>
  <c r="Y52" i="34"/>
  <c r="W52" i="34"/>
  <c r="W99" i="34"/>
  <c r="Y99" i="34"/>
  <c r="W76" i="34"/>
  <c r="Y76" i="34"/>
  <c r="W33" i="34"/>
  <c r="Y33" i="34"/>
  <c r="W124" i="34"/>
  <c r="Y124" i="34"/>
  <c r="W90" i="34"/>
  <c r="Y90" i="34"/>
  <c r="Y93" i="34"/>
  <c r="W93" i="34"/>
  <c r="Y55" i="34"/>
  <c r="W55" i="34"/>
  <c r="W48" i="34"/>
  <c r="Y48" i="34"/>
  <c r="Y56" i="34"/>
  <c r="W56" i="34"/>
  <c r="Y68" i="34"/>
  <c r="W68" i="34"/>
  <c r="W54" i="34"/>
  <c r="Y54" i="34"/>
  <c r="Y63" i="34"/>
  <c r="W63" i="34"/>
  <c r="Y116" i="34"/>
  <c r="W116" i="34"/>
  <c r="Y87" i="34"/>
  <c r="W87" i="34"/>
  <c r="W98" i="34"/>
  <c r="Y98" i="34"/>
  <c r="Y23" i="34"/>
  <c r="W23" i="34"/>
  <c r="Y38" i="34"/>
  <c r="W38" i="34"/>
  <c r="Y31" i="34"/>
  <c r="W31" i="34"/>
  <c r="Y42" i="34"/>
  <c r="W42" i="34"/>
  <c r="Y61" i="34"/>
  <c r="W61" i="34"/>
  <c r="Y41" i="34"/>
  <c r="W41" i="34"/>
  <c r="Y92" i="34"/>
  <c r="W92" i="34"/>
  <c r="W62" i="34"/>
  <c r="Y62" i="34"/>
  <c r="Y89" i="34"/>
  <c r="W89" i="34"/>
  <c r="W74" i="34"/>
  <c r="Y74" i="34"/>
  <c r="Y30" i="34"/>
  <c r="W30" i="34"/>
  <c r="W71" i="34"/>
  <c r="Y71" i="34"/>
  <c r="Y81" i="34"/>
  <c r="W81" i="34"/>
  <c r="W79" i="34"/>
  <c r="Y79" i="34"/>
  <c r="Y39" i="34"/>
  <c r="W39" i="34"/>
  <c r="W49" i="34"/>
  <c r="Y49" i="34"/>
  <c r="W103" i="34"/>
  <c r="Y103" i="34"/>
  <c r="Y96" i="34"/>
  <c r="W96" i="34"/>
  <c r="W83" i="34"/>
  <c r="Y83" i="34"/>
  <c r="Y57" i="34"/>
  <c r="W57" i="34"/>
  <c r="W21" i="34"/>
  <c r="W119" i="34"/>
  <c r="Y119" i="34"/>
  <c r="W16" i="34"/>
  <c r="Y16" i="34"/>
  <c r="Y121" i="34"/>
  <c r="W121" i="34"/>
  <c r="W59" i="34"/>
  <c r="Y59" i="34"/>
  <c r="Y104" i="34"/>
  <c r="W104" i="34"/>
  <c r="AC5" i="34"/>
  <c r="AA5" i="34"/>
  <c r="Y50" i="34"/>
  <c r="W50" i="34"/>
  <c r="W110" i="34"/>
  <c r="Y110" i="34"/>
  <c r="Y70" i="34"/>
  <c r="W70" i="34"/>
  <c r="Y78" i="34"/>
  <c r="W78" i="34"/>
  <c r="Y37" i="34"/>
  <c r="W37" i="34"/>
  <c r="Y12" i="34"/>
  <c r="W12" i="34"/>
  <c r="Y35" i="34"/>
  <c r="W35" i="34"/>
  <c r="W22" i="34"/>
  <c r="Y22" i="34"/>
  <c r="Y28" i="34"/>
  <c r="W28" i="34"/>
  <c r="Y80" i="34"/>
  <c r="W80" i="34"/>
  <c r="W126" i="34"/>
  <c r="Y126" i="34"/>
  <c r="W32" i="34"/>
  <c r="Y32" i="34"/>
  <c r="W17" i="34"/>
  <c r="Y17" i="34"/>
  <c r="Y45" i="34"/>
  <c r="W45" i="34"/>
  <c r="Y14" i="34"/>
  <c r="W14" i="34"/>
  <c r="W51" i="34"/>
  <c r="Y51" i="34"/>
  <c r="Y43" i="34"/>
  <c r="W43" i="34"/>
  <c r="Y122" i="34"/>
  <c r="W122" i="34"/>
  <c r="Y123" i="34"/>
  <c r="W123" i="34"/>
  <c r="W127" i="34"/>
  <c r="Y127" i="34"/>
  <c r="Y9" i="34"/>
  <c r="W9" i="34"/>
  <c r="W64" i="34"/>
  <c r="Y64" i="34"/>
  <c r="Y58" i="34"/>
  <c r="W58" i="34"/>
  <c r="Y125" i="34"/>
  <c r="W125" i="34"/>
  <c r="Y88" i="34"/>
  <c r="W88" i="34"/>
  <c r="W105" i="34"/>
  <c r="Y105" i="34"/>
  <c r="Y114" i="34"/>
  <c r="W114" i="34"/>
  <c r="Y91" i="34"/>
  <c r="W91" i="34"/>
  <c r="W84" i="34"/>
  <c r="Y84" i="34"/>
  <c r="Y94" i="34"/>
  <c r="W94" i="34"/>
  <c r="Y27" i="34"/>
  <c r="W27" i="34"/>
  <c r="W120" i="34"/>
  <c r="Y120" i="34"/>
  <c r="W108" i="34"/>
  <c r="Y108" i="34"/>
  <c r="Y46" i="34"/>
  <c r="W46" i="34"/>
  <c r="Y47" i="34"/>
  <c r="W47" i="34"/>
  <c r="W19" i="34"/>
  <c r="Y19" i="34"/>
  <c r="W75" i="34"/>
  <c r="Y75" i="34"/>
  <c r="Y6" i="34"/>
  <c r="W6" i="34"/>
  <c r="W118" i="34"/>
  <c r="Y118" i="34"/>
  <c r="W77" i="34"/>
  <c r="Y77" i="34"/>
  <c r="Y106" i="34"/>
  <c r="W106" i="34"/>
  <c r="W128" i="34"/>
  <c r="Y128" i="34"/>
  <c r="Y102" i="34"/>
  <c r="W102" i="34"/>
  <c r="W85" i="34"/>
  <c r="Y85" i="34"/>
  <c r="Y11" i="34"/>
  <c r="W11" i="34"/>
  <c r="Y18" i="34"/>
  <c r="W18" i="34"/>
  <c r="Y24" i="34"/>
  <c r="W24" i="34"/>
  <c r="W29" i="34"/>
  <c r="Y29" i="34"/>
  <c r="W129" i="34"/>
  <c r="Y129" i="34"/>
  <c r="Y21" i="34"/>
  <c r="M14" i="32"/>
  <c r="M17" i="32"/>
  <c r="M18" i="32"/>
  <c r="V86" i="34"/>
  <c r="V70" i="34"/>
  <c r="V59" i="34"/>
  <c r="V124" i="34"/>
  <c r="V13" i="34"/>
  <c r="V17" i="34"/>
  <c r="V113" i="34"/>
  <c r="V12" i="34"/>
  <c r="V115" i="34"/>
  <c r="V68" i="34"/>
  <c r="V31" i="34"/>
  <c r="V79" i="34"/>
  <c r="V74" i="34"/>
  <c r="V109" i="34"/>
  <c r="V61" i="34"/>
  <c r="V103" i="34"/>
  <c r="V22" i="34"/>
  <c r="V47" i="34"/>
  <c r="V19" i="34"/>
  <c r="V89" i="34"/>
  <c r="V40" i="34"/>
  <c r="V64" i="34"/>
  <c r="V125" i="34"/>
  <c r="V53" i="34"/>
  <c r="V63" i="34"/>
  <c r="V55" i="34"/>
  <c r="V114" i="34"/>
  <c r="V62" i="34"/>
  <c r="V20" i="34"/>
  <c r="V116" i="34"/>
  <c r="V112" i="34"/>
  <c r="V38" i="34"/>
  <c r="V76" i="34"/>
  <c r="V56" i="34"/>
  <c r="V33" i="34"/>
  <c r="V94" i="34"/>
  <c r="V29" i="34"/>
  <c r="V108" i="34"/>
  <c r="V67" i="34"/>
  <c r="V10" i="34"/>
  <c r="V69" i="34"/>
  <c r="V43" i="34"/>
  <c r="V46" i="34"/>
  <c r="V54" i="34"/>
  <c r="V27" i="34"/>
  <c r="V45" i="34"/>
  <c r="V105" i="34"/>
  <c r="V127" i="34"/>
  <c r="V44" i="34"/>
  <c r="V83" i="34"/>
  <c r="V49" i="34"/>
  <c r="V107" i="34"/>
  <c r="V120" i="34"/>
  <c r="V99" i="34"/>
  <c r="V18" i="34"/>
  <c r="V85" i="34"/>
  <c r="V100" i="34"/>
  <c r="Z5" i="34"/>
  <c r="V82" i="34"/>
  <c r="V41" i="34"/>
  <c r="V36" i="34"/>
  <c r="V77" i="34"/>
  <c r="V84" i="34"/>
  <c r="V66" i="34"/>
  <c r="V119" i="34"/>
  <c r="V16" i="34"/>
  <c r="V102" i="34"/>
  <c r="V26" i="34"/>
  <c r="V57" i="34"/>
  <c r="V52" i="34"/>
  <c r="V126" i="34"/>
  <c r="V123" i="34"/>
  <c r="V96" i="34"/>
  <c r="V129" i="34"/>
  <c r="V90" i="34"/>
  <c r="V118" i="34"/>
  <c r="V81" i="34"/>
  <c r="V121" i="34"/>
  <c r="V91" i="34"/>
  <c r="V6" i="34"/>
  <c r="V101" i="34"/>
  <c r="V30" i="34"/>
  <c r="V58" i="34"/>
  <c r="V34" i="34"/>
  <c r="V93" i="34"/>
  <c r="V72" i="34"/>
  <c r="V42" i="34"/>
  <c r="V24" i="34"/>
  <c r="V88" i="34"/>
  <c r="V50" i="34"/>
  <c r="V95" i="34"/>
  <c r="V87" i="34"/>
  <c r="V92" i="34"/>
  <c r="V51" i="34"/>
  <c r="V73" i="34"/>
  <c r="V37" i="34"/>
  <c r="V111" i="34"/>
  <c r="V122" i="34"/>
  <c r="V110" i="34"/>
  <c r="V128" i="34"/>
  <c r="V71" i="34"/>
  <c r="V23" i="34"/>
  <c r="V75" i="34"/>
  <c r="V25" i="34"/>
  <c r="V9" i="34"/>
  <c r="V11" i="34"/>
  <c r="V14" i="34"/>
  <c r="V60" i="34"/>
  <c r="V15" i="34"/>
  <c r="V8" i="34"/>
  <c r="V80" i="34"/>
  <c r="V65" i="34"/>
  <c r="V35" i="34"/>
  <c r="V32" i="34"/>
  <c r="V28" i="34"/>
  <c r="V98" i="34"/>
  <c r="V97" i="34"/>
  <c r="V106" i="34"/>
  <c r="V117" i="34"/>
  <c r="V78" i="34"/>
  <c r="V39" i="34"/>
  <c r="V104" i="34"/>
  <c r="V48" i="34"/>
  <c r="W1" i="34" l="1"/>
  <c r="D5" i="33" s="1"/>
  <c r="AA122" i="34"/>
  <c r="AC122" i="34"/>
  <c r="AC110" i="34"/>
  <c r="AA110" i="34"/>
  <c r="AC92" i="34"/>
  <c r="AA92" i="34"/>
  <c r="AC56" i="34"/>
  <c r="AA56" i="34"/>
  <c r="AC33" i="34"/>
  <c r="AA33" i="34"/>
  <c r="AA127" i="34"/>
  <c r="AC127" i="34"/>
  <c r="AC57" i="34"/>
  <c r="AA57" i="34"/>
  <c r="AA7" i="34"/>
  <c r="AC7" i="34"/>
  <c r="AA27" i="34"/>
  <c r="AC27" i="34"/>
  <c r="AC32" i="34"/>
  <c r="AA32" i="34"/>
  <c r="Z8" i="34"/>
  <c r="AA8" i="34" s="1"/>
  <c r="AC8" i="34"/>
  <c r="AC73" i="34"/>
  <c r="AA73" i="34"/>
  <c r="AA129" i="34"/>
  <c r="AC129" i="34"/>
  <c r="AA106" i="34"/>
  <c r="AC106" i="34"/>
  <c r="AA64" i="34"/>
  <c r="AC64" i="34"/>
  <c r="AA78" i="34"/>
  <c r="AC78" i="34"/>
  <c r="AC50" i="34"/>
  <c r="AA50" i="34"/>
  <c r="AA59" i="34"/>
  <c r="AC59" i="34"/>
  <c r="AC89" i="34"/>
  <c r="AA89" i="34"/>
  <c r="AA41" i="34"/>
  <c r="AC41" i="34"/>
  <c r="AC23" i="34"/>
  <c r="AA23" i="34"/>
  <c r="AC76" i="34"/>
  <c r="AA76" i="34"/>
  <c r="AC52" i="34"/>
  <c r="AA52" i="34"/>
  <c r="AC112" i="34"/>
  <c r="AA112" i="34"/>
  <c r="AC97" i="34"/>
  <c r="AA97" i="34"/>
  <c r="AA40" i="34"/>
  <c r="AC40" i="34"/>
  <c r="AC25" i="34"/>
  <c r="AA25" i="34"/>
  <c r="AC54" i="34"/>
  <c r="AA54" i="34"/>
  <c r="AA21" i="34"/>
  <c r="AC21" i="34"/>
  <c r="AA48" i="34"/>
  <c r="AC48" i="34"/>
  <c r="AC34" i="34"/>
  <c r="AA34" i="34"/>
  <c r="AC85" i="34"/>
  <c r="AA85" i="34"/>
  <c r="AA19" i="34"/>
  <c r="AC19" i="34"/>
  <c r="AC58" i="34"/>
  <c r="AA58" i="34"/>
  <c r="AC16" i="34"/>
  <c r="AA16" i="34"/>
  <c r="AA79" i="34"/>
  <c r="AC79" i="34"/>
  <c r="AC100" i="34"/>
  <c r="AA100" i="34"/>
  <c r="AC83" i="34"/>
  <c r="AA83" i="34"/>
  <c r="AC98" i="34"/>
  <c r="AA98" i="34"/>
  <c r="AC116" i="34"/>
  <c r="AA116" i="34"/>
  <c r="AA36" i="34"/>
  <c r="AC36" i="34"/>
  <c r="W4" i="34"/>
  <c r="E5" i="33" s="1"/>
  <c r="AC101" i="34"/>
  <c r="AA101" i="34"/>
  <c r="AC82" i="34"/>
  <c r="AA82" i="34"/>
  <c r="AA111" i="34"/>
  <c r="AC111" i="34"/>
  <c r="AA9" i="34"/>
  <c r="AC9" i="34"/>
  <c r="AA71" i="34"/>
  <c r="AC71" i="34"/>
  <c r="AA46" i="34"/>
  <c r="AC46" i="34"/>
  <c r="AC14" i="34"/>
  <c r="AA14" i="34"/>
  <c r="AC39" i="34"/>
  <c r="AA39" i="34"/>
  <c r="AC67" i="34"/>
  <c r="AA67" i="34"/>
  <c r="AA108" i="34"/>
  <c r="AC108" i="34"/>
  <c r="AA20" i="34"/>
  <c r="AC20" i="34"/>
  <c r="AC88" i="34"/>
  <c r="AA88" i="34"/>
  <c r="AA43" i="34"/>
  <c r="AC43" i="34"/>
  <c r="AC28" i="34"/>
  <c r="AA28" i="34"/>
  <c r="AC119" i="34"/>
  <c r="AA119" i="34"/>
  <c r="AA29" i="34"/>
  <c r="AC29" i="34"/>
  <c r="AA18" i="34"/>
  <c r="AC18" i="34"/>
  <c r="AC102" i="34"/>
  <c r="AA102" i="34"/>
  <c r="AA6" i="34"/>
  <c r="AC6" i="34"/>
  <c r="AC47" i="34"/>
  <c r="AA47" i="34"/>
  <c r="AC94" i="34"/>
  <c r="AA94" i="34"/>
  <c r="AA45" i="34"/>
  <c r="AC45" i="34"/>
  <c r="AA126" i="34"/>
  <c r="AC126" i="34"/>
  <c r="AA22" i="34"/>
  <c r="AC22" i="34"/>
  <c r="AA12" i="34"/>
  <c r="AC12" i="34"/>
  <c r="AC49" i="34"/>
  <c r="AA49" i="34"/>
  <c r="AC30" i="34"/>
  <c r="AA30" i="34"/>
  <c r="AC62" i="34"/>
  <c r="AA62" i="34"/>
  <c r="AC31" i="34"/>
  <c r="AA31" i="34"/>
  <c r="AC68" i="34"/>
  <c r="AA68" i="34"/>
  <c r="AA124" i="34"/>
  <c r="AC124" i="34"/>
  <c r="AA72" i="34"/>
  <c r="AC72" i="34"/>
  <c r="AC26" i="34"/>
  <c r="AA26" i="34"/>
  <c r="AA65" i="34"/>
  <c r="AC65" i="34"/>
  <c r="AA113" i="34"/>
  <c r="AC113" i="34"/>
  <c r="AA60" i="34"/>
  <c r="AC60" i="34"/>
  <c r="AC118" i="34"/>
  <c r="AA118" i="34"/>
  <c r="AA121" i="34"/>
  <c r="AC121" i="34"/>
  <c r="AC93" i="34"/>
  <c r="AA93" i="34"/>
  <c r="AC107" i="34"/>
  <c r="AA107" i="34"/>
  <c r="AA115" i="34"/>
  <c r="AC115" i="34"/>
  <c r="AC24" i="34"/>
  <c r="AA24" i="34"/>
  <c r="AA80" i="34"/>
  <c r="AC80" i="34"/>
  <c r="AC103" i="34"/>
  <c r="AA103" i="34"/>
  <c r="AC87" i="34"/>
  <c r="AA87" i="34"/>
  <c r="AA53" i="34"/>
  <c r="AC53" i="34"/>
  <c r="AC91" i="34"/>
  <c r="AA91" i="34"/>
  <c r="AC104" i="34"/>
  <c r="AA104" i="34"/>
  <c r="AA42" i="34"/>
  <c r="AC42" i="34"/>
  <c r="AA90" i="34"/>
  <c r="AC90" i="34"/>
  <c r="AA95" i="34"/>
  <c r="AC95" i="34"/>
  <c r="AC77" i="34"/>
  <c r="AA77" i="34"/>
  <c r="AA75" i="34"/>
  <c r="AC75" i="34"/>
  <c r="AC120" i="34"/>
  <c r="AA120" i="34"/>
  <c r="AA114" i="34"/>
  <c r="AC114" i="34"/>
  <c r="AA123" i="34"/>
  <c r="AC123" i="34"/>
  <c r="AC51" i="34"/>
  <c r="AA51" i="34"/>
  <c r="AC17" i="34"/>
  <c r="AA17" i="34"/>
  <c r="AA70" i="34"/>
  <c r="AC70" i="34"/>
  <c r="AG5" i="34"/>
  <c r="AE5" i="34"/>
  <c r="AA63" i="34"/>
  <c r="AC63" i="34"/>
  <c r="AC55" i="34"/>
  <c r="AA55" i="34"/>
  <c r="AC99" i="34"/>
  <c r="AA99" i="34"/>
  <c r="AC69" i="34"/>
  <c r="AA69" i="34"/>
  <c r="AA13" i="34"/>
  <c r="AC13" i="34"/>
  <c r="AC15" i="34"/>
  <c r="AA15" i="34"/>
  <c r="AA66" i="34"/>
  <c r="AC66" i="34"/>
  <c r="AA35" i="34"/>
  <c r="AC35" i="34"/>
  <c r="AC11" i="34"/>
  <c r="AA11" i="34"/>
  <c r="AC128" i="34"/>
  <c r="AA128" i="34"/>
  <c r="AA84" i="34"/>
  <c r="AC84" i="34"/>
  <c r="AA105" i="34"/>
  <c r="AC105" i="34"/>
  <c r="AA125" i="34"/>
  <c r="AC125" i="34"/>
  <c r="AA37" i="34"/>
  <c r="AC37" i="34"/>
  <c r="AA96" i="34"/>
  <c r="AC96" i="34"/>
  <c r="AC81" i="34"/>
  <c r="AA81" i="34"/>
  <c r="AC74" i="34"/>
  <c r="AA74" i="34"/>
  <c r="AC61" i="34"/>
  <c r="AA61" i="34"/>
  <c r="AA38" i="34"/>
  <c r="AC38" i="34"/>
  <c r="AA10" i="34"/>
  <c r="AC10" i="34"/>
  <c r="AC109" i="34"/>
  <c r="AA109" i="34"/>
  <c r="AC117" i="34"/>
  <c r="AA117" i="34"/>
  <c r="AA86" i="34"/>
  <c r="AC86" i="34"/>
  <c r="AC44" i="34"/>
  <c r="AA44" i="34"/>
  <c r="Z6" i="34"/>
  <c r="Z128" i="34"/>
  <c r="Z56" i="34"/>
  <c r="Z12" i="34"/>
  <c r="Z68" i="34"/>
  <c r="Z19" i="34"/>
  <c r="Z111" i="34"/>
  <c r="Z124" i="34"/>
  <c r="Z34" i="34"/>
  <c r="Z96" i="34"/>
  <c r="Z77" i="34"/>
  <c r="Z15" i="34"/>
  <c r="Z28" i="34"/>
  <c r="Z33" i="34"/>
  <c r="Z48" i="34"/>
  <c r="Z92" i="34"/>
  <c r="Z57" i="34"/>
  <c r="Z9" i="34"/>
  <c r="Z123" i="34"/>
  <c r="Z116" i="34"/>
  <c r="Z41" i="34"/>
  <c r="Z55" i="34"/>
  <c r="Z74" i="34"/>
  <c r="Z109" i="34"/>
  <c r="Z107" i="34"/>
  <c r="Z79" i="34"/>
  <c r="Z53" i="34"/>
  <c r="Z20" i="34"/>
  <c r="Z59" i="34"/>
  <c r="Z90" i="34"/>
  <c r="Z80" i="34"/>
  <c r="Z32" i="34"/>
  <c r="Z97" i="34"/>
  <c r="Z87" i="34"/>
  <c r="Z100" i="34"/>
  <c r="Z10" i="34"/>
  <c r="Z67" i="34"/>
  <c r="Z114" i="34"/>
  <c r="Z23" i="34"/>
  <c r="Z86" i="34"/>
  <c r="Z30" i="34"/>
  <c r="Z35" i="34"/>
  <c r="Z24" i="34"/>
  <c r="Z88" i="34"/>
  <c r="Z83" i="34"/>
  <c r="Z46" i="34"/>
  <c r="Z27" i="34"/>
  <c r="Z91" i="34"/>
  <c r="Z127" i="34"/>
  <c r="Z73" i="34"/>
  <c r="Z125" i="34"/>
  <c r="Z82" i="34"/>
  <c r="Z94" i="34"/>
  <c r="Z58" i="34"/>
  <c r="Z84" i="34"/>
  <c r="Z78" i="34"/>
  <c r="Z98" i="34"/>
  <c r="Z95" i="34"/>
  <c r="Z7" i="34"/>
  <c r="Z113" i="34"/>
  <c r="Z22" i="34"/>
  <c r="Z69" i="34"/>
  <c r="Z108" i="34"/>
  <c r="Z72" i="34"/>
  <c r="Z63" i="34"/>
  <c r="Z122" i="34"/>
  <c r="Z31" i="34"/>
  <c r="Z115" i="34"/>
  <c r="Z54" i="34"/>
  <c r="Z118" i="34"/>
  <c r="Z76" i="34"/>
  <c r="Z42" i="34"/>
  <c r="Z61" i="34"/>
  <c r="Z126" i="34"/>
  <c r="Z99" i="34"/>
  <c r="Z62" i="34"/>
  <c r="Z47" i="34"/>
  <c r="Z64" i="34"/>
  <c r="Z25" i="34"/>
  <c r="Z52" i="34"/>
  <c r="Z70" i="34"/>
  <c r="Z110" i="34"/>
  <c r="Z120" i="34"/>
  <c r="Z66" i="34"/>
  <c r="Z81" i="34"/>
  <c r="Z14" i="34"/>
  <c r="Z45" i="34"/>
  <c r="Z60" i="34"/>
  <c r="Z121" i="34"/>
  <c r="Z112" i="34"/>
  <c r="Z103" i="34"/>
  <c r="Z105" i="34"/>
  <c r="Z85" i="34"/>
  <c r="Z37" i="34"/>
  <c r="AD5" i="34"/>
  <c r="Z117" i="34"/>
  <c r="Z119" i="34"/>
  <c r="Z65" i="34"/>
  <c r="Z71" i="34"/>
  <c r="Z89" i="34"/>
  <c r="Z38" i="34"/>
  <c r="Z44" i="34"/>
  <c r="Z18" i="34"/>
  <c r="Z43" i="34"/>
  <c r="Z36" i="34"/>
  <c r="Z101" i="34"/>
  <c r="Z129" i="34"/>
  <c r="Z104" i="34"/>
  <c r="Z51" i="34"/>
  <c r="Z16" i="34"/>
  <c r="Z21" i="34"/>
  <c r="Z93" i="34"/>
  <c r="Z50" i="34"/>
  <c r="Z29" i="34"/>
  <c r="Z102" i="34"/>
  <c r="Z49" i="34"/>
  <c r="Z11" i="34"/>
  <c r="Z39" i="34"/>
  <c r="Z13" i="34"/>
  <c r="Z26" i="34"/>
  <c r="Z40" i="34"/>
  <c r="Z17" i="34"/>
  <c r="Z75" i="34"/>
  <c r="Z106" i="34"/>
  <c r="AA1" i="34" l="1"/>
  <c r="D6" i="33" s="1"/>
  <c r="AA4" i="34"/>
  <c r="E6" i="33" s="1"/>
  <c r="AE42" i="34"/>
  <c r="AG42" i="34"/>
  <c r="AE82" i="34"/>
  <c r="AG82" i="34"/>
  <c r="AE44" i="34"/>
  <c r="AG44" i="34"/>
  <c r="AE121" i="34"/>
  <c r="AG121" i="34"/>
  <c r="AG12" i="34"/>
  <c r="AE12" i="34"/>
  <c r="AE86" i="34"/>
  <c r="AG86" i="34"/>
  <c r="AG95" i="34"/>
  <c r="AE95" i="34"/>
  <c r="AG80" i="34"/>
  <c r="AE80" i="34"/>
  <c r="AG113" i="34"/>
  <c r="AE113" i="34"/>
  <c r="AE33" i="34"/>
  <c r="AG33" i="34"/>
  <c r="AG61" i="34"/>
  <c r="AE61" i="34"/>
  <c r="AE66" i="34"/>
  <c r="AG66" i="34"/>
  <c r="AE123" i="34"/>
  <c r="AG123" i="34"/>
  <c r="AG38" i="34"/>
  <c r="AE38" i="34"/>
  <c r="AE124" i="34"/>
  <c r="AG124" i="34"/>
  <c r="AG117" i="34"/>
  <c r="AE117" i="34"/>
  <c r="AE15" i="34"/>
  <c r="AG15" i="34"/>
  <c r="AG99" i="34"/>
  <c r="AE99" i="34"/>
  <c r="AE17" i="34"/>
  <c r="AG17" i="34"/>
  <c r="AG114" i="34"/>
  <c r="AE114" i="34"/>
  <c r="AG91" i="34"/>
  <c r="AE91" i="34"/>
  <c r="AE24" i="34"/>
  <c r="AG24" i="34"/>
  <c r="AE60" i="34"/>
  <c r="AG60" i="34"/>
  <c r="AE49" i="34"/>
  <c r="AG49" i="34"/>
  <c r="AG126" i="34"/>
  <c r="AE126" i="34"/>
  <c r="AE94" i="34"/>
  <c r="AG94" i="34"/>
  <c r="AG102" i="34"/>
  <c r="AE102" i="34"/>
  <c r="AE108" i="34"/>
  <c r="AG108" i="34"/>
  <c r="AG83" i="34"/>
  <c r="AE83" i="34"/>
  <c r="AE48" i="34"/>
  <c r="AG48" i="34"/>
  <c r="AE97" i="34"/>
  <c r="AG97" i="34"/>
  <c r="AE76" i="34"/>
  <c r="AG76" i="34"/>
  <c r="AE50" i="34"/>
  <c r="AG50" i="34"/>
  <c r="AE8" i="34"/>
  <c r="AG8" i="34"/>
  <c r="AE35" i="34"/>
  <c r="AG35" i="34"/>
  <c r="AI5" i="34"/>
  <c r="AK5" i="34"/>
  <c r="AG7" i="34"/>
  <c r="AE7" i="34"/>
  <c r="AG109" i="34"/>
  <c r="AE109" i="34"/>
  <c r="AE53" i="34"/>
  <c r="AG53" i="34"/>
  <c r="AG16" i="34"/>
  <c r="AE16" i="34"/>
  <c r="AG129" i="34"/>
  <c r="AE129" i="34"/>
  <c r="AE96" i="34"/>
  <c r="AG96" i="34"/>
  <c r="AG70" i="34"/>
  <c r="AE70" i="34"/>
  <c r="AE21" i="34"/>
  <c r="AG21" i="34"/>
  <c r="AE32" i="34"/>
  <c r="AG32" i="34"/>
  <c r="AE55" i="34"/>
  <c r="AG55" i="34"/>
  <c r="AE120" i="34"/>
  <c r="AG120" i="34"/>
  <c r="AE72" i="34"/>
  <c r="AG72" i="34"/>
  <c r="AE68" i="34"/>
  <c r="AG68" i="34"/>
  <c r="AE45" i="34"/>
  <c r="AG45" i="34"/>
  <c r="AE6" i="34"/>
  <c r="AG6" i="34"/>
  <c r="AG67" i="34"/>
  <c r="AE67" i="34"/>
  <c r="AG46" i="34"/>
  <c r="AE46" i="34"/>
  <c r="AE111" i="34"/>
  <c r="AG111" i="34"/>
  <c r="AE101" i="34"/>
  <c r="AG101" i="34"/>
  <c r="AG100" i="34"/>
  <c r="AE100" i="34"/>
  <c r="AE23" i="34"/>
  <c r="AG23" i="34"/>
  <c r="AG59" i="34"/>
  <c r="AE59" i="34"/>
  <c r="AE64" i="34"/>
  <c r="AG64" i="34"/>
  <c r="AG110" i="34"/>
  <c r="AE110" i="34"/>
  <c r="AE93" i="34"/>
  <c r="AG93" i="34"/>
  <c r="AG9" i="34"/>
  <c r="AD9" i="34"/>
  <c r="AE9" i="34" s="1"/>
  <c r="AE81" i="34"/>
  <c r="AG81" i="34"/>
  <c r="AG119" i="34"/>
  <c r="AE119" i="34"/>
  <c r="AE14" i="34"/>
  <c r="AG14" i="34"/>
  <c r="AG112" i="34"/>
  <c r="AE112" i="34"/>
  <c r="AE51" i="34"/>
  <c r="AG51" i="34"/>
  <c r="AG40" i="34"/>
  <c r="AE40" i="34"/>
  <c r="AG105" i="34"/>
  <c r="AE105" i="34"/>
  <c r="AE63" i="34"/>
  <c r="AG63" i="34"/>
  <c r="AG30" i="34"/>
  <c r="AE30" i="34"/>
  <c r="AE22" i="34"/>
  <c r="AG22" i="34"/>
  <c r="AE28" i="34"/>
  <c r="AG28" i="34"/>
  <c r="AG20" i="34"/>
  <c r="AE20" i="34"/>
  <c r="AE58" i="34"/>
  <c r="AG58" i="34"/>
  <c r="AE41" i="34"/>
  <c r="AG41" i="34"/>
  <c r="AE27" i="34"/>
  <c r="AG27" i="34"/>
  <c r="AG57" i="34"/>
  <c r="AE57" i="34"/>
  <c r="AG125" i="34"/>
  <c r="AE125" i="34"/>
  <c r="AE92" i="34"/>
  <c r="AG92" i="34"/>
  <c r="AE77" i="34"/>
  <c r="AG77" i="34"/>
  <c r="AE103" i="34"/>
  <c r="AG103" i="34"/>
  <c r="AE26" i="34"/>
  <c r="AG26" i="34"/>
  <c r="AE25" i="34"/>
  <c r="AG25" i="34"/>
  <c r="AG47" i="34"/>
  <c r="AE47" i="34"/>
  <c r="AE88" i="34"/>
  <c r="AG88" i="34"/>
  <c r="AE116" i="34"/>
  <c r="AG116" i="34"/>
  <c r="AE85" i="34"/>
  <c r="AG85" i="34"/>
  <c r="AG128" i="34"/>
  <c r="AE128" i="34"/>
  <c r="AE37" i="34"/>
  <c r="AG37" i="34"/>
  <c r="AG11" i="34"/>
  <c r="AE11" i="34"/>
  <c r="AE90" i="34"/>
  <c r="AG90" i="34"/>
  <c r="AG104" i="34"/>
  <c r="AE104" i="34"/>
  <c r="AG87" i="34"/>
  <c r="AE87" i="34"/>
  <c r="AG107" i="34"/>
  <c r="AE107" i="34"/>
  <c r="AG118" i="34"/>
  <c r="AE118" i="34"/>
  <c r="AE65" i="34"/>
  <c r="AG65" i="34"/>
  <c r="AG31" i="34"/>
  <c r="AE31" i="34"/>
  <c r="AE29" i="34"/>
  <c r="AG29" i="34"/>
  <c r="AE39" i="34"/>
  <c r="AG39" i="34"/>
  <c r="AE71" i="34"/>
  <c r="AG71" i="34"/>
  <c r="AG36" i="34"/>
  <c r="AE36" i="34"/>
  <c r="AG98" i="34"/>
  <c r="AE98" i="34"/>
  <c r="AG79" i="34"/>
  <c r="AE79" i="34"/>
  <c r="AG34" i="34"/>
  <c r="AE34" i="34"/>
  <c r="AE54" i="34"/>
  <c r="AG54" i="34"/>
  <c r="AE52" i="34"/>
  <c r="AG52" i="34"/>
  <c r="AE56" i="34"/>
  <c r="AG56" i="34"/>
  <c r="AG122" i="34"/>
  <c r="AE122" i="34"/>
  <c r="AG62" i="34"/>
  <c r="AE62" i="34"/>
  <c r="AG78" i="34"/>
  <c r="AE78" i="34"/>
  <c r="AG13" i="34"/>
  <c r="AE13" i="34"/>
  <c r="AG115" i="34"/>
  <c r="AE115" i="34"/>
  <c r="AE18" i="34"/>
  <c r="AG18" i="34"/>
  <c r="AG89" i="34"/>
  <c r="AE89" i="34"/>
  <c r="AG10" i="34"/>
  <c r="AE10" i="34"/>
  <c r="AG69" i="34"/>
  <c r="AE69" i="34"/>
  <c r="AG75" i="34"/>
  <c r="AE75" i="34"/>
  <c r="AE74" i="34"/>
  <c r="AG74" i="34"/>
  <c r="AG84" i="34"/>
  <c r="AE84" i="34"/>
  <c r="AE43" i="34"/>
  <c r="AG43" i="34"/>
  <c r="AE19" i="34"/>
  <c r="AG19" i="34"/>
  <c r="AE106" i="34"/>
  <c r="AG106" i="34"/>
  <c r="AE73" i="34"/>
  <c r="AG73" i="34"/>
  <c r="AE127" i="34"/>
  <c r="AG127" i="34"/>
  <c r="AD126" i="34"/>
  <c r="AD64" i="34"/>
  <c r="AD7" i="34"/>
  <c r="AD40" i="34"/>
  <c r="AD116" i="34"/>
  <c r="AD98" i="34"/>
  <c r="AD61" i="34"/>
  <c r="AD35" i="34"/>
  <c r="AD88" i="34"/>
  <c r="AD103" i="34"/>
  <c r="AD79" i="34"/>
  <c r="AD117" i="34"/>
  <c r="AD16" i="34"/>
  <c r="AD66" i="34"/>
  <c r="AD70" i="34"/>
  <c r="AD96" i="34"/>
  <c r="AD106" i="34"/>
  <c r="AD36" i="34"/>
  <c r="AD38" i="34"/>
  <c r="AD37" i="34"/>
  <c r="AD22" i="34"/>
  <c r="AD49" i="34"/>
  <c r="AD53" i="34"/>
  <c r="AD27" i="34"/>
  <c r="AH5" i="34"/>
  <c r="AD84" i="34"/>
  <c r="AD107" i="34"/>
  <c r="AD119" i="34"/>
  <c r="AD118" i="34"/>
  <c r="AD75" i="34"/>
  <c r="AD80" i="34"/>
  <c r="AD81" i="34"/>
  <c r="AD28" i="34"/>
  <c r="AD127" i="34"/>
  <c r="AD33" i="34"/>
  <c r="AD69" i="34"/>
  <c r="AD43" i="34"/>
  <c r="AD124" i="34"/>
  <c r="AD89" i="34"/>
  <c r="AD74" i="34"/>
  <c r="AD52" i="34"/>
  <c r="AD31" i="34"/>
  <c r="AD29" i="34"/>
  <c r="AD67" i="34"/>
  <c r="AD59" i="34"/>
  <c r="AD110" i="34"/>
  <c r="AD108" i="34"/>
  <c r="AD129" i="34"/>
  <c r="AD122" i="34"/>
  <c r="AD100" i="34"/>
  <c r="AD45" i="34"/>
  <c r="AD30" i="34"/>
  <c r="AD91" i="34"/>
  <c r="AD71" i="34"/>
  <c r="AD55" i="34"/>
  <c r="AD73" i="34"/>
  <c r="AD128" i="34"/>
  <c r="AD105" i="34"/>
  <c r="AD123" i="34"/>
  <c r="AD63" i="34"/>
  <c r="AD76" i="34"/>
  <c r="AD15" i="34"/>
  <c r="AD101" i="34"/>
  <c r="AD120" i="34"/>
  <c r="AD109" i="34"/>
  <c r="AD48" i="34"/>
  <c r="AD39" i="34"/>
  <c r="AD50" i="34"/>
  <c r="AD78" i="34"/>
  <c r="AD26" i="34"/>
  <c r="AD85" i="34"/>
  <c r="AD104" i="34"/>
  <c r="AD54" i="34"/>
  <c r="AD17" i="34"/>
  <c r="AD111" i="34"/>
  <c r="AD46" i="34"/>
  <c r="AD32" i="34"/>
  <c r="AD25" i="34"/>
  <c r="AD93" i="34"/>
  <c r="AD90" i="34"/>
  <c r="AD6" i="34"/>
  <c r="AD60" i="34"/>
  <c r="AD95" i="34"/>
  <c r="AD58" i="34"/>
  <c r="AD121" i="34"/>
  <c r="AD13" i="34"/>
  <c r="AD87" i="34"/>
  <c r="AD47" i="34"/>
  <c r="AD56" i="34"/>
  <c r="AD42" i="34"/>
  <c r="AD102" i="34"/>
  <c r="AD23" i="34"/>
  <c r="AD41" i="34"/>
  <c r="AD113" i="34"/>
  <c r="AD112" i="34"/>
  <c r="AD20" i="34"/>
  <c r="AD125" i="34"/>
  <c r="AD24" i="34"/>
  <c r="AD44" i="34"/>
  <c r="AD86" i="34"/>
  <c r="AD18" i="34"/>
  <c r="AD82" i="34"/>
  <c r="AD51" i="34"/>
  <c r="AD72" i="34"/>
  <c r="AD99" i="34"/>
  <c r="AD77" i="34"/>
  <c r="AD8" i="34"/>
  <c r="AD68" i="34"/>
  <c r="AD92" i="34"/>
  <c r="AD114" i="34"/>
  <c r="AD19" i="34"/>
  <c r="AD57" i="34"/>
  <c r="AD14" i="34"/>
  <c r="AD115" i="34"/>
  <c r="AD65" i="34"/>
  <c r="AD12" i="34"/>
  <c r="AD34" i="34"/>
  <c r="AD94" i="34"/>
  <c r="AD62" i="34"/>
  <c r="AD83" i="34"/>
  <c r="AD97" i="34"/>
  <c r="AD21" i="34"/>
  <c r="AD11" i="34"/>
  <c r="AD10" i="34"/>
  <c r="AE1" i="34" l="1"/>
  <c r="D7" i="33" s="1"/>
  <c r="AE4" i="34"/>
  <c r="E7" i="33" s="1"/>
  <c r="AK7" i="34"/>
  <c r="AI7" i="34"/>
  <c r="AK91" i="34"/>
  <c r="AI91" i="34"/>
  <c r="AK104" i="34"/>
  <c r="AI104" i="34"/>
  <c r="AK46" i="34"/>
  <c r="AI46" i="34"/>
  <c r="AI25" i="34"/>
  <c r="AK25" i="34"/>
  <c r="AI112" i="34"/>
  <c r="AK112" i="34"/>
  <c r="AI50" i="34"/>
  <c r="AK50" i="34"/>
  <c r="AK108" i="34"/>
  <c r="AI108" i="34"/>
  <c r="AI114" i="34"/>
  <c r="AK114" i="34"/>
  <c r="AI66" i="34"/>
  <c r="AK66" i="34"/>
  <c r="AK56" i="34"/>
  <c r="AI56" i="34"/>
  <c r="AK65" i="34"/>
  <c r="AI65" i="34"/>
  <c r="AI115" i="34"/>
  <c r="AK115" i="34"/>
  <c r="AI106" i="34"/>
  <c r="AK106" i="34"/>
  <c r="AI52" i="34"/>
  <c r="AK52" i="34"/>
  <c r="AI75" i="34"/>
  <c r="AK75" i="34"/>
  <c r="AI62" i="34"/>
  <c r="AK62" i="34"/>
  <c r="AK36" i="34"/>
  <c r="AI36" i="34"/>
  <c r="AI29" i="34"/>
  <c r="AK29" i="34"/>
  <c r="AK87" i="34"/>
  <c r="AI87" i="34"/>
  <c r="AK26" i="34"/>
  <c r="AI26" i="34"/>
  <c r="AI92" i="34"/>
  <c r="AK92" i="34"/>
  <c r="AK58" i="34"/>
  <c r="AI58" i="34"/>
  <c r="AK22" i="34"/>
  <c r="AI22" i="34"/>
  <c r="AK51" i="34"/>
  <c r="AI51" i="34"/>
  <c r="AK93" i="34"/>
  <c r="AI93" i="34"/>
  <c r="AI72" i="34"/>
  <c r="AK72" i="34"/>
  <c r="AI32" i="34"/>
  <c r="AK32" i="34"/>
  <c r="AK102" i="34"/>
  <c r="AI102" i="34"/>
  <c r="AI49" i="34"/>
  <c r="AK49" i="34"/>
  <c r="AI38" i="34"/>
  <c r="AK38" i="34"/>
  <c r="AI61" i="34"/>
  <c r="AK61" i="34"/>
  <c r="AK44" i="34"/>
  <c r="AI44" i="34"/>
  <c r="AI127" i="34"/>
  <c r="AK127" i="34"/>
  <c r="AI13" i="34"/>
  <c r="AK13" i="34"/>
  <c r="AI11" i="34"/>
  <c r="AK11" i="34"/>
  <c r="AI119" i="34"/>
  <c r="AK119" i="34"/>
  <c r="AK100" i="34"/>
  <c r="AI100" i="34"/>
  <c r="AK16" i="34"/>
  <c r="AI16" i="34"/>
  <c r="AK8" i="34"/>
  <c r="AI8" i="34"/>
  <c r="AK105" i="34"/>
  <c r="AI105" i="34"/>
  <c r="AI60" i="34"/>
  <c r="AK60" i="34"/>
  <c r="AI117" i="34"/>
  <c r="AK117" i="34"/>
  <c r="AK123" i="34"/>
  <c r="AI123" i="34"/>
  <c r="AI80" i="34"/>
  <c r="AK80" i="34"/>
  <c r="AK12" i="34"/>
  <c r="AI12" i="34"/>
  <c r="AK74" i="34"/>
  <c r="AI74" i="34"/>
  <c r="AK69" i="34"/>
  <c r="AI69" i="34"/>
  <c r="AK122" i="34"/>
  <c r="AI122" i="34"/>
  <c r="AK54" i="34"/>
  <c r="AI54" i="34"/>
  <c r="AK116" i="34"/>
  <c r="AI116" i="34"/>
  <c r="AK103" i="34"/>
  <c r="AI103" i="34"/>
  <c r="AK20" i="34"/>
  <c r="AI20" i="34"/>
  <c r="AK81" i="34"/>
  <c r="AI81" i="34"/>
  <c r="AK59" i="34"/>
  <c r="AI59" i="34"/>
  <c r="AI101" i="34"/>
  <c r="AK101" i="34"/>
  <c r="AK120" i="34"/>
  <c r="AI120" i="34"/>
  <c r="AK53" i="34"/>
  <c r="AI53" i="34"/>
  <c r="AK97" i="34"/>
  <c r="AI97" i="34"/>
  <c r="AI99" i="34"/>
  <c r="AK99" i="34"/>
  <c r="AK124" i="34"/>
  <c r="AI124" i="34"/>
  <c r="AI33" i="34"/>
  <c r="AK33" i="34"/>
  <c r="AI82" i="34"/>
  <c r="AK82" i="34"/>
  <c r="AK89" i="34"/>
  <c r="AI89" i="34"/>
  <c r="AI71" i="34"/>
  <c r="AK71" i="34"/>
  <c r="AK85" i="34"/>
  <c r="AI85" i="34"/>
  <c r="AK45" i="34"/>
  <c r="AI45" i="34"/>
  <c r="AI94" i="34"/>
  <c r="AK94" i="34"/>
  <c r="AK19" i="34"/>
  <c r="AI19" i="34"/>
  <c r="AK79" i="34"/>
  <c r="AI79" i="34"/>
  <c r="AK37" i="34"/>
  <c r="AI37" i="34"/>
  <c r="AI90" i="34"/>
  <c r="AK90" i="34"/>
  <c r="AK110" i="34"/>
  <c r="AI110" i="34"/>
  <c r="AK68" i="34"/>
  <c r="AI68" i="34"/>
  <c r="AI21" i="34"/>
  <c r="AK21" i="34"/>
  <c r="AO5" i="34"/>
  <c r="AM5" i="34"/>
  <c r="AK73" i="34"/>
  <c r="AI73" i="34"/>
  <c r="AI39" i="34"/>
  <c r="AK39" i="34"/>
  <c r="AI77" i="34"/>
  <c r="AK77" i="34"/>
  <c r="AI41" i="34"/>
  <c r="AK41" i="34"/>
  <c r="AI28" i="34"/>
  <c r="AK28" i="34"/>
  <c r="AI30" i="34"/>
  <c r="AK30" i="34"/>
  <c r="AK40" i="34"/>
  <c r="AI40" i="34"/>
  <c r="AK23" i="34"/>
  <c r="AI23" i="34"/>
  <c r="AI111" i="34"/>
  <c r="AK111" i="34"/>
  <c r="AI67" i="34"/>
  <c r="AK67" i="34"/>
  <c r="AK129" i="34"/>
  <c r="AI129" i="34"/>
  <c r="AI126" i="34"/>
  <c r="AK126" i="34"/>
  <c r="AK24" i="34"/>
  <c r="AI24" i="34"/>
  <c r="AI15" i="34"/>
  <c r="AK15" i="34"/>
  <c r="AI95" i="34"/>
  <c r="AK95" i="34"/>
  <c r="AI121" i="34"/>
  <c r="AK121" i="34"/>
  <c r="AK84" i="34"/>
  <c r="AI84" i="34"/>
  <c r="AI27" i="34"/>
  <c r="AK27" i="34"/>
  <c r="AK18" i="34"/>
  <c r="AI18" i="34"/>
  <c r="AI47" i="34"/>
  <c r="AK47" i="34"/>
  <c r="AK31" i="34"/>
  <c r="AI31" i="34"/>
  <c r="AK43" i="34"/>
  <c r="AI43" i="34"/>
  <c r="AK98" i="34"/>
  <c r="AI98" i="34"/>
  <c r="AK88" i="34"/>
  <c r="AI88" i="34"/>
  <c r="AI63" i="34"/>
  <c r="AK63" i="34"/>
  <c r="AI14" i="34"/>
  <c r="AK14" i="34"/>
  <c r="AK64" i="34"/>
  <c r="AI64" i="34"/>
  <c r="AI6" i="34"/>
  <c r="AK6" i="34"/>
  <c r="AK55" i="34"/>
  <c r="AI55" i="34"/>
  <c r="AI35" i="34"/>
  <c r="AK35" i="34"/>
  <c r="AK48" i="34"/>
  <c r="AI48" i="34"/>
  <c r="AK86" i="34"/>
  <c r="AI86" i="34"/>
  <c r="AK42" i="34"/>
  <c r="AI42" i="34"/>
  <c r="AK96" i="34"/>
  <c r="AI96" i="34"/>
  <c r="AK83" i="34"/>
  <c r="AI83" i="34"/>
  <c r="AK118" i="34"/>
  <c r="AI118" i="34"/>
  <c r="AK107" i="34"/>
  <c r="AI107" i="34"/>
  <c r="AK125" i="34"/>
  <c r="AI125" i="34"/>
  <c r="AK78" i="34"/>
  <c r="AI78" i="34"/>
  <c r="AK10" i="34"/>
  <c r="AH10" i="34"/>
  <c r="AI10" i="34" s="1"/>
  <c r="AK34" i="34"/>
  <c r="AI34" i="34"/>
  <c r="AI128" i="34"/>
  <c r="AK128" i="34"/>
  <c r="AK57" i="34"/>
  <c r="AI57" i="34"/>
  <c r="AI9" i="34"/>
  <c r="AK9" i="34"/>
  <c r="AK70" i="34"/>
  <c r="AI70" i="34"/>
  <c r="AI109" i="34"/>
  <c r="AK109" i="34"/>
  <c r="AI76" i="34"/>
  <c r="AK76" i="34"/>
  <c r="AI17" i="34"/>
  <c r="AK17" i="34"/>
  <c r="AK113" i="34"/>
  <c r="AI113" i="34"/>
  <c r="AH21" i="34"/>
  <c r="AH54" i="34"/>
  <c r="AH6" i="34"/>
  <c r="AH72" i="34"/>
  <c r="AH65" i="34"/>
  <c r="AH41" i="34"/>
  <c r="AH63" i="34"/>
  <c r="AH73" i="34"/>
  <c r="AH28" i="34"/>
  <c r="AH118" i="34"/>
  <c r="AH128" i="34"/>
  <c r="AH68" i="34"/>
  <c r="AH127" i="34"/>
  <c r="AH107" i="34"/>
  <c r="AH51" i="34"/>
  <c r="AH70" i="34"/>
  <c r="AH100" i="34"/>
  <c r="AH29" i="34"/>
  <c r="AH38" i="34"/>
  <c r="AH66" i="34"/>
  <c r="AH16" i="34"/>
  <c r="AH99" i="34"/>
  <c r="AH27" i="34"/>
  <c r="AH44" i="34"/>
  <c r="AH80" i="34"/>
  <c r="AH119" i="34"/>
  <c r="AH52" i="34"/>
  <c r="AH85" i="34"/>
  <c r="AH106" i="34"/>
  <c r="AH86" i="34"/>
  <c r="AH76" i="34"/>
  <c r="AH42" i="34"/>
  <c r="AH114" i="34"/>
  <c r="AH7" i="34"/>
  <c r="AH77" i="34"/>
  <c r="AH61" i="34"/>
  <c r="AH48" i="34"/>
  <c r="AH17" i="34"/>
  <c r="AH33" i="34"/>
  <c r="AH113" i="34"/>
  <c r="AH59" i="34"/>
  <c r="AH126" i="34"/>
  <c r="AH102" i="34"/>
  <c r="AH88" i="34"/>
  <c r="AH121" i="34"/>
  <c r="AH31" i="34"/>
  <c r="AH36" i="34"/>
  <c r="AH117" i="34"/>
  <c r="AH57" i="34"/>
  <c r="AH90" i="34"/>
  <c r="AH37" i="34"/>
  <c r="AH56" i="34"/>
  <c r="AH111" i="34"/>
  <c r="AH123" i="34"/>
  <c r="AH101" i="34"/>
  <c r="AH105" i="34"/>
  <c r="AH43" i="34"/>
  <c r="AH40" i="34"/>
  <c r="AH94" i="34"/>
  <c r="AH122" i="34"/>
  <c r="AH20" i="34"/>
  <c r="AH103" i="34"/>
  <c r="AH91" i="34"/>
  <c r="AH112" i="34"/>
  <c r="AH71" i="34"/>
  <c r="AH11" i="34"/>
  <c r="AH92" i="34"/>
  <c r="AH124" i="34"/>
  <c r="AH45" i="34"/>
  <c r="AH81" i="34"/>
  <c r="AH104" i="34"/>
  <c r="AH53" i="34"/>
  <c r="AH35" i="34"/>
  <c r="AH46" i="34"/>
  <c r="AH22" i="34"/>
  <c r="AH120" i="34"/>
  <c r="AH75" i="34"/>
  <c r="AH79" i="34"/>
  <c r="AH23" i="34"/>
  <c r="AH12" i="34"/>
  <c r="AH129" i="34"/>
  <c r="AH26" i="34"/>
  <c r="AH32" i="34"/>
  <c r="AH78" i="34"/>
  <c r="AH110" i="34"/>
  <c r="AH74" i="34"/>
  <c r="AH93" i="34"/>
  <c r="AH108" i="34"/>
  <c r="AH15" i="34"/>
  <c r="AL5" i="34"/>
  <c r="AH87" i="34"/>
  <c r="AH115" i="34"/>
  <c r="AH19" i="34"/>
  <c r="AH25" i="34"/>
  <c r="AH47" i="34"/>
  <c r="AH13" i="34"/>
  <c r="AH64" i="34"/>
  <c r="AH9" i="34"/>
  <c r="AH8" i="34"/>
  <c r="AH69" i="34"/>
  <c r="AH125" i="34"/>
  <c r="AH95" i="34"/>
  <c r="AH84" i="34"/>
  <c r="AH14" i="34"/>
  <c r="AH97" i="34"/>
  <c r="AH24" i="34"/>
  <c r="AH116" i="34"/>
  <c r="AH50" i="34"/>
  <c r="AH60" i="34"/>
  <c r="AH89" i="34"/>
  <c r="AH58" i="34"/>
  <c r="AH34" i="34"/>
  <c r="AH109" i="34"/>
  <c r="AH30" i="34"/>
  <c r="AH67" i="34"/>
  <c r="AH18" i="34"/>
  <c r="AH96" i="34"/>
  <c r="AH49" i="34"/>
  <c r="AH62" i="34"/>
  <c r="AH83" i="34"/>
  <c r="AH55" i="34"/>
  <c r="AH39" i="34"/>
  <c r="AH82" i="34"/>
  <c r="AH98" i="34"/>
  <c r="AI1" i="34" l="1"/>
  <c r="D8" i="33" s="1"/>
  <c r="AM113" i="34"/>
  <c r="AO113" i="34"/>
  <c r="AO97" i="34"/>
  <c r="AM97" i="34"/>
  <c r="AO34" i="34"/>
  <c r="AM34" i="34"/>
  <c r="AM108" i="34"/>
  <c r="AO108" i="34"/>
  <c r="AM64" i="34"/>
  <c r="AO64" i="34"/>
  <c r="AM73" i="34"/>
  <c r="AO73" i="34"/>
  <c r="AO124" i="34"/>
  <c r="AM124" i="34"/>
  <c r="AM50" i="34"/>
  <c r="AO50" i="34"/>
  <c r="AM107" i="34"/>
  <c r="AO107" i="34"/>
  <c r="AM128" i="34"/>
  <c r="AO128" i="34"/>
  <c r="AM14" i="34"/>
  <c r="AO14" i="34"/>
  <c r="AM27" i="34"/>
  <c r="AO27" i="34"/>
  <c r="AM118" i="34"/>
  <c r="AO118" i="34"/>
  <c r="AM9" i="34"/>
  <c r="AO9" i="34"/>
  <c r="AM63" i="34"/>
  <c r="AO63" i="34"/>
  <c r="AM15" i="34"/>
  <c r="AO15" i="34"/>
  <c r="AO41" i="34"/>
  <c r="AM41" i="34"/>
  <c r="AM90" i="34"/>
  <c r="AO90" i="34"/>
  <c r="AO79" i="34"/>
  <c r="AM79" i="34"/>
  <c r="AM101" i="34"/>
  <c r="AO101" i="34"/>
  <c r="AO12" i="34"/>
  <c r="AM12" i="34"/>
  <c r="AM100" i="34"/>
  <c r="AO100" i="34"/>
  <c r="AO61" i="34"/>
  <c r="AM61" i="34"/>
  <c r="AO72" i="34"/>
  <c r="AM72" i="34"/>
  <c r="AM75" i="34"/>
  <c r="AO75" i="34"/>
  <c r="AO109" i="34"/>
  <c r="AM109" i="34"/>
  <c r="AM42" i="34"/>
  <c r="AO42" i="34"/>
  <c r="AM45" i="34"/>
  <c r="AO45" i="34"/>
  <c r="AO56" i="34"/>
  <c r="AM56" i="34"/>
  <c r="AM111" i="34"/>
  <c r="AO111" i="34"/>
  <c r="AM115" i="34"/>
  <c r="AO115" i="34"/>
  <c r="AO121" i="34"/>
  <c r="AM121" i="34"/>
  <c r="AO68" i="34"/>
  <c r="AM68" i="34"/>
  <c r="AM127" i="34"/>
  <c r="AO127" i="34"/>
  <c r="AO86" i="34"/>
  <c r="AM86" i="34"/>
  <c r="AO94" i="34"/>
  <c r="AM94" i="34"/>
  <c r="AM85" i="34"/>
  <c r="AO85" i="34"/>
  <c r="AO53" i="34"/>
  <c r="AM53" i="34"/>
  <c r="AM59" i="34"/>
  <c r="AO59" i="34"/>
  <c r="AM54" i="34"/>
  <c r="AO54" i="34"/>
  <c r="AM38" i="34"/>
  <c r="AO38" i="34"/>
  <c r="AO93" i="34"/>
  <c r="AM93" i="34"/>
  <c r="AM58" i="34"/>
  <c r="AO58" i="34"/>
  <c r="AM52" i="34"/>
  <c r="AO52" i="34"/>
  <c r="AM91" i="34"/>
  <c r="AO91" i="34"/>
  <c r="AO125" i="34"/>
  <c r="AM125" i="34"/>
  <c r="AM84" i="34"/>
  <c r="AO84" i="34"/>
  <c r="AM119" i="34"/>
  <c r="AO119" i="34"/>
  <c r="AO22" i="34"/>
  <c r="AM22" i="34"/>
  <c r="AO66" i="34"/>
  <c r="AM66" i="34"/>
  <c r="AO19" i="34"/>
  <c r="AM19" i="34"/>
  <c r="AM102" i="34"/>
  <c r="AO102" i="34"/>
  <c r="AO24" i="34"/>
  <c r="AM24" i="34"/>
  <c r="AM129" i="34"/>
  <c r="AO129" i="34"/>
  <c r="AO23" i="34"/>
  <c r="AM23" i="34"/>
  <c r="AO28" i="34"/>
  <c r="AM28" i="34"/>
  <c r="AQ5" i="34"/>
  <c r="AS5" i="34"/>
  <c r="AM37" i="34"/>
  <c r="AO37" i="34"/>
  <c r="AO71" i="34"/>
  <c r="AM71" i="34"/>
  <c r="AO99" i="34"/>
  <c r="AM99" i="34"/>
  <c r="AM103" i="34"/>
  <c r="AO103" i="34"/>
  <c r="AO74" i="34"/>
  <c r="AM74" i="34"/>
  <c r="AM16" i="34"/>
  <c r="AO16" i="34"/>
  <c r="AL11" i="34"/>
  <c r="AM11" i="34" s="1"/>
  <c r="AO11" i="34"/>
  <c r="AO32" i="34"/>
  <c r="AM32" i="34"/>
  <c r="AM46" i="34"/>
  <c r="AO46" i="34"/>
  <c r="AM104" i="34"/>
  <c r="AO104" i="34"/>
  <c r="AO18" i="34"/>
  <c r="AM18" i="34"/>
  <c r="AI4" i="34"/>
  <c r="E8" i="33" s="1"/>
  <c r="AO89" i="34"/>
  <c r="AM89" i="34"/>
  <c r="AO82" i="34"/>
  <c r="AM82" i="34"/>
  <c r="AM36" i="34"/>
  <c r="AO36" i="34"/>
  <c r="AM55" i="34"/>
  <c r="AO55" i="34"/>
  <c r="AO31" i="34"/>
  <c r="AM31" i="34"/>
  <c r="AO96" i="34"/>
  <c r="AM96" i="34"/>
  <c r="AO48" i="34"/>
  <c r="AM48" i="34"/>
  <c r="AO47" i="34"/>
  <c r="AM47" i="34"/>
  <c r="AM126" i="34"/>
  <c r="AO126" i="34"/>
  <c r="AO39" i="34"/>
  <c r="AM39" i="34"/>
  <c r="AM122" i="34"/>
  <c r="AO122" i="34"/>
  <c r="AM123" i="34"/>
  <c r="AO123" i="34"/>
  <c r="AM105" i="34"/>
  <c r="AO105" i="34"/>
  <c r="AM51" i="34"/>
  <c r="AO51" i="34"/>
  <c r="AM92" i="34"/>
  <c r="AO92" i="34"/>
  <c r="AO87" i="34"/>
  <c r="AM87" i="34"/>
  <c r="AM62" i="34"/>
  <c r="AO62" i="34"/>
  <c r="AO106" i="34"/>
  <c r="AM106" i="34"/>
  <c r="AM65" i="34"/>
  <c r="AO65" i="34"/>
  <c r="AO114" i="34"/>
  <c r="AM114" i="34"/>
  <c r="AO112" i="34"/>
  <c r="AM112" i="34"/>
  <c r="AM7" i="34"/>
  <c r="AO7" i="34"/>
  <c r="AM35" i="34"/>
  <c r="AO35" i="34"/>
  <c r="AO43" i="34"/>
  <c r="AM43" i="34"/>
  <c r="AM40" i="34"/>
  <c r="AO40" i="34"/>
  <c r="AM116" i="34"/>
  <c r="AO116" i="34"/>
  <c r="AO80" i="34"/>
  <c r="AM80" i="34"/>
  <c r="AO83" i="34"/>
  <c r="AM83" i="34"/>
  <c r="AM30" i="34"/>
  <c r="AO30" i="34"/>
  <c r="AO69" i="34"/>
  <c r="AM69" i="34"/>
  <c r="AM8" i="34"/>
  <c r="AO8" i="34"/>
  <c r="AO25" i="34"/>
  <c r="AM25" i="34"/>
  <c r="AM17" i="34"/>
  <c r="AO17" i="34"/>
  <c r="AO57" i="34"/>
  <c r="AM57" i="34"/>
  <c r="AO77" i="34"/>
  <c r="AM77" i="34"/>
  <c r="AM20" i="34"/>
  <c r="AO20" i="34"/>
  <c r="AO60" i="34"/>
  <c r="AM60" i="34"/>
  <c r="AO26" i="34"/>
  <c r="AM26" i="34"/>
  <c r="AO10" i="34"/>
  <c r="AM10" i="34"/>
  <c r="AO88" i="34"/>
  <c r="AM88" i="34"/>
  <c r="AM70" i="34"/>
  <c r="AO70" i="34"/>
  <c r="AM95" i="34"/>
  <c r="AO95" i="34"/>
  <c r="AM76" i="34"/>
  <c r="AO76" i="34"/>
  <c r="AM78" i="34"/>
  <c r="AO78" i="34"/>
  <c r="AM6" i="34"/>
  <c r="AO6" i="34"/>
  <c r="AM98" i="34"/>
  <c r="AO98" i="34"/>
  <c r="AO67" i="34"/>
  <c r="AM67" i="34"/>
  <c r="AM21" i="34"/>
  <c r="AO21" i="34"/>
  <c r="AM110" i="34"/>
  <c r="AO110" i="34"/>
  <c r="AO33" i="34"/>
  <c r="AM33" i="34"/>
  <c r="AM120" i="34"/>
  <c r="AO120" i="34"/>
  <c r="AM81" i="34"/>
  <c r="AO81" i="34"/>
  <c r="AM117" i="34"/>
  <c r="AO117" i="34"/>
  <c r="AO13" i="34"/>
  <c r="AM13" i="34"/>
  <c r="AM44" i="34"/>
  <c r="AO44" i="34"/>
  <c r="AO49" i="34"/>
  <c r="AM49" i="34"/>
  <c r="AO29" i="34"/>
  <c r="AM29" i="34"/>
  <c r="AL57" i="34"/>
  <c r="AL90" i="34"/>
  <c r="AL121" i="34"/>
  <c r="AL78" i="34"/>
  <c r="AL48" i="34"/>
  <c r="AL126" i="34"/>
  <c r="AL83" i="34"/>
  <c r="AL37" i="34"/>
  <c r="AL127" i="34"/>
  <c r="AL93" i="34"/>
  <c r="AL129" i="34"/>
  <c r="AL39" i="34"/>
  <c r="AL94" i="34"/>
  <c r="AL91" i="34"/>
  <c r="AL77" i="34"/>
  <c r="AL36" i="34"/>
  <c r="AL35" i="34"/>
  <c r="AL123" i="34"/>
  <c r="AL82" i="34"/>
  <c r="AL38" i="34"/>
  <c r="AL22" i="34"/>
  <c r="AL21" i="34"/>
  <c r="AL128" i="34"/>
  <c r="AL113" i="34"/>
  <c r="AL30" i="34"/>
  <c r="AL118" i="34"/>
  <c r="AL71" i="34"/>
  <c r="AL81" i="34"/>
  <c r="AL108" i="34"/>
  <c r="AL99" i="34"/>
  <c r="AL13" i="34"/>
  <c r="AL19" i="34"/>
  <c r="AL29" i="34"/>
  <c r="AL72" i="34"/>
  <c r="AL63" i="34"/>
  <c r="AL18" i="34"/>
  <c r="AL87" i="34"/>
  <c r="AL106" i="34"/>
  <c r="AL110" i="34"/>
  <c r="AL41" i="34"/>
  <c r="AL7" i="34"/>
  <c r="AL96" i="34"/>
  <c r="AL54" i="34"/>
  <c r="AL86" i="34"/>
  <c r="AL76" i="34"/>
  <c r="AL10" i="34"/>
  <c r="AL125" i="34"/>
  <c r="AL8" i="34"/>
  <c r="AL84" i="34"/>
  <c r="AL97" i="34"/>
  <c r="AL40" i="34"/>
  <c r="AP5" i="34"/>
  <c r="AL116" i="34"/>
  <c r="AL79" i="34"/>
  <c r="AL68" i="34"/>
  <c r="AL16" i="34"/>
  <c r="AL23" i="34"/>
  <c r="AL9" i="34"/>
  <c r="AL28" i="34"/>
  <c r="AL111" i="34"/>
  <c r="AL80" i="34"/>
  <c r="AL69" i="34"/>
  <c r="AL107" i="34"/>
  <c r="AL64" i="34"/>
  <c r="AL66" i="34"/>
  <c r="AL103" i="34"/>
  <c r="AL65" i="34"/>
  <c r="AL74" i="34"/>
  <c r="AL55" i="34"/>
  <c r="AL119" i="34"/>
  <c r="AL60" i="34"/>
  <c r="AL70" i="34"/>
  <c r="AL6" i="34"/>
  <c r="AL61" i="34"/>
  <c r="AL98" i="34"/>
  <c r="AL53" i="34"/>
  <c r="AL58" i="34"/>
  <c r="AL14" i="34"/>
  <c r="AL33" i="34"/>
  <c r="AL24" i="34"/>
  <c r="AL50" i="34"/>
  <c r="AL49" i="34"/>
  <c r="AL34" i="34"/>
  <c r="AL44" i="34"/>
  <c r="AL51" i="34"/>
  <c r="AL62" i="34"/>
  <c r="AL73" i="34"/>
  <c r="AL92" i="34"/>
  <c r="AL100" i="34"/>
  <c r="AL67" i="34"/>
  <c r="AL42" i="34"/>
  <c r="AL52" i="34"/>
  <c r="AL104" i="34"/>
  <c r="AL45" i="34"/>
  <c r="AL27" i="34"/>
  <c r="AL105" i="34"/>
  <c r="AL88" i="34"/>
  <c r="AL124" i="34"/>
  <c r="AL120" i="34"/>
  <c r="AL89" i="34"/>
  <c r="AL115" i="34"/>
  <c r="AL26" i="34"/>
  <c r="AL112" i="34"/>
  <c r="AL56" i="34"/>
  <c r="AL122" i="34"/>
  <c r="AL15" i="34"/>
  <c r="AL102" i="34"/>
  <c r="AL47" i="34"/>
  <c r="AL75" i="34"/>
  <c r="AL95" i="34"/>
  <c r="AL109" i="34"/>
  <c r="AL85" i="34"/>
  <c r="AL20" i="34"/>
  <c r="AL12" i="34"/>
  <c r="AL101" i="34"/>
  <c r="AL17" i="34"/>
  <c r="AL25" i="34"/>
  <c r="AL43" i="34"/>
  <c r="AL32" i="34"/>
  <c r="AL59" i="34"/>
  <c r="AL117" i="34"/>
  <c r="AL31" i="34"/>
  <c r="AL114" i="34"/>
  <c r="AL46" i="34"/>
  <c r="AM1" i="34" l="1"/>
  <c r="D9" i="33" s="1"/>
  <c r="AQ46" i="34"/>
  <c r="AS46" i="34"/>
  <c r="AQ86" i="34"/>
  <c r="AS86" i="34"/>
  <c r="AS15" i="34"/>
  <c r="AQ15" i="34"/>
  <c r="AS13" i="34"/>
  <c r="AQ13" i="34"/>
  <c r="AS80" i="34"/>
  <c r="AQ80" i="34"/>
  <c r="AS122" i="34"/>
  <c r="AQ122" i="34"/>
  <c r="AQ52" i="34"/>
  <c r="AS52" i="34"/>
  <c r="AS72" i="34"/>
  <c r="AQ72" i="34"/>
  <c r="AS64" i="34"/>
  <c r="AQ64" i="34"/>
  <c r="AS117" i="34"/>
  <c r="AQ117" i="34"/>
  <c r="AS77" i="34"/>
  <c r="AQ77" i="34"/>
  <c r="AU5" i="34"/>
  <c r="AW5" i="34"/>
  <c r="AQ63" i="34"/>
  <c r="AS63" i="34"/>
  <c r="AS49" i="34"/>
  <c r="AQ49" i="34"/>
  <c r="AQ95" i="34"/>
  <c r="AS95" i="34"/>
  <c r="AS8" i="34"/>
  <c r="AQ8" i="34"/>
  <c r="AQ110" i="34"/>
  <c r="AS110" i="34"/>
  <c r="AS29" i="34"/>
  <c r="AQ29" i="34"/>
  <c r="AS70" i="34"/>
  <c r="AQ70" i="34"/>
  <c r="AS83" i="34"/>
  <c r="AQ83" i="34"/>
  <c r="AS7" i="34"/>
  <c r="AQ7" i="34"/>
  <c r="AQ62" i="34"/>
  <c r="AS62" i="34"/>
  <c r="AQ126" i="34"/>
  <c r="AS126" i="34"/>
  <c r="AQ89" i="34"/>
  <c r="AS89" i="34"/>
  <c r="AS103" i="34"/>
  <c r="AQ103" i="34"/>
  <c r="AS28" i="34"/>
  <c r="AQ28" i="34"/>
  <c r="AQ42" i="34"/>
  <c r="AS42" i="34"/>
  <c r="AS50" i="34"/>
  <c r="AQ50" i="34"/>
  <c r="AQ34" i="34"/>
  <c r="AS34" i="34"/>
  <c r="AS98" i="34"/>
  <c r="AQ98" i="34"/>
  <c r="AQ37" i="34"/>
  <c r="AS37" i="34"/>
  <c r="AQ93" i="34"/>
  <c r="AS93" i="34"/>
  <c r="AQ105" i="34"/>
  <c r="AS105" i="34"/>
  <c r="AS23" i="34"/>
  <c r="AQ23" i="34"/>
  <c r="AQ43" i="34"/>
  <c r="AS43" i="34"/>
  <c r="AS47" i="34"/>
  <c r="AQ47" i="34"/>
  <c r="AQ31" i="34"/>
  <c r="AS31" i="34"/>
  <c r="AS99" i="34"/>
  <c r="AQ99" i="34"/>
  <c r="AQ129" i="34"/>
  <c r="AS129" i="34"/>
  <c r="AS38" i="34"/>
  <c r="AQ38" i="34"/>
  <c r="AS94" i="34"/>
  <c r="AQ94" i="34"/>
  <c r="AQ115" i="34"/>
  <c r="AS115" i="34"/>
  <c r="AS45" i="34"/>
  <c r="AQ45" i="34"/>
  <c r="AS109" i="34"/>
  <c r="AQ109" i="34"/>
  <c r="AQ101" i="34"/>
  <c r="AS101" i="34"/>
  <c r="AQ120" i="34"/>
  <c r="AS120" i="34"/>
  <c r="AQ24" i="34"/>
  <c r="AS24" i="34"/>
  <c r="AS118" i="34"/>
  <c r="AQ118" i="34"/>
  <c r="AS65" i="34"/>
  <c r="AQ65" i="34"/>
  <c r="AQ66" i="34"/>
  <c r="AS66" i="34"/>
  <c r="AQ30" i="34"/>
  <c r="AS30" i="34"/>
  <c r="AS87" i="34"/>
  <c r="AQ87" i="34"/>
  <c r="AQ60" i="34"/>
  <c r="AS60" i="34"/>
  <c r="AS116" i="34"/>
  <c r="AQ116" i="34"/>
  <c r="AQ82" i="34"/>
  <c r="AS82" i="34"/>
  <c r="AS18" i="34"/>
  <c r="AQ18" i="34"/>
  <c r="AQ22" i="34"/>
  <c r="AS22" i="34"/>
  <c r="AS58" i="34"/>
  <c r="AQ58" i="34"/>
  <c r="AM4" i="34"/>
  <c r="E9" i="33" s="1"/>
  <c r="AQ75" i="34"/>
  <c r="AS75" i="34"/>
  <c r="AQ61" i="34"/>
  <c r="AS61" i="34"/>
  <c r="AQ27" i="34"/>
  <c r="AS27" i="34"/>
  <c r="AQ124" i="34"/>
  <c r="AS124" i="34"/>
  <c r="AQ108" i="34"/>
  <c r="AS108" i="34"/>
  <c r="AQ113" i="34"/>
  <c r="AS113" i="34"/>
  <c r="AS84" i="34"/>
  <c r="AQ84" i="34"/>
  <c r="AQ21" i="34"/>
  <c r="AS21" i="34"/>
  <c r="AQ69" i="34"/>
  <c r="AS69" i="34"/>
  <c r="AS96" i="34"/>
  <c r="AQ96" i="34"/>
  <c r="AQ56" i="34"/>
  <c r="AS56" i="34"/>
  <c r="AS12" i="34"/>
  <c r="AP12" i="34"/>
  <c r="AQ12" i="34" s="1"/>
  <c r="AS6" i="34"/>
  <c r="AQ6" i="34"/>
  <c r="AQ81" i="34"/>
  <c r="AS81" i="34"/>
  <c r="AQ33" i="34"/>
  <c r="AS33" i="34"/>
  <c r="AS78" i="34"/>
  <c r="AQ78" i="34"/>
  <c r="AQ10" i="34"/>
  <c r="AS10" i="34"/>
  <c r="AQ20" i="34"/>
  <c r="AS20" i="34"/>
  <c r="AS35" i="34"/>
  <c r="AQ35" i="34"/>
  <c r="AQ106" i="34"/>
  <c r="AS106" i="34"/>
  <c r="AS92" i="34"/>
  <c r="AQ92" i="34"/>
  <c r="AQ39" i="34"/>
  <c r="AS39" i="34"/>
  <c r="AS48" i="34"/>
  <c r="AQ48" i="34"/>
  <c r="AS104" i="34"/>
  <c r="AQ104" i="34"/>
  <c r="AQ32" i="34"/>
  <c r="AS32" i="34"/>
  <c r="AQ74" i="34"/>
  <c r="AS74" i="34"/>
  <c r="AS119" i="34"/>
  <c r="AQ119" i="34"/>
  <c r="AQ125" i="34"/>
  <c r="AS125" i="34"/>
  <c r="AQ53" i="34"/>
  <c r="AS53" i="34"/>
  <c r="AQ111" i="34"/>
  <c r="AS111" i="34"/>
  <c r="AQ100" i="34"/>
  <c r="AS100" i="34"/>
  <c r="AS107" i="34"/>
  <c r="AQ107" i="34"/>
  <c r="AS73" i="34"/>
  <c r="AQ73" i="34"/>
  <c r="AS76" i="34"/>
  <c r="AQ76" i="34"/>
  <c r="AS26" i="34"/>
  <c r="AQ26" i="34"/>
  <c r="AS51" i="34"/>
  <c r="AQ51" i="34"/>
  <c r="AQ36" i="34"/>
  <c r="AS36" i="34"/>
  <c r="AQ16" i="34"/>
  <c r="AS16" i="34"/>
  <c r="AS59" i="34"/>
  <c r="AQ59" i="34"/>
  <c r="AQ79" i="34"/>
  <c r="AS79" i="34"/>
  <c r="AS121" i="34"/>
  <c r="AQ121" i="34"/>
  <c r="AQ90" i="34"/>
  <c r="AS90" i="34"/>
  <c r="AQ128" i="34"/>
  <c r="AS128" i="34"/>
  <c r="AS102" i="34"/>
  <c r="AQ102" i="34"/>
  <c r="AS127" i="34"/>
  <c r="AQ127" i="34"/>
  <c r="AQ97" i="34"/>
  <c r="AS97" i="34"/>
  <c r="AS88" i="34"/>
  <c r="AQ88" i="34"/>
  <c r="AS25" i="34"/>
  <c r="AQ25" i="34"/>
  <c r="AS44" i="34"/>
  <c r="AQ44" i="34"/>
  <c r="AQ57" i="34"/>
  <c r="AS57" i="34"/>
  <c r="AS112" i="34"/>
  <c r="AQ112" i="34"/>
  <c r="AS67" i="34"/>
  <c r="AQ67" i="34"/>
  <c r="AS17" i="34"/>
  <c r="AQ17" i="34"/>
  <c r="AS40" i="34"/>
  <c r="AQ40" i="34"/>
  <c r="AQ114" i="34"/>
  <c r="AS114" i="34"/>
  <c r="AS123" i="34"/>
  <c r="AQ123" i="34"/>
  <c r="AQ55" i="34"/>
  <c r="AS55" i="34"/>
  <c r="AS11" i="34"/>
  <c r="AQ11" i="34"/>
  <c r="AQ71" i="34"/>
  <c r="AS71" i="34"/>
  <c r="AQ19" i="34"/>
  <c r="AS19" i="34"/>
  <c r="AS91" i="34"/>
  <c r="AQ91" i="34"/>
  <c r="AQ54" i="34"/>
  <c r="AS54" i="34"/>
  <c r="AQ85" i="34"/>
  <c r="AS85" i="34"/>
  <c r="AQ68" i="34"/>
  <c r="AS68" i="34"/>
  <c r="AS41" i="34"/>
  <c r="AQ41" i="34"/>
  <c r="AS9" i="34"/>
  <c r="AQ9" i="34"/>
  <c r="AQ14" i="34"/>
  <c r="AS14" i="34"/>
  <c r="AP111" i="34"/>
  <c r="AP46" i="34"/>
  <c r="AP94" i="34"/>
  <c r="AP77" i="34"/>
  <c r="AP29" i="34"/>
  <c r="AP120" i="34"/>
  <c r="AP43" i="34"/>
  <c r="AP109" i="34"/>
  <c r="AP16" i="34"/>
  <c r="AP55" i="34"/>
  <c r="AP97" i="34"/>
  <c r="AP95" i="34"/>
  <c r="AP34" i="34"/>
  <c r="AP89" i="34"/>
  <c r="AP62" i="34"/>
  <c r="AP37" i="34"/>
  <c r="AP17" i="34"/>
  <c r="AP110" i="34"/>
  <c r="AP57" i="34"/>
  <c r="AP86" i="34"/>
  <c r="AP10" i="34"/>
  <c r="AP40" i="34"/>
  <c r="AP116" i="34"/>
  <c r="AP119" i="34"/>
  <c r="AP61" i="34"/>
  <c r="AP6" i="34"/>
  <c r="AP30" i="34"/>
  <c r="AP99" i="34"/>
  <c r="AP58" i="34"/>
  <c r="AP67" i="34"/>
  <c r="AP7" i="34"/>
  <c r="AP108" i="34"/>
  <c r="AP93" i="34"/>
  <c r="AP39" i="34"/>
  <c r="AP28" i="34"/>
  <c r="AP20" i="34"/>
  <c r="AP92" i="34"/>
  <c r="AP115" i="34"/>
  <c r="AP106" i="34"/>
  <c r="AP76" i="34"/>
  <c r="AP82" i="34"/>
  <c r="AP65" i="34"/>
  <c r="AP79" i="34"/>
  <c r="AP100" i="34"/>
  <c r="AP14" i="34"/>
  <c r="AP121" i="34"/>
  <c r="AP75" i="34"/>
  <c r="AP48" i="34"/>
  <c r="AP80" i="34"/>
  <c r="AP52" i="34"/>
  <c r="AP24" i="34"/>
  <c r="AP83" i="34"/>
  <c r="AP56" i="34"/>
  <c r="AP45" i="34"/>
  <c r="AP31" i="34"/>
  <c r="AP112" i="34"/>
  <c r="AP35" i="34"/>
  <c r="AP128" i="34"/>
  <c r="AP122" i="34"/>
  <c r="AP103" i="34"/>
  <c r="AP44" i="34"/>
  <c r="AP18" i="34"/>
  <c r="AP26" i="34"/>
  <c r="AP117" i="34"/>
  <c r="AP126" i="34"/>
  <c r="AP105" i="34"/>
  <c r="AP102" i="34"/>
  <c r="AP41" i="34"/>
  <c r="AP114" i="34"/>
  <c r="AP11" i="34"/>
  <c r="AP81" i="34"/>
  <c r="AP90" i="34"/>
  <c r="AP78" i="34"/>
  <c r="AP36" i="34"/>
  <c r="AP25" i="34"/>
  <c r="AP98" i="34"/>
  <c r="AP8" i="34"/>
  <c r="AP69" i="34"/>
  <c r="AP84" i="34"/>
  <c r="AP85" i="34"/>
  <c r="AP9" i="34"/>
  <c r="AP51" i="34"/>
  <c r="AP66" i="34"/>
  <c r="AP32" i="34"/>
  <c r="AP64" i="34"/>
  <c r="AP124" i="34"/>
  <c r="AP49" i="34"/>
  <c r="AP33" i="34"/>
  <c r="AP15" i="34"/>
  <c r="AP53" i="34"/>
  <c r="AP27" i="34"/>
  <c r="AP127" i="34"/>
  <c r="AP71" i="34"/>
  <c r="AP47" i="34"/>
  <c r="AP73" i="34"/>
  <c r="AT5" i="34"/>
  <c r="AP101" i="34"/>
  <c r="AP118" i="34"/>
  <c r="AP60" i="34"/>
  <c r="AP22" i="34"/>
  <c r="AP23" i="34"/>
  <c r="AP104" i="34"/>
  <c r="AP59" i="34"/>
  <c r="AP123" i="34"/>
  <c r="AP42" i="34"/>
  <c r="AP107" i="34"/>
  <c r="AP38" i="34"/>
  <c r="AP129" i="34"/>
  <c r="AP91" i="34"/>
  <c r="AP74" i="34"/>
  <c r="AP13" i="34"/>
  <c r="AP68" i="34"/>
  <c r="AP70" i="34"/>
  <c r="AP125" i="34"/>
  <c r="AP63" i="34"/>
  <c r="AP19" i="34"/>
  <c r="AP113" i="34"/>
  <c r="AP88" i="34"/>
  <c r="AP87" i="34"/>
  <c r="AP96" i="34"/>
  <c r="AP54" i="34"/>
  <c r="AP21" i="34"/>
  <c r="AP72" i="34"/>
  <c r="AP50" i="34"/>
  <c r="AQ1" i="34" l="1"/>
  <c r="D10" i="33" s="1"/>
  <c r="AW68" i="34"/>
  <c r="AU68" i="34"/>
  <c r="AW61" i="34"/>
  <c r="AU61" i="34"/>
  <c r="AW66" i="34"/>
  <c r="AU66" i="34"/>
  <c r="AU129" i="34"/>
  <c r="AW129" i="34"/>
  <c r="AU34" i="34"/>
  <c r="AW34" i="34"/>
  <c r="AW70" i="34"/>
  <c r="AU70" i="34"/>
  <c r="AU57" i="34"/>
  <c r="AW57" i="34"/>
  <c r="AU8" i="34"/>
  <c r="AW8" i="34"/>
  <c r="AW72" i="34"/>
  <c r="AU72" i="34"/>
  <c r="AW85" i="34"/>
  <c r="AU85" i="34"/>
  <c r="AU92" i="34"/>
  <c r="AW92" i="34"/>
  <c r="AU96" i="34"/>
  <c r="AW96" i="34"/>
  <c r="AU48" i="34"/>
  <c r="AW48" i="34"/>
  <c r="AU121" i="34"/>
  <c r="AW121" i="34"/>
  <c r="AW14" i="34"/>
  <c r="AU14" i="34"/>
  <c r="AU71" i="34"/>
  <c r="AW71" i="34"/>
  <c r="AW40" i="34"/>
  <c r="AU40" i="34"/>
  <c r="AW112" i="34"/>
  <c r="AU112" i="34"/>
  <c r="AU35" i="34"/>
  <c r="AW35" i="34"/>
  <c r="AU21" i="34"/>
  <c r="AW21" i="34"/>
  <c r="AW108" i="34"/>
  <c r="AU108" i="34"/>
  <c r="AU118" i="34"/>
  <c r="AW118" i="34"/>
  <c r="AW101" i="34"/>
  <c r="AU101" i="34"/>
  <c r="AW38" i="34"/>
  <c r="AU38" i="34"/>
  <c r="AU99" i="34"/>
  <c r="AW99" i="34"/>
  <c r="AU43" i="34"/>
  <c r="AW43" i="34"/>
  <c r="AW93" i="34"/>
  <c r="AU93" i="34"/>
  <c r="AW49" i="34"/>
  <c r="AU49" i="34"/>
  <c r="AW77" i="34"/>
  <c r="AU77" i="34"/>
  <c r="AW122" i="34"/>
  <c r="AU122" i="34"/>
  <c r="AW107" i="34"/>
  <c r="AU107" i="34"/>
  <c r="AW91" i="34"/>
  <c r="AU91" i="34"/>
  <c r="AU17" i="34"/>
  <c r="AW17" i="34"/>
  <c r="AU9" i="34"/>
  <c r="AW9" i="34"/>
  <c r="AW100" i="34"/>
  <c r="AU100" i="34"/>
  <c r="AU125" i="34"/>
  <c r="AW125" i="34"/>
  <c r="AU106" i="34"/>
  <c r="AW106" i="34"/>
  <c r="AW84" i="34"/>
  <c r="AU84" i="34"/>
  <c r="AU75" i="34"/>
  <c r="AW75" i="34"/>
  <c r="AU87" i="34"/>
  <c r="AW87" i="34"/>
  <c r="AU65" i="34"/>
  <c r="AW65" i="34"/>
  <c r="AU109" i="34"/>
  <c r="AW109" i="34"/>
  <c r="AQ4" i="34"/>
  <c r="E10" i="33" s="1"/>
  <c r="AW23" i="34"/>
  <c r="AU23" i="34"/>
  <c r="AU37" i="34"/>
  <c r="AW37" i="34"/>
  <c r="AU28" i="34"/>
  <c r="AW28" i="34"/>
  <c r="AU117" i="34"/>
  <c r="AW117" i="34"/>
  <c r="AU52" i="34"/>
  <c r="AW52" i="34"/>
  <c r="AW123" i="34"/>
  <c r="AU123" i="34"/>
  <c r="AW25" i="34"/>
  <c r="AU25" i="34"/>
  <c r="AW119" i="34"/>
  <c r="AU119" i="34"/>
  <c r="AU24" i="34"/>
  <c r="AW24" i="34"/>
  <c r="AW53" i="34"/>
  <c r="AU53" i="34"/>
  <c r="AW63" i="34"/>
  <c r="AU63" i="34"/>
  <c r="AW127" i="34"/>
  <c r="AU127" i="34"/>
  <c r="AW124" i="34"/>
  <c r="AU124" i="34"/>
  <c r="AW19" i="34"/>
  <c r="AU19" i="34"/>
  <c r="AU88" i="34"/>
  <c r="AW88" i="34"/>
  <c r="AW32" i="34"/>
  <c r="AU32" i="34"/>
  <c r="AU10" i="34"/>
  <c r="AW10" i="34"/>
  <c r="AW12" i="34"/>
  <c r="AU12" i="34"/>
  <c r="AW69" i="34"/>
  <c r="AU69" i="34"/>
  <c r="AW113" i="34"/>
  <c r="AU113" i="34"/>
  <c r="AW120" i="34"/>
  <c r="AU120" i="34"/>
  <c r="AW94" i="34"/>
  <c r="AU94" i="34"/>
  <c r="AW110" i="34"/>
  <c r="AU110" i="34"/>
  <c r="BA5" i="34"/>
  <c r="AY5" i="34"/>
  <c r="AW13" i="34"/>
  <c r="AT13" i="34"/>
  <c r="AU13" i="34" s="1"/>
  <c r="AU82" i="34"/>
  <c r="AW82" i="34"/>
  <c r="AU31" i="34"/>
  <c r="AW31" i="34"/>
  <c r="AU89" i="34"/>
  <c r="AW89" i="34"/>
  <c r="AU15" i="34"/>
  <c r="AW15" i="34"/>
  <c r="AU36" i="34"/>
  <c r="AW36" i="34"/>
  <c r="AW104" i="34"/>
  <c r="AU104" i="34"/>
  <c r="AU20" i="34"/>
  <c r="AW20" i="34"/>
  <c r="AU58" i="34"/>
  <c r="AW58" i="34"/>
  <c r="AU7" i="34"/>
  <c r="AW7" i="34"/>
  <c r="AW33" i="34"/>
  <c r="AU33" i="34"/>
  <c r="AU6" i="34"/>
  <c r="AW6" i="34"/>
  <c r="AU126" i="34"/>
  <c r="AW126" i="34"/>
  <c r="AW29" i="34"/>
  <c r="AU29" i="34"/>
  <c r="AU11" i="34"/>
  <c r="AW11" i="34"/>
  <c r="AW59" i="34"/>
  <c r="AU59" i="34"/>
  <c r="AW41" i="34"/>
  <c r="AU41" i="34"/>
  <c r="AW54" i="34"/>
  <c r="AU54" i="34"/>
  <c r="AU67" i="34"/>
  <c r="AW67" i="34"/>
  <c r="AU97" i="34"/>
  <c r="AW97" i="34"/>
  <c r="AU102" i="34"/>
  <c r="AW102" i="34"/>
  <c r="AW16" i="34"/>
  <c r="AU16" i="34"/>
  <c r="AU51" i="34"/>
  <c r="AW51" i="34"/>
  <c r="AW73" i="34"/>
  <c r="AU73" i="34"/>
  <c r="AU111" i="34"/>
  <c r="AW111" i="34"/>
  <c r="AU39" i="34"/>
  <c r="AW39" i="34"/>
  <c r="AW116" i="34"/>
  <c r="AU116" i="34"/>
  <c r="AU30" i="34"/>
  <c r="AW30" i="34"/>
  <c r="AU47" i="34"/>
  <c r="AW47" i="34"/>
  <c r="AU105" i="34"/>
  <c r="AW105" i="34"/>
  <c r="AU50" i="34"/>
  <c r="AW50" i="34"/>
  <c r="AW103" i="34"/>
  <c r="AU103" i="34"/>
  <c r="AW62" i="34"/>
  <c r="AU62" i="34"/>
  <c r="AU83" i="34"/>
  <c r="AW83" i="34"/>
  <c r="AU64" i="34"/>
  <c r="AW64" i="34"/>
  <c r="AU46" i="34"/>
  <c r="AW46" i="34"/>
  <c r="AU79" i="34"/>
  <c r="AW79" i="34"/>
  <c r="AW26" i="34"/>
  <c r="AU26" i="34"/>
  <c r="AW115" i="34"/>
  <c r="AU115" i="34"/>
  <c r="AW74" i="34"/>
  <c r="AU74" i="34"/>
  <c r="AW78" i="34"/>
  <c r="AU78" i="34"/>
  <c r="AW86" i="34"/>
  <c r="AU86" i="34"/>
  <c r="AW114" i="34"/>
  <c r="AU114" i="34"/>
  <c r="AU90" i="34"/>
  <c r="AW90" i="34"/>
  <c r="AW76" i="34"/>
  <c r="AU76" i="34"/>
  <c r="AW22" i="34"/>
  <c r="AU22" i="34"/>
  <c r="AU95" i="34"/>
  <c r="AW95" i="34"/>
  <c r="AW80" i="34"/>
  <c r="AU80" i="34"/>
  <c r="AU55" i="34"/>
  <c r="AW55" i="34"/>
  <c r="AW44" i="34"/>
  <c r="AU44" i="34"/>
  <c r="AW128" i="34"/>
  <c r="AU128" i="34"/>
  <c r="AW81" i="34"/>
  <c r="AU81" i="34"/>
  <c r="AU56" i="34"/>
  <c r="AW56" i="34"/>
  <c r="AU27" i="34"/>
  <c r="AW27" i="34"/>
  <c r="AW18" i="34"/>
  <c r="AU18" i="34"/>
  <c r="AW60" i="34"/>
  <c r="AU60" i="34"/>
  <c r="AU45" i="34"/>
  <c r="AW45" i="34"/>
  <c r="AW98" i="34"/>
  <c r="AU98" i="34"/>
  <c r="AU42" i="34"/>
  <c r="AW42" i="34"/>
  <c r="Y3" i="23"/>
  <c r="AB3" i="18"/>
  <c r="AB3" i="17"/>
  <c r="W3" i="14"/>
  <c r="AB3" i="13"/>
  <c r="D5" i="24" a="1"/>
  <c r="AE3" i="12"/>
  <c r="M5" i="12" a="1"/>
  <c r="AT39" i="34"/>
  <c r="AT38" i="34"/>
  <c r="AT26" i="34"/>
  <c r="AT8" i="34"/>
  <c r="AX5" i="34"/>
  <c r="AT72" i="34"/>
  <c r="AT9" i="34"/>
  <c r="AT20" i="34"/>
  <c r="AT34" i="34"/>
  <c r="AT123" i="34"/>
  <c r="AT109" i="34"/>
  <c r="AT100" i="34"/>
  <c r="AT73" i="34"/>
  <c r="AT59" i="34"/>
  <c r="AT56" i="34"/>
  <c r="AT75" i="34"/>
  <c r="AT71" i="34"/>
  <c r="AT83" i="34"/>
  <c r="AT45" i="34"/>
  <c r="AT27" i="34"/>
  <c r="AT14" i="34"/>
  <c r="AT37" i="34"/>
  <c r="AT65" i="34"/>
  <c r="AT21" i="34"/>
  <c r="AT127" i="34"/>
  <c r="AT96" i="34"/>
  <c r="AT81" i="34"/>
  <c r="AT93" i="34"/>
  <c r="AT80" i="34"/>
  <c r="AT11" i="34"/>
  <c r="AT120" i="34"/>
  <c r="AT50" i="34"/>
  <c r="AT10" i="34"/>
  <c r="AT74" i="34"/>
  <c r="AT85" i="34"/>
  <c r="AT6" i="34"/>
  <c r="AT103" i="34"/>
  <c r="AT115" i="34"/>
  <c r="AT128" i="34"/>
  <c r="AT76" i="34"/>
  <c r="AT129" i="34"/>
  <c r="AT86" i="34"/>
  <c r="AT19" i="34"/>
  <c r="AT36" i="34"/>
  <c r="AT107" i="34"/>
  <c r="AT92" i="34"/>
  <c r="AT57" i="34"/>
  <c r="AT35" i="34"/>
  <c r="AT49" i="34"/>
  <c r="AT111" i="34"/>
  <c r="AT43" i="34"/>
  <c r="AT44" i="34"/>
  <c r="AT94" i="34"/>
  <c r="AT113" i="34"/>
  <c r="AT25" i="34"/>
  <c r="AT77" i="34"/>
  <c r="AT78" i="34"/>
  <c r="AT28" i="34"/>
  <c r="AT105" i="34"/>
  <c r="AT58" i="34"/>
  <c r="AT70" i="34"/>
  <c r="AT64" i="34"/>
  <c r="AT24" i="34"/>
  <c r="AT7" i="34"/>
  <c r="AT87" i="34"/>
  <c r="AT29" i="34"/>
  <c r="AT31" i="34"/>
  <c r="AT126" i="34"/>
  <c r="AT121" i="34"/>
  <c r="AT97" i="34"/>
  <c r="AT102" i="34"/>
  <c r="AT108" i="34"/>
  <c r="AT63" i="34"/>
  <c r="AT91" i="34"/>
  <c r="AT84" i="34"/>
  <c r="AT55" i="34"/>
  <c r="AT119" i="34"/>
  <c r="AT99" i="34"/>
  <c r="AT33" i="34"/>
  <c r="AT79" i="34"/>
  <c r="AT116" i="34"/>
  <c r="AT61" i="34"/>
  <c r="AT90" i="34"/>
  <c r="AT46" i="34"/>
  <c r="AT60" i="34"/>
  <c r="AT17" i="34"/>
  <c r="AT42" i="34"/>
  <c r="AT16" i="34"/>
  <c r="AT41" i="34"/>
  <c r="AT124" i="34"/>
  <c r="AT47" i="34"/>
  <c r="AT104" i="34"/>
  <c r="AT51" i="34"/>
  <c r="AT117" i="34"/>
  <c r="AT101" i="34"/>
  <c r="AT54" i="34"/>
  <c r="AT53" i="34"/>
  <c r="AT88" i="34"/>
  <c r="AT52" i="34"/>
  <c r="AT106" i="34"/>
  <c r="AT18" i="34"/>
  <c r="AT48" i="34"/>
  <c r="AT89" i="34"/>
  <c r="AT68" i="34"/>
  <c r="AT62" i="34"/>
  <c r="AT122" i="34"/>
  <c r="AT118" i="34"/>
  <c r="AT125" i="34"/>
  <c r="AT32" i="34"/>
  <c r="AT114" i="34"/>
  <c r="AT110" i="34"/>
  <c r="AT69" i="34"/>
  <c r="AT98" i="34"/>
  <c r="AT22" i="34"/>
  <c r="AT12" i="34"/>
  <c r="AT66" i="34"/>
  <c r="AT23" i="34"/>
  <c r="AT15" i="34"/>
  <c r="AT112" i="34"/>
  <c r="AT40" i="34"/>
  <c r="AT30" i="34"/>
  <c r="AT67" i="34"/>
  <c r="AT95" i="34"/>
  <c r="AT82" i="34"/>
  <c r="AU4" i="34" l="1"/>
  <c r="E11" i="33" s="1"/>
  <c r="AU1" i="34"/>
  <c r="D11" i="33" s="1"/>
  <c r="BA16" i="34"/>
  <c r="AY16" i="34"/>
  <c r="AY123" i="34"/>
  <c r="BA123" i="34"/>
  <c r="BA60" i="34"/>
  <c r="AY60" i="34"/>
  <c r="BA20" i="34"/>
  <c r="AY20" i="34"/>
  <c r="BA91" i="34"/>
  <c r="AY91" i="34"/>
  <c r="BA116" i="34"/>
  <c r="AY116" i="34"/>
  <c r="BA59" i="34"/>
  <c r="AY59" i="34"/>
  <c r="AY44" i="34"/>
  <c r="BA44" i="34"/>
  <c r="AY103" i="34"/>
  <c r="BA103" i="34"/>
  <c r="BA45" i="34"/>
  <c r="AY45" i="34"/>
  <c r="AY115" i="34"/>
  <c r="BA115" i="34"/>
  <c r="AY51" i="34"/>
  <c r="BA51" i="34"/>
  <c r="BA11" i="34"/>
  <c r="AY11" i="34"/>
  <c r="BA81" i="34"/>
  <c r="AY81" i="34"/>
  <c r="BA27" i="34"/>
  <c r="AY27" i="34"/>
  <c r="BA26" i="34"/>
  <c r="AY26" i="34"/>
  <c r="AY111" i="34"/>
  <c r="BA111" i="34"/>
  <c r="BA22" i="34"/>
  <c r="AY22" i="34"/>
  <c r="AY114" i="34"/>
  <c r="BA114" i="34"/>
  <c r="BA105" i="34"/>
  <c r="AY105" i="34"/>
  <c r="BA41" i="34"/>
  <c r="AY41" i="34"/>
  <c r="AY58" i="34"/>
  <c r="BA58" i="34"/>
  <c r="AY36" i="34"/>
  <c r="BA36" i="34"/>
  <c r="BA13" i="34"/>
  <c r="AY13" i="34"/>
  <c r="AY94" i="34"/>
  <c r="BA94" i="34"/>
  <c r="AY28" i="34"/>
  <c r="BA28" i="34"/>
  <c r="BA23" i="34"/>
  <c r="AY23" i="34"/>
  <c r="BA122" i="34"/>
  <c r="AY122" i="34"/>
  <c r="AY71" i="34"/>
  <c r="BA71" i="34"/>
  <c r="AY92" i="34"/>
  <c r="BA92" i="34"/>
  <c r="BA56" i="34"/>
  <c r="AY56" i="34"/>
  <c r="BA93" i="34"/>
  <c r="AY93" i="34"/>
  <c r="BA48" i="34"/>
  <c r="AY48" i="34"/>
  <c r="AY69" i="34"/>
  <c r="BA69" i="34"/>
  <c r="AY9" i="34"/>
  <c r="BA9" i="34"/>
  <c r="BA76" i="34"/>
  <c r="AY76" i="34"/>
  <c r="BA15" i="34"/>
  <c r="AY15" i="34"/>
  <c r="BA119" i="34"/>
  <c r="AY119" i="34"/>
  <c r="AY39" i="34"/>
  <c r="BA39" i="34"/>
  <c r="AY73" i="34"/>
  <c r="BA73" i="34"/>
  <c r="BA102" i="34"/>
  <c r="AY102" i="34"/>
  <c r="AY7" i="34"/>
  <c r="BA7" i="34"/>
  <c r="BA82" i="34"/>
  <c r="AY82" i="34"/>
  <c r="BA120" i="34"/>
  <c r="AY120" i="34"/>
  <c r="AY88" i="34"/>
  <c r="BA88" i="34"/>
  <c r="AY124" i="34"/>
  <c r="BA124" i="34"/>
  <c r="BA75" i="34"/>
  <c r="AY75" i="34"/>
  <c r="AY107" i="34"/>
  <c r="BA107" i="34"/>
  <c r="AY112" i="34"/>
  <c r="BA112" i="34"/>
  <c r="BA14" i="34"/>
  <c r="AX14" i="34"/>
  <c r="AY14" i="34" s="1"/>
  <c r="BA96" i="34"/>
  <c r="AY96" i="34"/>
  <c r="AY85" i="34"/>
  <c r="BA85" i="34"/>
  <c r="BA57" i="34"/>
  <c r="AY57" i="34"/>
  <c r="BA129" i="34"/>
  <c r="AY129" i="34"/>
  <c r="AY128" i="34"/>
  <c r="BA128" i="34"/>
  <c r="BA19" i="34"/>
  <c r="AY19" i="34"/>
  <c r="AY100" i="34"/>
  <c r="BA100" i="34"/>
  <c r="AY29" i="34"/>
  <c r="BA29" i="34"/>
  <c r="AY77" i="34"/>
  <c r="BA77" i="34"/>
  <c r="BA33" i="34"/>
  <c r="AY33" i="34"/>
  <c r="BE5" i="34"/>
  <c r="BC5" i="34"/>
  <c r="AY109" i="34"/>
  <c r="BA109" i="34"/>
  <c r="BA86" i="34"/>
  <c r="AY86" i="34"/>
  <c r="AY18" i="34"/>
  <c r="BA18" i="34"/>
  <c r="BA110" i="34"/>
  <c r="AY110" i="34"/>
  <c r="AY12" i="34"/>
  <c r="BA12" i="34"/>
  <c r="BA53" i="34"/>
  <c r="AY53" i="34"/>
  <c r="AY65" i="34"/>
  <c r="BA65" i="34"/>
  <c r="AY125" i="34"/>
  <c r="BA125" i="34"/>
  <c r="AY17" i="34"/>
  <c r="BA17" i="34"/>
  <c r="BA99" i="34"/>
  <c r="AY99" i="34"/>
  <c r="AY101" i="34"/>
  <c r="BA101" i="34"/>
  <c r="BA21" i="34"/>
  <c r="AY21" i="34"/>
  <c r="BA8" i="34"/>
  <c r="AY8" i="34"/>
  <c r="AY80" i="34"/>
  <c r="BA80" i="34"/>
  <c r="BA74" i="34"/>
  <c r="AY74" i="34"/>
  <c r="AY63" i="34"/>
  <c r="BA63" i="34"/>
  <c r="AY43" i="34"/>
  <c r="BA43" i="34"/>
  <c r="BA47" i="34"/>
  <c r="AY47" i="34"/>
  <c r="BA126" i="34"/>
  <c r="AY126" i="34"/>
  <c r="BA32" i="34"/>
  <c r="AY32" i="34"/>
  <c r="AY52" i="34"/>
  <c r="BA52" i="34"/>
  <c r="BA108" i="34"/>
  <c r="AY108" i="34"/>
  <c r="AY98" i="34"/>
  <c r="BA98" i="34"/>
  <c r="AY46" i="34"/>
  <c r="BA46" i="34"/>
  <c r="BA55" i="34"/>
  <c r="AY55" i="34"/>
  <c r="BA54" i="34"/>
  <c r="AY54" i="34"/>
  <c r="AY50" i="34"/>
  <c r="BA50" i="34"/>
  <c r="AY97" i="34"/>
  <c r="BA97" i="34"/>
  <c r="AY6" i="34"/>
  <c r="BA6" i="34"/>
  <c r="BA89" i="34"/>
  <c r="AY89" i="34"/>
  <c r="BA127" i="34"/>
  <c r="AY127" i="34"/>
  <c r="AY24" i="34"/>
  <c r="BA24" i="34"/>
  <c r="BA25" i="34"/>
  <c r="AY25" i="34"/>
  <c r="BA117" i="34"/>
  <c r="AY117" i="34"/>
  <c r="AY49" i="34"/>
  <c r="BA49" i="34"/>
  <c r="BA118" i="34"/>
  <c r="AY118" i="34"/>
  <c r="BA121" i="34"/>
  <c r="AY121" i="34"/>
  <c r="BA79" i="34"/>
  <c r="AY79" i="34"/>
  <c r="BA62" i="34"/>
  <c r="AY62" i="34"/>
  <c r="AY67" i="34"/>
  <c r="BA67" i="34"/>
  <c r="AY31" i="34"/>
  <c r="BA31" i="34"/>
  <c r="AY87" i="34"/>
  <c r="BA87" i="34"/>
  <c r="BA66" i="34"/>
  <c r="AY66" i="34"/>
  <c r="BA106" i="34"/>
  <c r="AY106" i="34"/>
  <c r="BA38" i="34"/>
  <c r="AY38" i="34"/>
  <c r="BA34" i="34"/>
  <c r="AY34" i="34"/>
  <c r="AY37" i="34"/>
  <c r="BA37" i="34"/>
  <c r="AY61" i="34"/>
  <c r="BA61" i="34"/>
  <c r="AY95" i="34"/>
  <c r="BA95" i="34"/>
  <c r="AY83" i="34"/>
  <c r="BA83" i="34"/>
  <c r="BA90" i="34"/>
  <c r="AY90" i="34"/>
  <c r="BA42" i="34"/>
  <c r="AY42" i="34"/>
  <c r="BA78" i="34"/>
  <c r="AY78" i="34"/>
  <c r="AY64" i="34"/>
  <c r="BA64" i="34"/>
  <c r="BA30" i="34"/>
  <c r="AY30" i="34"/>
  <c r="BA104" i="34"/>
  <c r="AY104" i="34"/>
  <c r="AY113" i="34"/>
  <c r="BA113" i="34"/>
  <c r="AY10" i="34"/>
  <c r="BA10" i="34"/>
  <c r="BA84" i="34"/>
  <c r="AY84" i="34"/>
  <c r="AY35" i="34"/>
  <c r="BA35" i="34"/>
  <c r="AY40" i="34"/>
  <c r="BA40" i="34"/>
  <c r="AY72" i="34"/>
  <c r="BA72" i="34"/>
  <c r="BA70" i="34"/>
  <c r="AY70" i="34"/>
  <c r="AY68" i="34"/>
  <c r="BA68" i="34"/>
  <c r="D40" i="24"/>
  <c r="D33" i="24"/>
  <c r="D41" i="24"/>
  <c r="M6" i="12"/>
  <c r="M8" i="12"/>
  <c r="D7" i="24"/>
  <c r="D44" i="24"/>
  <c r="D10" i="24"/>
  <c r="D43" i="24"/>
  <c r="D20" i="24"/>
  <c r="D35" i="24"/>
  <c r="D11" i="24"/>
  <c r="D8" i="24"/>
  <c r="D25" i="24"/>
  <c r="D38" i="24"/>
  <c r="D28" i="24"/>
  <c r="D26" i="24"/>
  <c r="D21" i="24"/>
  <c r="D30" i="24"/>
  <c r="D39" i="24"/>
  <c r="D23" i="24"/>
  <c r="D13" i="24"/>
  <c r="D14" i="24"/>
  <c r="M7" i="12"/>
  <c r="D5" i="24"/>
  <c r="D16" i="24"/>
  <c r="D12" i="24"/>
  <c r="D6" i="24"/>
  <c r="D36" i="24"/>
  <c r="D42" i="24"/>
  <c r="D46" i="24"/>
  <c r="D15" i="24"/>
  <c r="D18" i="24"/>
  <c r="D22" i="24"/>
  <c r="D24" i="24"/>
  <c r="M5" i="12"/>
  <c r="D45" i="24"/>
  <c r="D31" i="24"/>
  <c r="D27" i="24"/>
  <c r="D32" i="24"/>
  <c r="D9" i="24"/>
  <c r="D34" i="24"/>
  <c r="D37" i="24"/>
  <c r="D17" i="24"/>
  <c r="D19" i="24"/>
  <c r="D29" i="24"/>
  <c r="M16" i="32"/>
  <c r="M15" i="32"/>
  <c r="P5" i="24" a="1"/>
  <c r="AX30" i="34"/>
  <c r="AX88" i="34"/>
  <c r="AX66" i="34"/>
  <c r="AX83" i="34"/>
  <c r="AX128" i="34"/>
  <c r="AX15" i="34"/>
  <c r="AX60" i="34"/>
  <c r="AX40" i="34"/>
  <c r="AX126" i="34"/>
  <c r="AX107" i="34"/>
  <c r="AX92" i="34"/>
  <c r="AX114" i="34"/>
  <c r="AX124" i="34"/>
  <c r="AX50" i="34"/>
  <c r="AX76" i="34"/>
  <c r="AX116" i="34"/>
  <c r="AX59" i="34"/>
  <c r="AX46" i="34"/>
  <c r="AX57" i="34"/>
  <c r="AX62" i="34"/>
  <c r="AX129" i="34"/>
  <c r="AX12" i="34"/>
  <c r="AX120" i="34"/>
  <c r="AX34" i="34"/>
  <c r="AX49" i="34"/>
  <c r="AX78" i="34"/>
  <c r="AX117" i="34"/>
  <c r="AX106" i="34"/>
  <c r="AX102" i="34"/>
  <c r="AX70" i="34"/>
  <c r="AX91" i="34"/>
  <c r="AX68" i="34"/>
  <c r="AX24" i="34"/>
  <c r="AX127" i="34"/>
  <c r="AX13" i="34"/>
  <c r="AX94" i="34"/>
  <c r="AX54" i="34"/>
  <c r="AX85" i="34"/>
  <c r="AX29" i="34"/>
  <c r="AX10" i="34"/>
  <c r="AX118" i="34"/>
  <c r="AX112" i="34"/>
  <c r="AX125" i="34"/>
  <c r="AX75" i="34"/>
  <c r="AX123" i="34"/>
  <c r="AX53" i="34"/>
  <c r="AX103" i="34"/>
  <c r="AX44" i="34"/>
  <c r="AX17" i="34"/>
  <c r="AX79" i="34"/>
  <c r="AX41" i="34"/>
  <c r="AX27" i="34"/>
  <c r="AX81" i="34"/>
  <c r="AX109" i="34"/>
  <c r="AX25" i="34"/>
  <c r="AX71" i="34"/>
  <c r="AX20" i="34"/>
  <c r="AX93" i="34"/>
  <c r="AX19" i="34"/>
  <c r="AX56" i="34"/>
  <c r="BB5" i="34"/>
  <c r="AX45" i="34"/>
  <c r="AX48" i="34"/>
  <c r="AX105" i="34"/>
  <c r="AX99" i="34"/>
  <c r="AX52" i="34"/>
  <c r="AX33" i="34"/>
  <c r="AX108" i="34"/>
  <c r="AX73" i="34"/>
  <c r="AX65" i="34"/>
  <c r="AX113" i="34"/>
  <c r="AX115" i="34"/>
  <c r="AX84" i="34"/>
  <c r="AX97" i="34"/>
  <c r="AX80" i="34"/>
  <c r="AX38" i="34"/>
  <c r="AX32" i="34"/>
  <c r="AX111" i="34"/>
  <c r="AX18" i="34"/>
  <c r="AX87" i="34"/>
  <c r="AX21" i="34"/>
  <c r="AX43" i="34"/>
  <c r="AX39" i="34"/>
  <c r="AX16" i="34"/>
  <c r="AX47" i="34"/>
  <c r="AX26" i="34"/>
  <c r="AX122" i="34"/>
  <c r="AX96" i="34"/>
  <c r="AX67" i="34"/>
  <c r="AX55" i="34"/>
  <c r="AX89" i="34"/>
  <c r="AX98" i="34"/>
  <c r="AX8" i="34"/>
  <c r="AX61" i="34"/>
  <c r="AX36" i="34"/>
  <c r="AX6" i="34"/>
  <c r="AX121" i="34"/>
  <c r="AX28" i="34"/>
  <c r="AX86" i="34"/>
  <c r="AX23" i="34"/>
  <c r="AX100" i="34"/>
  <c r="AX11" i="34"/>
  <c r="AX22" i="34"/>
  <c r="AX9" i="34"/>
  <c r="AX35" i="34"/>
  <c r="AX64" i="34"/>
  <c r="AX72" i="34"/>
  <c r="AX110" i="34"/>
  <c r="AX63" i="34"/>
  <c r="AX95" i="34"/>
  <c r="AX119" i="34"/>
  <c r="AX74" i="34"/>
  <c r="AX31" i="34"/>
  <c r="AX82" i="34"/>
  <c r="AX37" i="34"/>
  <c r="AX69" i="34"/>
  <c r="AX58" i="34"/>
  <c r="AX7" i="34"/>
  <c r="AX90" i="34"/>
  <c r="AX51" i="34"/>
  <c r="AX101" i="34"/>
  <c r="AX42" i="34"/>
  <c r="AX77" i="34"/>
  <c r="AX104" i="34"/>
  <c r="AY4" i="34" l="1"/>
  <c r="E12" i="33" s="1"/>
  <c r="AY1" i="34"/>
  <c r="D12" i="33" s="1"/>
  <c r="BC104" i="34"/>
  <c r="BE104" i="34"/>
  <c r="BC6" i="34"/>
  <c r="BE6" i="34"/>
  <c r="BC52" i="34"/>
  <c r="BE52" i="34"/>
  <c r="BE93" i="34"/>
  <c r="BC93" i="34"/>
  <c r="BE38" i="34"/>
  <c r="BC38" i="34"/>
  <c r="BE39" i="34"/>
  <c r="BC39" i="34"/>
  <c r="BE91" i="34"/>
  <c r="BC91" i="34"/>
  <c r="BE30" i="34"/>
  <c r="BC30" i="34"/>
  <c r="BE127" i="34"/>
  <c r="BC127" i="34"/>
  <c r="BC32" i="34"/>
  <c r="BE32" i="34"/>
  <c r="BE64" i="34"/>
  <c r="BC64" i="34"/>
  <c r="BE106" i="34"/>
  <c r="BC106" i="34"/>
  <c r="BC49" i="34"/>
  <c r="BE49" i="34"/>
  <c r="BE18" i="34"/>
  <c r="BC18" i="34"/>
  <c r="BE68" i="34"/>
  <c r="BC68" i="34"/>
  <c r="BE34" i="34"/>
  <c r="BC34" i="34"/>
  <c r="BC66" i="34"/>
  <c r="BE66" i="34"/>
  <c r="BC67" i="34"/>
  <c r="BE67" i="34"/>
  <c r="BE79" i="34"/>
  <c r="BC79" i="34"/>
  <c r="BE24" i="34"/>
  <c r="BC24" i="34"/>
  <c r="BE89" i="34"/>
  <c r="BC89" i="34"/>
  <c r="BE50" i="34"/>
  <c r="BC50" i="34"/>
  <c r="BC108" i="34"/>
  <c r="BE108" i="34"/>
  <c r="BC63" i="34"/>
  <c r="BE63" i="34"/>
  <c r="BE53" i="34"/>
  <c r="BC53" i="34"/>
  <c r="BE129" i="34"/>
  <c r="BC129" i="34"/>
  <c r="BC107" i="34"/>
  <c r="BE107" i="34"/>
  <c r="BC73" i="34"/>
  <c r="BE73" i="34"/>
  <c r="BC9" i="34"/>
  <c r="BE9" i="34"/>
  <c r="BE81" i="34"/>
  <c r="BC81" i="34"/>
  <c r="BE115" i="34"/>
  <c r="BC115" i="34"/>
  <c r="BC44" i="34"/>
  <c r="BE44" i="34"/>
  <c r="BE116" i="34"/>
  <c r="BC116" i="34"/>
  <c r="BE60" i="34"/>
  <c r="BC60" i="34"/>
  <c r="BC40" i="34"/>
  <c r="BE40" i="34"/>
  <c r="BC126" i="34"/>
  <c r="BE126" i="34"/>
  <c r="BC19" i="34"/>
  <c r="BE19" i="34"/>
  <c r="BC23" i="34"/>
  <c r="BE23" i="34"/>
  <c r="BC26" i="34"/>
  <c r="BE26" i="34"/>
  <c r="BC11" i="34"/>
  <c r="BE11" i="34"/>
  <c r="BC54" i="34"/>
  <c r="BE54" i="34"/>
  <c r="BE47" i="34"/>
  <c r="BC47" i="34"/>
  <c r="BE99" i="34"/>
  <c r="BC99" i="34"/>
  <c r="BE65" i="34"/>
  <c r="BC65" i="34"/>
  <c r="BC86" i="34"/>
  <c r="BE86" i="34"/>
  <c r="BE100" i="34"/>
  <c r="BC100" i="34"/>
  <c r="BE57" i="34"/>
  <c r="BC57" i="34"/>
  <c r="BE14" i="34"/>
  <c r="BC14" i="34"/>
  <c r="BC75" i="34"/>
  <c r="BE75" i="34"/>
  <c r="BE45" i="34"/>
  <c r="BC45" i="34"/>
  <c r="BC96" i="34"/>
  <c r="BE96" i="34"/>
  <c r="BE71" i="34"/>
  <c r="BC71" i="34"/>
  <c r="BC12" i="34"/>
  <c r="BE12" i="34"/>
  <c r="BC88" i="34"/>
  <c r="BE88" i="34"/>
  <c r="BE15" i="34"/>
  <c r="BB15" i="34"/>
  <c r="BC15" i="34" s="1"/>
  <c r="BC13" i="34"/>
  <c r="BE13" i="34"/>
  <c r="BE10" i="34"/>
  <c r="BC10" i="34"/>
  <c r="BE87" i="34"/>
  <c r="BC87" i="34"/>
  <c r="BC42" i="34"/>
  <c r="BE42" i="34"/>
  <c r="BE62" i="34"/>
  <c r="BC62" i="34"/>
  <c r="BE43" i="34"/>
  <c r="BC43" i="34"/>
  <c r="BE109" i="34"/>
  <c r="BC109" i="34"/>
  <c r="BC33" i="34"/>
  <c r="BE33" i="34"/>
  <c r="BE128" i="34"/>
  <c r="BC128" i="34"/>
  <c r="BE85" i="34"/>
  <c r="BC85" i="34"/>
  <c r="BE112" i="34"/>
  <c r="BC112" i="34"/>
  <c r="BC56" i="34"/>
  <c r="BE56" i="34"/>
  <c r="BE94" i="34"/>
  <c r="BC94" i="34"/>
  <c r="BE111" i="34"/>
  <c r="BC111" i="34"/>
  <c r="BE27" i="34"/>
  <c r="BC27" i="34"/>
  <c r="BC51" i="34"/>
  <c r="BE51" i="34"/>
  <c r="BC103" i="34"/>
  <c r="BE103" i="34"/>
  <c r="BE59" i="34"/>
  <c r="BC59" i="34"/>
  <c r="BE20" i="34"/>
  <c r="BC20" i="34"/>
  <c r="BE84" i="34"/>
  <c r="BC84" i="34"/>
  <c r="BE90" i="34"/>
  <c r="BC90" i="34"/>
  <c r="BE46" i="34"/>
  <c r="BC46" i="34"/>
  <c r="BC125" i="34"/>
  <c r="BE125" i="34"/>
  <c r="BC83" i="34"/>
  <c r="BE83" i="34"/>
  <c r="BG5" i="34"/>
  <c r="BE7" i="34"/>
  <c r="BC7" i="34"/>
  <c r="BC69" i="34"/>
  <c r="BE69" i="34"/>
  <c r="BC28" i="34"/>
  <c r="BE28" i="34"/>
  <c r="BC121" i="34"/>
  <c r="BE121" i="34"/>
  <c r="BE41" i="34"/>
  <c r="BC41" i="34"/>
  <c r="BC117" i="34"/>
  <c r="BE117" i="34"/>
  <c r="BE70" i="34"/>
  <c r="BC70" i="34"/>
  <c r="BC95" i="34"/>
  <c r="BE95" i="34"/>
  <c r="BC74" i="34"/>
  <c r="BE74" i="34"/>
  <c r="BC118" i="34"/>
  <c r="BE118" i="34"/>
  <c r="BE25" i="34"/>
  <c r="BC25" i="34"/>
  <c r="BC55" i="34"/>
  <c r="BE55" i="34"/>
  <c r="BE80" i="34"/>
  <c r="BC80" i="34"/>
  <c r="BC21" i="34"/>
  <c r="BE21" i="34"/>
  <c r="BE17" i="34"/>
  <c r="BC17" i="34"/>
  <c r="BC110" i="34"/>
  <c r="BE110" i="34"/>
  <c r="BE77" i="34"/>
  <c r="BC77" i="34"/>
  <c r="BC124" i="34"/>
  <c r="BE124" i="34"/>
  <c r="BC120" i="34"/>
  <c r="BE120" i="34"/>
  <c r="BE76" i="34"/>
  <c r="BC76" i="34"/>
  <c r="BE48" i="34"/>
  <c r="BC48" i="34"/>
  <c r="BC92" i="34"/>
  <c r="BE92" i="34"/>
  <c r="BC122" i="34"/>
  <c r="BE122" i="34"/>
  <c r="BC105" i="34"/>
  <c r="BE105" i="34"/>
  <c r="BC61" i="34"/>
  <c r="BE61" i="34"/>
  <c r="BC82" i="34"/>
  <c r="BE82" i="34"/>
  <c r="BC78" i="34"/>
  <c r="BE78" i="34"/>
  <c r="BE8" i="34"/>
  <c r="BC8" i="34"/>
  <c r="BC29" i="34"/>
  <c r="BE29" i="34"/>
  <c r="BC123" i="34"/>
  <c r="BE123" i="34"/>
  <c r="BE37" i="34"/>
  <c r="BC37" i="34"/>
  <c r="BE98" i="34"/>
  <c r="BC98" i="34"/>
  <c r="BE36" i="34"/>
  <c r="BC36" i="34"/>
  <c r="BE22" i="34"/>
  <c r="BC22" i="34"/>
  <c r="BE35" i="34"/>
  <c r="BC35" i="34"/>
  <c r="BE97" i="34"/>
  <c r="BC97" i="34"/>
  <c r="BE113" i="34"/>
  <c r="BC113" i="34"/>
  <c r="BC31" i="34"/>
  <c r="BE31" i="34"/>
  <c r="BE72" i="34"/>
  <c r="BC72" i="34"/>
  <c r="BC101" i="34"/>
  <c r="BE101" i="34"/>
  <c r="BC102" i="34"/>
  <c r="BE102" i="34"/>
  <c r="BC119" i="34"/>
  <c r="BE119" i="34"/>
  <c r="BE58" i="34"/>
  <c r="BC58" i="34"/>
  <c r="BC114" i="34"/>
  <c r="BE114" i="34"/>
  <c r="BC16" i="34"/>
  <c r="BE16" i="34"/>
  <c r="E26" i="24"/>
  <c r="H26" i="24"/>
  <c r="E5" i="24"/>
  <c r="H5" i="24"/>
  <c r="E33" i="24"/>
  <c r="H33" i="24"/>
  <c r="H10" i="24"/>
  <c r="E10" i="24"/>
  <c r="H14" i="24"/>
  <c r="E14" i="24"/>
  <c r="E13" i="24"/>
  <c r="H13" i="24"/>
  <c r="H31" i="24"/>
  <c r="E31" i="24"/>
  <c r="E6" i="24"/>
  <c r="H6" i="24"/>
  <c r="E34" i="24"/>
  <c r="H34" i="24"/>
  <c r="H27" i="24"/>
  <c r="E27" i="24"/>
  <c r="H25" i="24"/>
  <c r="E25" i="24"/>
  <c r="H37" i="24"/>
  <c r="E37" i="24"/>
  <c r="E22" i="24"/>
  <c r="H22" i="24"/>
  <c r="H32" i="24"/>
  <c r="E32" i="24"/>
  <c r="H20" i="24"/>
  <c r="E20" i="24"/>
  <c r="E45" i="24"/>
  <c r="H45" i="24"/>
  <c r="H41" i="24"/>
  <c r="E41" i="24"/>
  <c r="E42" i="24"/>
  <c r="H42" i="24"/>
  <c r="H8" i="24"/>
  <c r="E8" i="24"/>
  <c r="E40" i="24"/>
  <c r="H40" i="24"/>
  <c r="E21" i="24"/>
  <c r="H21" i="24"/>
  <c r="H11" i="24"/>
  <c r="E11" i="24"/>
  <c r="E18" i="24"/>
  <c r="H18" i="24"/>
  <c r="H36" i="24"/>
  <c r="E36" i="24"/>
  <c r="H30" i="24"/>
  <c r="E30" i="24"/>
  <c r="E28" i="24"/>
  <c r="H28" i="24"/>
  <c r="E24" i="24"/>
  <c r="H24" i="24"/>
  <c r="E46" i="24"/>
  <c r="H46" i="24"/>
  <c r="H29" i="24"/>
  <c r="E29" i="24"/>
  <c r="E12" i="24"/>
  <c r="H12" i="24"/>
  <c r="H17" i="24"/>
  <c r="E17" i="24"/>
  <c r="H43" i="24"/>
  <c r="E43" i="24"/>
  <c r="H23" i="24"/>
  <c r="E23" i="24"/>
  <c r="H39" i="24"/>
  <c r="E39" i="24"/>
  <c r="H44" i="24"/>
  <c r="E44" i="24"/>
  <c r="E38" i="24"/>
  <c r="H38" i="24"/>
  <c r="H19" i="24"/>
  <c r="E19" i="24"/>
  <c r="H15" i="24"/>
  <c r="E15" i="24"/>
  <c r="H16" i="24"/>
  <c r="E16" i="24"/>
  <c r="H7" i="24"/>
  <c r="E7" i="24"/>
  <c r="H9" i="24"/>
  <c r="E9" i="24"/>
  <c r="H35" i="24"/>
  <c r="E35" i="24"/>
  <c r="P21" i="24"/>
  <c r="P37" i="24"/>
  <c r="P44" i="24"/>
  <c r="P5" i="24"/>
  <c r="P36" i="24"/>
  <c r="P40" i="24"/>
  <c r="P39" i="24"/>
  <c r="P28" i="24"/>
  <c r="P18" i="24"/>
  <c r="P11" i="24"/>
  <c r="P41" i="24"/>
  <c r="P25" i="24"/>
  <c r="P6" i="24"/>
  <c r="P45" i="24"/>
  <c r="P9" i="24"/>
  <c r="P15" i="24"/>
  <c r="P17" i="24"/>
  <c r="P22" i="24"/>
  <c r="P46" i="24"/>
  <c r="P34" i="24"/>
  <c r="P32" i="24"/>
  <c r="P33" i="24"/>
  <c r="P30" i="24"/>
  <c r="P14" i="24"/>
  <c r="P24" i="24"/>
  <c r="P12" i="24"/>
  <c r="P20" i="24"/>
  <c r="P23" i="24"/>
  <c r="P16" i="24"/>
  <c r="P31" i="24"/>
  <c r="P13" i="24"/>
  <c r="P27" i="24"/>
  <c r="P35" i="24"/>
  <c r="P7" i="24"/>
  <c r="P26" i="24"/>
  <c r="P19" i="24"/>
  <c r="P42" i="24"/>
  <c r="P8" i="24"/>
  <c r="P43" i="24"/>
  <c r="P38" i="24"/>
  <c r="P29" i="24"/>
  <c r="P10" i="24"/>
  <c r="F22" i="24"/>
  <c r="F9" i="24"/>
  <c r="F10" i="24"/>
  <c r="F13" i="24"/>
  <c r="F6" i="24"/>
  <c r="F35" i="24"/>
  <c r="F34" i="24"/>
  <c r="F8" i="24"/>
  <c r="F41" i="24"/>
  <c r="F28" i="24"/>
  <c r="F14" i="24"/>
  <c r="AD23" i="24"/>
  <c r="F29" i="24"/>
  <c r="F15" i="24"/>
  <c r="F44" i="24"/>
  <c r="F24" i="24"/>
  <c r="F46" i="24"/>
  <c r="F19" i="24"/>
  <c r="F33" i="24"/>
  <c r="F43" i="24"/>
  <c r="F38" i="24"/>
  <c r="F17" i="24"/>
  <c r="F7" i="24"/>
  <c r="F23" i="24"/>
  <c r="AD17" i="24"/>
  <c r="F18" i="24"/>
  <c r="F42" i="24"/>
  <c r="F30" i="24"/>
  <c r="F25" i="24"/>
  <c r="F39" i="24"/>
  <c r="F36" i="24"/>
  <c r="F12" i="24"/>
  <c r="F20" i="24"/>
  <c r="F32" i="24"/>
  <c r="F21" i="24"/>
  <c r="F31" i="24"/>
  <c r="F11" i="24"/>
  <c r="F40" i="24"/>
  <c r="F37" i="24"/>
  <c r="F27" i="24"/>
  <c r="I23" i="24"/>
  <c r="F26" i="24"/>
  <c r="F45" i="24"/>
  <c r="I44" i="24"/>
  <c r="F16" i="24"/>
  <c r="F5" i="24"/>
  <c r="BB58" i="34"/>
  <c r="BB27" i="34"/>
  <c r="BB86" i="34"/>
  <c r="BB74" i="34"/>
  <c r="BB52" i="34"/>
  <c r="BB118" i="34"/>
  <c r="BB119" i="34"/>
  <c r="BB110" i="34"/>
  <c r="BB117" i="34"/>
  <c r="BB104" i="34"/>
  <c r="BB33" i="34"/>
  <c r="BB42" i="34"/>
  <c r="BB88" i="34"/>
  <c r="BB100" i="34"/>
  <c r="BB105" i="34"/>
  <c r="BF5" i="34"/>
  <c r="BB6" i="34"/>
  <c r="BB62" i="34"/>
  <c r="BB98" i="34"/>
  <c r="BB9" i="34"/>
  <c r="BB87" i="34"/>
  <c r="BB39" i="34"/>
  <c r="BB96" i="34"/>
  <c r="BB7" i="34"/>
  <c r="BB46" i="34"/>
  <c r="BB20" i="34"/>
  <c r="BB44" i="34"/>
  <c r="BB22" i="34"/>
  <c r="BB127" i="34"/>
  <c r="BB122" i="34"/>
  <c r="BB126" i="34"/>
  <c r="BB72" i="34"/>
  <c r="BB97" i="34"/>
  <c r="BB48" i="34"/>
  <c r="BB43" i="34"/>
  <c r="BB83" i="34"/>
  <c r="BB95" i="34"/>
  <c r="BB34" i="34"/>
  <c r="BB93" i="34"/>
  <c r="BB30" i="34"/>
  <c r="BB57" i="34"/>
  <c r="BB66" i="34"/>
  <c r="BB31" i="34"/>
  <c r="BB60" i="34"/>
  <c r="BB77" i="34"/>
  <c r="BB64" i="34"/>
  <c r="BB10" i="34"/>
  <c r="BB67" i="34"/>
  <c r="BB24" i="34"/>
  <c r="BB92" i="34"/>
  <c r="BB16" i="34"/>
  <c r="BB75" i="34"/>
  <c r="BB108" i="34"/>
  <c r="BB54" i="34"/>
  <c r="BB17" i="34"/>
  <c r="BB45" i="34"/>
  <c r="BB82" i="34"/>
  <c r="BB13" i="34"/>
  <c r="BB81" i="34"/>
  <c r="BB129" i="34"/>
  <c r="BB71" i="34"/>
  <c r="BB51" i="34"/>
  <c r="BB12" i="34"/>
  <c r="BB19" i="34"/>
  <c r="BB69" i="34"/>
  <c r="BB21" i="34"/>
  <c r="BB38" i="34"/>
  <c r="BB124" i="34"/>
  <c r="BB63" i="34"/>
  <c r="BB40" i="34"/>
  <c r="BB50" i="34"/>
  <c r="BB29" i="34"/>
  <c r="BB23" i="34"/>
  <c r="BB91" i="34"/>
  <c r="BB61" i="34"/>
  <c r="BB109" i="34"/>
  <c r="BB35" i="34"/>
  <c r="BB18" i="34"/>
  <c r="BB94" i="34"/>
  <c r="BB123" i="34"/>
  <c r="BB111" i="34"/>
  <c r="BB99" i="34"/>
  <c r="BB53" i="34"/>
  <c r="BB37" i="34"/>
  <c r="BB101" i="34"/>
  <c r="BB65" i="34"/>
  <c r="BB49" i="34"/>
  <c r="BB102" i="34"/>
  <c r="BB114" i="34"/>
  <c r="BB103" i="34"/>
  <c r="BB84" i="34"/>
  <c r="BB32" i="34"/>
  <c r="BB120" i="34"/>
  <c r="BB85" i="34"/>
  <c r="BB78" i="34"/>
  <c r="BB116" i="34"/>
  <c r="BB8" i="34"/>
  <c r="BB125" i="34"/>
  <c r="BB14" i="34"/>
  <c r="BB56" i="34"/>
  <c r="BB59" i="34"/>
  <c r="BB47" i="34"/>
  <c r="BB73" i="34"/>
  <c r="BB90" i="34"/>
  <c r="BB115" i="34"/>
  <c r="BB106" i="34"/>
  <c r="BB121" i="34"/>
  <c r="BB112" i="34"/>
  <c r="BB107" i="34"/>
  <c r="BB76" i="34"/>
  <c r="BB28" i="34"/>
  <c r="BB80" i="34"/>
  <c r="BB89" i="34"/>
  <c r="BB36" i="34"/>
  <c r="BB25" i="34"/>
  <c r="BB79" i="34"/>
  <c r="BB70" i="34"/>
  <c r="BB113" i="34"/>
  <c r="BB55" i="34"/>
  <c r="BB128" i="34"/>
  <c r="BB68" i="34"/>
  <c r="BB26" i="34"/>
  <c r="BB11" i="34"/>
  <c r="BB41" i="34"/>
  <c r="BC1" i="34" l="1"/>
  <c r="D13" i="33" s="1"/>
  <c r="BC4" i="34"/>
  <c r="E13" i="33" s="1"/>
  <c r="BF16" i="34"/>
  <c r="BG16" i="34" s="1"/>
  <c r="BG101" i="34"/>
  <c r="BG79" i="34"/>
  <c r="BG113" i="34"/>
  <c r="BG26" i="34"/>
  <c r="BG67" i="34"/>
  <c r="BG30" i="34"/>
  <c r="BG48" i="34"/>
  <c r="BG69" i="34"/>
  <c r="BG20" i="34"/>
  <c r="BG71" i="34"/>
  <c r="BG89" i="34"/>
  <c r="BG37" i="34"/>
  <c r="BG76" i="34"/>
  <c r="BG92" i="34"/>
  <c r="BG78" i="34"/>
  <c r="BG120" i="34"/>
  <c r="BG110" i="34"/>
  <c r="BG84" i="34"/>
  <c r="BG128" i="34"/>
  <c r="BG13" i="34"/>
  <c r="BG86" i="34"/>
  <c r="BG63" i="34"/>
  <c r="BG50" i="34"/>
  <c r="BG18" i="34"/>
  <c r="BG52" i="34"/>
  <c r="BG105" i="34"/>
  <c r="BG95" i="34"/>
  <c r="BG111" i="34"/>
  <c r="BG49" i="34"/>
  <c r="BG33" i="34"/>
  <c r="BG57" i="34"/>
  <c r="BG80" i="34"/>
  <c r="BG94" i="34"/>
  <c r="BG62" i="34"/>
  <c r="BG88" i="34"/>
  <c r="BG65" i="34"/>
  <c r="BG23" i="34"/>
  <c r="BG68" i="34"/>
  <c r="BG35" i="34"/>
  <c r="BG64" i="34"/>
  <c r="BG98" i="34"/>
  <c r="BG129" i="34"/>
  <c r="BG112" i="34"/>
  <c r="BG108" i="34"/>
  <c r="BG102" i="34"/>
  <c r="BG55" i="34"/>
  <c r="BG70" i="34"/>
  <c r="BG90" i="34"/>
  <c r="BG59" i="34"/>
  <c r="BG40" i="34"/>
  <c r="BG116" i="34"/>
  <c r="BG107" i="34"/>
  <c r="BG66" i="34"/>
  <c r="BG106" i="34"/>
  <c r="BG91" i="34"/>
  <c r="BG104" i="34"/>
  <c r="BG58" i="34"/>
  <c r="BG25" i="34"/>
  <c r="BG60" i="34"/>
  <c r="BG119" i="34"/>
  <c r="BG118" i="34"/>
  <c r="BG83" i="34"/>
  <c r="BG43" i="34"/>
  <c r="BG126" i="34"/>
  <c r="BG73" i="34"/>
  <c r="BG6" i="34"/>
  <c r="BG124" i="34"/>
  <c r="BG41" i="34"/>
  <c r="BG75" i="34"/>
  <c r="BG115" i="34"/>
  <c r="BG38" i="34"/>
  <c r="BG114" i="34"/>
  <c r="BG22" i="34"/>
  <c r="BG17" i="34"/>
  <c r="BG121" i="34"/>
  <c r="BG97" i="34"/>
  <c r="BG123" i="34"/>
  <c r="BG8" i="34"/>
  <c r="BG61" i="34"/>
  <c r="BG21" i="34"/>
  <c r="BG74" i="34"/>
  <c r="BG85" i="34"/>
  <c r="BG10" i="34"/>
  <c r="BG96" i="34"/>
  <c r="BG100" i="34"/>
  <c r="BG99" i="34"/>
  <c r="BG11" i="34"/>
  <c r="BG44" i="34"/>
  <c r="BG81" i="34"/>
  <c r="BG24" i="34"/>
  <c r="BG93" i="34"/>
  <c r="BG29" i="34"/>
  <c r="BG45" i="34"/>
  <c r="BG47" i="34"/>
  <c r="BG34" i="34"/>
  <c r="BG82" i="34"/>
  <c r="BG46" i="34"/>
  <c r="BG32" i="34"/>
  <c r="BG122" i="34"/>
  <c r="BG51" i="34"/>
  <c r="BG87" i="34"/>
  <c r="BG15" i="34"/>
  <c r="BG54" i="34"/>
  <c r="BG72" i="34"/>
  <c r="BG125" i="34"/>
  <c r="BG31" i="34"/>
  <c r="BG36" i="34"/>
  <c r="BG77" i="34"/>
  <c r="BG117" i="34"/>
  <c r="BG28" i="34"/>
  <c r="BG7" i="34"/>
  <c r="BG103" i="34"/>
  <c r="BG27" i="34"/>
  <c r="BG56" i="34"/>
  <c r="BG109" i="34"/>
  <c r="BG42" i="34"/>
  <c r="BG12" i="34"/>
  <c r="BG14" i="34"/>
  <c r="BG19" i="34"/>
  <c r="BG9" i="34"/>
  <c r="BG53" i="34"/>
  <c r="BG127" i="34"/>
  <c r="BG39" i="34"/>
  <c r="R5" i="24" a="1"/>
  <c r="R35" i="24" s="1"/>
  <c r="AD36" i="24"/>
  <c r="I13" i="24"/>
  <c r="AD22" i="24"/>
  <c r="AD38" i="24"/>
  <c r="I29" i="24"/>
  <c r="AD30" i="24"/>
  <c r="AD32" i="24"/>
  <c r="I36" i="24"/>
  <c r="AD43" i="24"/>
  <c r="H8" i="25"/>
  <c r="I11" i="24"/>
  <c r="I46" i="24"/>
  <c r="I18" i="24"/>
  <c r="I38" i="24"/>
  <c r="AD18" i="24"/>
  <c r="I19" i="24"/>
  <c r="AD45" i="24"/>
  <c r="AD31" i="24"/>
  <c r="I26" i="24"/>
  <c r="AD44" i="24"/>
  <c r="I10" i="24"/>
  <c r="I7" i="24"/>
  <c r="AD41" i="24"/>
  <c r="AD28" i="24"/>
  <c r="AD19" i="24"/>
  <c r="I43" i="24"/>
  <c r="I9" i="24"/>
  <c r="I45" i="24"/>
  <c r="AD13" i="24"/>
  <c r="I41" i="24"/>
  <c r="AD12" i="24"/>
  <c r="I40" i="24"/>
  <c r="AD33" i="24"/>
  <c r="H7" i="25"/>
  <c r="I35" i="24"/>
  <c r="AD35" i="24"/>
  <c r="H6" i="25"/>
  <c r="AD25" i="24"/>
  <c r="I34" i="24"/>
  <c r="I20" i="24"/>
  <c r="I31" i="24"/>
  <c r="I32" i="24"/>
  <c r="I27" i="24"/>
  <c r="I22" i="24"/>
  <c r="AD7" i="24"/>
  <c r="AD39" i="24"/>
  <c r="I12" i="24"/>
  <c r="AD34" i="24"/>
  <c r="I28" i="24"/>
  <c r="I42" i="24"/>
  <c r="I5" i="24"/>
  <c r="AD8" i="24"/>
  <c r="AD15" i="24"/>
  <c r="H9" i="25"/>
  <c r="I17" i="24"/>
  <c r="I15" i="24"/>
  <c r="AD9" i="24"/>
  <c r="H5" i="25"/>
  <c r="I33" i="24"/>
  <c r="I16" i="24"/>
  <c r="AD10" i="24"/>
  <c r="AD14" i="24"/>
  <c r="AD27" i="24"/>
  <c r="I8" i="24"/>
  <c r="AD11" i="24"/>
  <c r="AD21" i="24"/>
  <c r="I37" i="24"/>
  <c r="I39" i="24"/>
  <c r="AD42" i="24"/>
  <c r="AD16" i="24"/>
  <c r="I21" i="24"/>
  <c r="AD29" i="24"/>
  <c r="AD40" i="24"/>
  <c r="I6" i="24"/>
  <c r="AD6" i="24"/>
  <c r="I30" i="24"/>
  <c r="AD37" i="24"/>
  <c r="AD46" i="24"/>
  <c r="I25" i="24"/>
  <c r="AD5" i="24"/>
  <c r="AD26" i="24"/>
  <c r="I24" i="24"/>
  <c r="AD20" i="24"/>
  <c r="AE3" i="25"/>
  <c r="AD24" i="24"/>
  <c r="I14" i="24"/>
  <c r="BF103" i="34"/>
  <c r="BF125" i="34"/>
  <c r="BF89" i="34"/>
  <c r="BF43" i="34"/>
  <c r="BF7" i="34"/>
  <c r="BF11" i="34"/>
  <c r="BF54" i="34"/>
  <c r="BF111" i="34"/>
  <c r="BF73" i="34"/>
  <c r="BF48" i="34"/>
  <c r="BF123" i="34"/>
  <c r="BF26" i="34"/>
  <c r="BF50" i="34"/>
  <c r="BF98" i="34"/>
  <c r="BF122" i="34"/>
  <c r="BF41" i="34"/>
  <c r="BF22" i="34"/>
  <c r="BF21" i="34"/>
  <c r="BF27" i="34"/>
  <c r="BF77" i="34"/>
  <c r="BF57" i="34"/>
  <c r="BF95" i="34"/>
  <c r="BF47" i="34"/>
  <c r="BF74" i="34"/>
  <c r="BF84" i="34"/>
  <c r="BF80" i="34"/>
  <c r="BF105" i="34"/>
  <c r="BF36" i="34"/>
  <c r="BF53" i="34"/>
  <c r="BF33" i="34"/>
  <c r="BF58" i="34"/>
  <c r="BF92" i="34"/>
  <c r="BF13" i="34"/>
  <c r="BF78" i="34"/>
  <c r="BF15" i="34"/>
  <c r="BF97" i="34"/>
  <c r="BF83" i="34"/>
  <c r="BF118" i="34"/>
  <c r="BF32" i="34"/>
  <c r="BF38" i="34"/>
  <c r="BF101" i="34"/>
  <c r="BF68" i="34"/>
  <c r="BF46" i="34"/>
  <c r="BF28" i="34"/>
  <c r="BF10" i="34"/>
  <c r="BF85" i="34"/>
  <c r="BF91" i="34"/>
  <c r="BF8" i="34"/>
  <c r="BF9" i="34"/>
  <c r="BF40" i="34"/>
  <c r="BF107" i="34"/>
  <c r="BF109" i="34"/>
  <c r="BF69" i="34"/>
  <c r="BF104" i="34"/>
  <c r="BF129" i="34"/>
  <c r="BF44" i="34"/>
  <c r="BF117" i="34"/>
  <c r="BF121" i="34"/>
  <c r="BF82" i="34"/>
  <c r="BF127" i="34"/>
  <c r="BF112" i="34"/>
  <c r="BF20" i="34"/>
  <c r="BF19" i="34"/>
  <c r="BF61" i="34"/>
  <c r="BF106" i="34"/>
  <c r="BF71" i="34"/>
  <c r="BF65" i="34"/>
  <c r="BF62" i="34"/>
  <c r="BF66" i="34"/>
  <c r="BF116" i="34"/>
  <c r="BF119" i="34"/>
  <c r="BF96" i="34"/>
  <c r="BF51" i="34"/>
  <c r="BF102" i="34"/>
  <c r="BF39" i="34"/>
  <c r="BF55" i="34"/>
  <c r="BF81" i="34"/>
  <c r="BF75" i="34"/>
  <c r="BF114" i="34"/>
  <c r="BF110" i="34"/>
  <c r="BF86" i="34"/>
  <c r="BF124" i="34"/>
  <c r="BF100" i="34"/>
  <c r="BF63" i="34"/>
  <c r="BF72" i="34"/>
  <c r="BF93" i="34"/>
  <c r="BF12" i="34"/>
  <c r="BF30" i="34"/>
  <c r="BF94" i="34"/>
  <c r="BF23" i="34"/>
  <c r="BF88" i="34"/>
  <c r="BF115" i="34"/>
  <c r="BF76" i="34"/>
  <c r="BF24" i="34"/>
  <c r="BF34" i="34"/>
  <c r="BF79" i="34"/>
  <c r="BF90" i="34"/>
  <c r="BF60" i="34"/>
  <c r="BF59" i="34"/>
  <c r="BF70" i="34"/>
  <c r="BF49" i="34"/>
  <c r="BF17" i="34"/>
  <c r="BF29" i="34"/>
  <c r="BF99" i="34"/>
  <c r="BF35" i="34"/>
  <c r="BF87" i="34"/>
  <c r="BF67" i="34"/>
  <c r="BF37" i="34"/>
  <c r="BF42" i="34"/>
  <c r="BF64" i="34"/>
  <c r="BF108" i="34"/>
  <c r="BF120" i="34"/>
  <c r="BF113" i="34"/>
  <c r="BF18" i="34"/>
  <c r="BF6" i="34"/>
  <c r="BF31" i="34"/>
  <c r="BF14" i="34"/>
  <c r="BF128" i="34"/>
  <c r="BF45" i="34"/>
  <c r="BF126" i="34"/>
  <c r="BF52" i="34"/>
  <c r="BF25" i="34"/>
  <c r="BF56" i="34"/>
  <c r="BG1" i="34" l="1"/>
  <c r="D14" i="33" s="1"/>
  <c r="BG4" i="34"/>
  <c r="E14" i="33" s="1"/>
  <c r="R24" i="24"/>
  <c r="R28" i="24"/>
  <c r="R32" i="24"/>
  <c r="R11" i="24"/>
  <c r="R12" i="24"/>
  <c r="R36" i="24"/>
  <c r="R18" i="24"/>
  <c r="R15" i="24"/>
  <c r="R27" i="24"/>
  <c r="R16" i="24"/>
  <c r="R25" i="24"/>
  <c r="R8" i="24"/>
  <c r="R37" i="24"/>
  <c r="R45" i="24"/>
  <c r="R21" i="24"/>
  <c r="R20" i="24"/>
  <c r="R7" i="24"/>
  <c r="R33" i="24"/>
  <c r="R9" i="24"/>
  <c r="R13" i="24"/>
  <c r="R34" i="24"/>
  <c r="R19" i="24"/>
  <c r="R29" i="24"/>
  <c r="R38" i="24"/>
  <c r="R5" i="24"/>
  <c r="R23" i="24"/>
  <c r="R14" i="24"/>
  <c r="R31" i="24"/>
  <c r="R40" i="24"/>
  <c r="R46" i="24"/>
  <c r="R17" i="24"/>
  <c r="R6" i="24"/>
  <c r="R10" i="24"/>
  <c r="R44" i="24"/>
  <c r="R30" i="24"/>
  <c r="R39" i="24"/>
  <c r="R26" i="24"/>
  <c r="R22" i="24"/>
  <c r="R41" i="24"/>
  <c r="R43" i="24"/>
  <c r="R42" i="24"/>
  <c r="W3" i="29"/>
  <c r="AB3" i="28"/>
  <c r="AH3" i="24"/>
  <c r="AB3" i="27"/>
  <c r="AD3" i="26"/>
  <c r="M13" i="32"/>
  <c r="M12" i="32" l="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<sst xmlns="http://schemas.openxmlformats.org/spreadsheetml/2006/main" count="8904" uniqueCount="531">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</sst>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30">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
      <patternFill patternType="solid">
        <fgColor rgb="FFFF0000"/>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408">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1" fontId="0" fillId="0" borderId="52" xfId="0" quotePrefix="1" applyNumberFormat="1" applyBorder="1"/>
    <xf numFmtId="170" fontId="4" fillId="2" borderId="0" xfId="1" applyNumberFormat="1" applyFont="1" applyFill="1"/>
    <xf numFmtId="172" fontId="4" fillId="29" borderId="0" xfId="1" quotePrefix="1" applyNumberFormat="1" applyFont="1" applyFill="1" applyBorder="1"/>
    <xf numFmtId="164" fontId="4" fillId="9" borderId="5" xfId="14" quotePrefix="1" applyNumberFormat="1" applyFont="1" applyFill="1" applyBorder="1" applyAlignment="1">
      <alignment horizontal="center"/>
    </xf>
    <xf numFmtId="164" fontId="4" fillId="9" borderId="2" xfId="14" quotePrefix="1" applyNumberFormat="1" applyFont="1" applyFill="1" applyBorder="1" applyAlignment="1">
      <alignment horizontal="center"/>
    </xf>
    <xf numFmtId="164" fontId="4" fillId="9" borderId="1" xfId="14" quotePrefix="1" applyNumberFormat="1" applyFont="1" applyFill="1" applyBorder="1" applyAlignment="1">
      <alignment horizontal="center"/>
    </xf>
    <xf numFmtId="0" fontId="4" fillId="11" borderId="13" xfId="1" quotePrefix="1" applyNumberFormat="1" applyFont="1" applyFill="1" applyBorder="1" applyAlignment="1">
      <alignment horizontal="center"/>
    </xf>
    <xf numFmtId="0" fontId="4" fillId="11" borderId="12" xfId="1" quotePrefix="1" applyNumberFormat="1" applyFont="1" applyFill="1" applyBorder="1" applyAlignment="1">
      <alignment horizontal="center"/>
    </xf>
    <xf numFmtId="0" fontId="4" fillId="11" borderId="10" xfId="1" quotePrefix="1" applyNumberFormat="1" applyFont="1" applyFill="1" applyBorder="1" applyAlignment="1">
      <alignment horizontal="center"/>
    </xf>
    <xf numFmtId="165" fontId="4" fillId="9" borderId="5" xfId="14" quotePrefix="1" applyNumberFormat="1" applyFont="1" applyFill="1" applyBorder="1" applyAlignment="1">
      <alignment horizontal="center"/>
    </xf>
    <xf numFmtId="165" fontId="4" fillId="9" borderId="2" xfId="14" quotePrefix="1" applyNumberFormat="1" applyFont="1" applyFill="1" applyBorder="1" applyAlignment="1">
      <alignment horizontal="center"/>
    </xf>
    <xf numFmtId="165" fontId="4" fillId="9" borderId="1" xfId="14" quotePrefix="1" applyNumberFormat="1" applyFont="1" applyFill="1" applyBorder="1" applyAlignment="1">
      <alignment horizontal="center"/>
    </xf>
    <xf numFmtId="172" fontId="4" fillId="0" borderId="0" xfId="1" quotePrefix="1" applyNumberFormat="1" applyFont="1" applyFill="1" applyBorder="1"/>
    <xf numFmtId="172" fontId="4" fillId="29" borderId="0" xfId="1" applyNumberFormat="1" applyFont="1" applyFill="1"/>
    <xf numFmtId="0" fontId="4" fillId="11" borderId="5" xfId="1" quotePrefix="1" applyNumberFormat="1" applyFont="1" applyFill="1" applyBorder="1" applyAlignment="1"/>
    <xf numFmtId="164" fontId="4" fillId="11" borderId="13" xfId="1" quotePrefix="1" applyNumberFormat="1" applyFont="1" applyFill="1" applyBorder="1" applyAlignment="1">
      <alignment horizontal="center"/>
    </xf>
    <xf numFmtId="164" fontId="4" fillId="11" borderId="12" xfId="1" quotePrefix="1" applyNumberFormat="1" applyFont="1" applyFill="1" applyBorder="1" applyAlignment="1">
      <alignment horizontal="center"/>
    </xf>
    <xf numFmtId="164" fontId="4" fillId="11" borderId="10" xfId="1" quotePrefix="1" applyNumberFormat="1" applyFont="1" applyFill="1" applyBorder="1" applyAlignment="1">
      <alignment horizontal="center"/>
    </xf>
    <xf numFmtId="0" fontId="4" fillId="11" borderId="13" xfId="1" quotePrefix="1" applyNumberFormat="1" applyFont="1" applyFill="1" applyBorder="1" applyAlignment="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60632576"/>
        <c:axId val="260634112"/>
      </c:lineChart>
      <c:dateAx>
        <c:axId val="2606325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60634112"/>
        <c:crosses val="autoZero"/>
        <c:auto val="1"/>
        <c:lblOffset val="100"/>
        <c:baseTimeUnit val="days"/>
      </c:dateAx>
      <c:valAx>
        <c:axId val="260634112"/>
        <c:scaling>
          <c:orientation val="minMax"/>
        </c:scaling>
        <c:delete val="0"/>
        <c:axPos val="l"/>
        <c:majorGridlines/>
        <c:numFmt formatCode="0.00%" sourceLinked="0"/>
        <c:majorTickMark val="out"/>
        <c:minorTickMark val="none"/>
        <c:tickLblPos val="nextTo"/>
        <c:crossAx val="2606325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339238912"/>
        <c:axId val="339240448"/>
      </c:lineChart>
      <c:dateAx>
        <c:axId val="33923891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39240448"/>
        <c:crosses val="autoZero"/>
        <c:auto val="1"/>
        <c:lblOffset val="100"/>
        <c:baseTimeUnit val="days"/>
      </c:dateAx>
      <c:valAx>
        <c:axId val="339240448"/>
        <c:scaling>
          <c:orientation val="minMax"/>
        </c:scaling>
        <c:delete val="0"/>
        <c:axPos val="l"/>
        <c:majorGridlines/>
        <c:numFmt formatCode="0.00%" sourceLinked="0"/>
        <c:majorTickMark val="out"/>
        <c:minorTickMark val="none"/>
        <c:tickLblPos val="nextTo"/>
        <c:crossAx val="33923891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339350656"/>
        <c:axId val="339352192"/>
      </c:lineChart>
      <c:dateAx>
        <c:axId val="33935065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39352192"/>
        <c:crosses val="autoZero"/>
        <c:auto val="1"/>
        <c:lblOffset val="100"/>
        <c:baseTimeUnit val="days"/>
      </c:dateAx>
      <c:valAx>
        <c:axId val="339352192"/>
        <c:scaling>
          <c:orientation val="minMax"/>
        </c:scaling>
        <c:delete val="0"/>
        <c:axPos val="l"/>
        <c:majorGridlines/>
        <c:numFmt formatCode="0.00%" sourceLinked="0"/>
        <c:majorTickMark val="out"/>
        <c:minorTickMark val="none"/>
        <c:tickLblPos val="nextTo"/>
        <c:crossAx val="33935065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339620608"/>
        <c:axId val="339622144"/>
      </c:lineChart>
      <c:dateAx>
        <c:axId val="33962060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339622144"/>
        <c:crosses val="autoZero"/>
        <c:auto val="1"/>
        <c:lblOffset val="100"/>
        <c:baseTimeUnit val="days"/>
      </c:dateAx>
      <c:valAx>
        <c:axId val="339622144"/>
        <c:scaling>
          <c:orientation val="minMax"/>
        </c:scaling>
        <c:delete val="0"/>
        <c:axPos val="l"/>
        <c:majorGridlines/>
        <c:numFmt formatCode="0.00%" sourceLinked="0"/>
        <c:majorTickMark val="out"/>
        <c:minorTickMark val="none"/>
        <c:tickLblPos val="nextTo"/>
        <c:crossAx val="339620608"/>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340251392"/>
        <c:axId val="340252928"/>
      </c:scatterChart>
      <c:valAx>
        <c:axId val="340251392"/>
        <c:scaling>
          <c:orientation val="minMax"/>
        </c:scaling>
        <c:delete val="0"/>
        <c:axPos val="b"/>
        <c:numFmt formatCode="[$-409]mmm\-yy;@" sourceLinked="0"/>
        <c:majorTickMark val="out"/>
        <c:minorTickMark val="none"/>
        <c:tickLblPos val="low"/>
        <c:txPr>
          <a:bodyPr rot="-2700000"/>
          <a:lstStyle/>
          <a:p>
            <a:pPr>
              <a:defRPr/>
            </a:pPr>
            <a:endParaRPr lang="en-US"/>
          </a:p>
        </c:txPr>
        <c:crossAx val="340252928"/>
        <c:crosses val="autoZero"/>
        <c:crossBetween val="midCat"/>
      </c:valAx>
      <c:valAx>
        <c:axId val="340252928"/>
        <c:scaling>
          <c:orientation val="minMax"/>
        </c:scaling>
        <c:delete val="0"/>
        <c:axPos val="l"/>
        <c:majorGridlines/>
        <c:numFmt formatCode="0.0000%" sourceLinked="0"/>
        <c:majorTickMark val="out"/>
        <c:minorTickMark val="none"/>
        <c:tickLblPos val="nextTo"/>
        <c:crossAx val="340251392"/>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39874560"/>
        <c:axId val="339876096"/>
      </c:scatterChart>
      <c:valAx>
        <c:axId val="339874560"/>
        <c:scaling>
          <c:orientation val="minMax"/>
        </c:scaling>
        <c:delete val="0"/>
        <c:axPos val="b"/>
        <c:numFmt formatCode="[$-409]mmm\-yy;@" sourceLinked="0"/>
        <c:majorTickMark val="out"/>
        <c:minorTickMark val="none"/>
        <c:tickLblPos val="low"/>
        <c:txPr>
          <a:bodyPr rot="-2700000"/>
          <a:lstStyle/>
          <a:p>
            <a:pPr>
              <a:defRPr/>
            </a:pPr>
            <a:endParaRPr lang="en-US"/>
          </a:p>
        </c:txPr>
        <c:crossAx val="339876096"/>
        <c:crosses val="autoZero"/>
        <c:crossBetween val="midCat"/>
      </c:valAx>
      <c:valAx>
        <c:axId val="339876096"/>
        <c:scaling>
          <c:orientation val="minMax"/>
          <c:max val="2.5000000000000005E-3"/>
          <c:min val="1.5000000000000005E-3"/>
        </c:scaling>
        <c:delete val="0"/>
        <c:axPos val="l"/>
        <c:majorGridlines/>
        <c:numFmt formatCode="0.00%" sourceLinked="0"/>
        <c:majorTickMark val="out"/>
        <c:minorTickMark val="none"/>
        <c:tickLblPos val="nextTo"/>
        <c:crossAx val="33987456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40050304"/>
        <c:axId val="340051840"/>
      </c:scatterChart>
      <c:valAx>
        <c:axId val="340050304"/>
        <c:scaling>
          <c:orientation val="minMax"/>
        </c:scaling>
        <c:delete val="0"/>
        <c:axPos val="b"/>
        <c:numFmt formatCode="[$-409]mmm\-yy;@" sourceLinked="0"/>
        <c:majorTickMark val="out"/>
        <c:minorTickMark val="none"/>
        <c:tickLblPos val="low"/>
        <c:txPr>
          <a:bodyPr rot="-2700000"/>
          <a:lstStyle/>
          <a:p>
            <a:pPr>
              <a:defRPr/>
            </a:pPr>
            <a:endParaRPr lang="en-US"/>
          </a:p>
        </c:txPr>
        <c:crossAx val="340051840"/>
        <c:crosses val="autoZero"/>
        <c:crossBetween val="midCat"/>
      </c:valAx>
      <c:valAx>
        <c:axId val="340051840"/>
        <c:scaling>
          <c:orientation val="minMax"/>
        </c:scaling>
        <c:delete val="0"/>
        <c:axPos val="l"/>
        <c:majorGridlines/>
        <c:numFmt formatCode="0.00%" sourceLinked="0"/>
        <c:majorTickMark val="out"/>
        <c:minorTickMark val="none"/>
        <c:tickLblPos val="nextTo"/>
        <c:crossAx val="34005030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340674816"/>
        <c:axId val="340680704"/>
      </c:scatterChart>
      <c:valAx>
        <c:axId val="340674816"/>
        <c:scaling>
          <c:orientation val="minMax"/>
        </c:scaling>
        <c:delete val="0"/>
        <c:axPos val="b"/>
        <c:numFmt formatCode="[$-409]mmm\-yy;@" sourceLinked="0"/>
        <c:majorTickMark val="out"/>
        <c:minorTickMark val="none"/>
        <c:tickLblPos val="low"/>
        <c:txPr>
          <a:bodyPr rot="-2700000"/>
          <a:lstStyle/>
          <a:p>
            <a:pPr>
              <a:defRPr/>
            </a:pPr>
            <a:endParaRPr lang="en-US"/>
          </a:p>
        </c:txPr>
        <c:crossAx val="340680704"/>
        <c:crosses val="autoZero"/>
        <c:crossBetween val="midCat"/>
      </c:valAx>
      <c:valAx>
        <c:axId val="340680704"/>
        <c:scaling>
          <c:orientation val="minMax"/>
        </c:scaling>
        <c:delete val="0"/>
        <c:axPos val="l"/>
        <c:majorGridlines/>
        <c:numFmt formatCode="0.0000%" sourceLinked="1"/>
        <c:majorTickMark val="out"/>
        <c:minorTickMark val="none"/>
        <c:tickLblPos val="nextTo"/>
        <c:crossAx val="340674816"/>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340773120"/>
        <c:axId val="340807680"/>
      </c:lineChart>
      <c:dateAx>
        <c:axId val="340773120"/>
        <c:scaling>
          <c:orientation val="minMax"/>
        </c:scaling>
        <c:delete val="0"/>
        <c:axPos val="b"/>
        <c:numFmt formatCode="[$-409]mmm\-yy;@" sourceLinked="0"/>
        <c:majorTickMark val="out"/>
        <c:minorTickMark val="none"/>
        <c:tickLblPos val="low"/>
        <c:txPr>
          <a:bodyPr rot="-2700000"/>
          <a:lstStyle/>
          <a:p>
            <a:pPr>
              <a:defRPr/>
            </a:pPr>
            <a:endParaRPr lang="en-US"/>
          </a:p>
        </c:txPr>
        <c:crossAx val="340807680"/>
        <c:crosses val="autoZero"/>
        <c:auto val="1"/>
        <c:lblOffset val="100"/>
        <c:baseTimeUnit val="days"/>
      </c:dateAx>
      <c:valAx>
        <c:axId val="340807680"/>
        <c:scaling>
          <c:orientation val="minMax"/>
        </c:scaling>
        <c:delete val="0"/>
        <c:axPos val="l"/>
        <c:majorGridlines/>
        <c:numFmt formatCode="0.0000%" sourceLinked="1"/>
        <c:majorTickMark val="out"/>
        <c:minorTickMark val="none"/>
        <c:tickLblPos val="nextTo"/>
        <c:crossAx val="34077312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0" customWidth="1"/>
    <col min="3" max="3" width="23.5703125" style="1290" bestFit="1" customWidth="1"/>
    <col min="4" max="4" width="17.28515625" style="1290" bestFit="1" customWidth="1"/>
    <col min="5" max="5" width="2.42578125" style="1290" customWidth="1"/>
    <col min="6" max="16384" width="9.140625" style="1290"/>
  </cols>
  <sheetData>
    <row r="1" spans="2:8" ht="12" thickBot="1" x14ac:dyDescent="0.25"/>
    <row r="2" spans="2:8" ht="15" x14ac:dyDescent="0.25">
      <c r="B2" s="1301"/>
      <c r="C2" s="1300"/>
      <c r="D2" s="1300"/>
      <c r="E2" s="1299"/>
      <c r="G2" s="1360" t="s">
        <v>529</v>
      </c>
      <c r="H2" s="1363" t="e">
        <f ca="1">_xll.ohTrigger(MainChecks!Trigger2)</f>
        <v>#NAME?</v>
      </c>
    </row>
    <row r="3" spans="2:8" ht="15.75" thickBot="1" x14ac:dyDescent="0.3">
      <c r="B3" s="1296"/>
      <c r="C3" s="1167" t="s">
        <v>239</v>
      </c>
      <c r="D3" s="1298"/>
      <c r="E3" s="1294"/>
      <c r="G3" s="1361" t="s">
        <v>530</v>
      </c>
      <c r="H3" s="1364"/>
    </row>
    <row r="4" spans="2:8" x14ac:dyDescent="0.2">
      <c r="B4" s="1296"/>
      <c r="C4" s="1167" t="s">
        <v>307</v>
      </c>
      <c r="D4" s="1298" t="e">
        <f ca="1">_xll.qlSettingsEvaluationDate(Trigger)</f>
        <v>#NAME?</v>
      </c>
      <c r="E4" s="1294"/>
    </row>
    <row r="5" spans="2:8" x14ac:dyDescent="0.2">
      <c r="B5" s="1296"/>
      <c r="C5" s="1297"/>
      <c r="D5" s="1297"/>
      <c r="E5" s="1294"/>
    </row>
    <row r="6" spans="2:8" x14ac:dyDescent="0.2">
      <c r="B6" s="1296"/>
      <c r="C6" s="1167" t="s">
        <v>300</v>
      </c>
      <c r="D6" s="1295"/>
      <c r="E6" s="1294"/>
    </row>
    <row r="7" spans="2:8" ht="12" thickBot="1" x14ac:dyDescent="0.25">
      <c r="B7" s="1293"/>
      <c r="C7" s="1292"/>
      <c r="D7" s="1292"/>
      <c r="E7" s="1291"/>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4" bestFit="1" customWidth="1"/>
    <col min="2" max="2" width="21.42578125" style="1074" bestFit="1" customWidth="1"/>
    <col min="3" max="3" width="22.5703125" style="1074" bestFit="1" customWidth="1"/>
    <col min="4" max="4" width="18.5703125" style="1074" hidden="1" customWidth="1" outlineLevel="1"/>
    <col min="5" max="5" width="22.5703125" style="1074" hidden="1" customWidth="1" outlineLevel="1"/>
    <col min="6" max="6" width="17.140625" style="1075" customWidth="1" collapsed="1"/>
    <col min="7" max="7" width="22.5703125" style="1075" bestFit="1" customWidth="1"/>
    <col min="8" max="9" width="19.42578125" style="1074" hidden="1" customWidth="1" outlineLevel="1"/>
    <col min="10" max="11" width="14.140625" style="1074" hidden="1" customWidth="1" outlineLevel="1"/>
    <col min="12" max="12" width="17.28515625" style="1074" bestFit="1" customWidth="1" collapsed="1"/>
    <col min="13" max="13" width="15.28515625" style="1074" bestFit="1" customWidth="1"/>
    <col min="14" max="14" width="15.28515625" style="1074" hidden="1" customWidth="1" outlineLevel="1"/>
    <col min="15" max="15" width="6" style="1145" hidden="1" customWidth="1" outlineLevel="1"/>
    <col min="16" max="16" width="9.140625" style="1145" collapsed="1"/>
    <col min="17" max="16384" width="9.140625" style="1145"/>
  </cols>
  <sheetData>
    <row r="1" spans="1:19" ht="12" thickBot="1" x14ac:dyDescent="0.25">
      <c r="A1" s="1167" t="s">
        <v>231</v>
      </c>
      <c r="B1" s="1265" t="s">
        <v>230</v>
      </c>
      <c r="C1" s="1209" t="str">
        <f>UPPER(IF(ISBLANK(B1),D1,B1))</f>
        <v>EUR</v>
      </c>
      <c r="D1" s="1263" t="s">
        <v>230</v>
      </c>
      <c r="E1" s="1221" t="s">
        <v>230</v>
      </c>
      <c r="F1" s="1168"/>
      <c r="G1" s="1168"/>
      <c r="H1" s="1168"/>
      <c r="I1" s="1168"/>
      <c r="J1" s="1168"/>
      <c r="K1" s="1168"/>
      <c r="L1" s="1168"/>
      <c r="M1" s="1168"/>
      <c r="N1" s="1168"/>
      <c r="O1" s="1146"/>
      <c r="P1" s="1146"/>
    </row>
    <row r="2" spans="1:19" ht="15" x14ac:dyDescent="0.25">
      <c r="A2" s="1289" t="s">
        <v>484</v>
      </c>
      <c r="B2" s="1390" t="s">
        <v>483</v>
      </c>
      <c r="C2" s="1391"/>
      <c r="D2" s="1288" t="s">
        <v>481</v>
      </c>
      <c r="E2" s="1287" t="s">
        <v>480</v>
      </c>
      <c r="F2" s="1390" t="s">
        <v>482</v>
      </c>
      <c r="G2" s="1391"/>
      <c r="H2" s="1286" t="s">
        <v>481</v>
      </c>
      <c r="I2" s="1285" t="s">
        <v>480</v>
      </c>
      <c r="J2" s="1284" t="s">
        <v>479</v>
      </c>
      <c r="K2" s="1283" t="s">
        <v>478</v>
      </c>
      <c r="L2" s="1390" t="s">
        <v>477</v>
      </c>
      <c r="M2" s="1391"/>
      <c r="N2" s="1146"/>
      <c r="O2" s="1146"/>
      <c r="P2" s="1146"/>
      <c r="R2" s="1360" t="s">
        <v>529</v>
      </c>
      <c r="S2" s="1363" t="e">
        <f ca="1">_xll.ohTrigger(Triggers!Trigger)</f>
        <v>#NAME?</v>
      </c>
    </row>
    <row r="3" spans="1:19" ht="15.75" thickBot="1" x14ac:dyDescent="0.3">
      <c r="A3" s="1167" t="s">
        <v>216</v>
      </c>
      <c r="B3" s="1265"/>
      <c r="C3" s="1264" t="e">
        <f t="shared" ref="C3:C14" ca="1" si="0">IF(ISBLANK(B3),D3,B3)</f>
        <v>#NAME?</v>
      </c>
      <c r="D3" s="1263" t="e">
        <f t="shared" ref="D3:D8" ca="1" si="1">IF(ISBLANK(F3),E3,G3)</f>
        <v>#NAME?</v>
      </c>
      <c r="E3" s="1221" t="e">
        <f ca="1">_xll.qlIndexFixingCalendar(C$24,Trigger)</f>
        <v>#NAME?</v>
      </c>
      <c r="F3" s="1263"/>
      <c r="G3" s="1209" t="e">
        <f t="shared" ref="G3:G14" ca="1" si="2">IF(ISBLANK(F3),H3,F3)</f>
        <v>#NAME?</v>
      </c>
      <c r="H3" s="1263" t="e">
        <f t="shared" ref="H3:H8" ca="1" si="3">IF(ISBLANK(B3),I3,C3)</f>
        <v>#NAME?</v>
      </c>
      <c r="I3" s="1221" t="e">
        <f ca="1">_xll.qlIndexFixingCalendar(G$24,Trigger)</f>
        <v>#NAME?</v>
      </c>
      <c r="J3" s="1282" t="e">
        <f ca="1">FirstLegCF</f>
        <v>#NAME?</v>
      </c>
      <c r="K3" s="1281" t="b">
        <f>C27</f>
        <v>1</v>
      </c>
      <c r="L3" s="1280" t="e">
        <f ca="1">EvaluationDate</f>
        <v>#NAME?</v>
      </c>
      <c r="M3" s="1279">
        <v>0</v>
      </c>
      <c r="N3" s="1146" t="e">
        <f ca="1">_xll.qlLeg(,M3,L3,,,EvaluationDate)</f>
        <v>#NAME?</v>
      </c>
      <c r="O3" s="1146" t="b">
        <v>1</v>
      </c>
      <c r="P3" s="1146"/>
      <c r="R3" s="1361" t="s">
        <v>530</v>
      </c>
      <c r="S3" s="1364"/>
    </row>
    <row r="4" spans="1:19" ht="12" customHeight="1" x14ac:dyDescent="0.2">
      <c r="A4" s="1167" t="s">
        <v>86</v>
      </c>
      <c r="B4" s="1271"/>
      <c r="C4" s="1270" t="e">
        <f t="shared" ca="1" si="0"/>
        <v>#NAME?</v>
      </c>
      <c r="D4" s="1267" t="e">
        <f t="shared" ca="1" si="1"/>
        <v>#NAME?</v>
      </c>
      <c r="E4" s="1266" t="e">
        <f ca="1">_xll.qlInterestRateIndexValueDate(C24,EvaluationDate)</f>
        <v>#NAME?</v>
      </c>
      <c r="F4" s="1269"/>
      <c r="G4" s="1268" t="e">
        <f t="shared" ca="1" si="2"/>
        <v>#NAME?</v>
      </c>
      <c r="H4" s="1267" t="e">
        <f t="shared" ca="1" si="3"/>
        <v>#NAME?</v>
      </c>
      <c r="I4" s="1266" t="e">
        <f ca="1">_xll.qlInterestRateIndexValueDate(G24,EvaluationDate)</f>
        <v>#NAME?</v>
      </c>
      <c r="J4" s="701" t="e">
        <f ca="1">SecondLegCF</f>
        <v>#NAME?</v>
      </c>
      <c r="K4" s="1278" t="b">
        <f>G27</f>
        <v>0</v>
      </c>
      <c r="L4" s="1217" t="e">
        <f ca="1">_xll.qlCalendarAdvance($C$3,L3,"1D","f")</f>
        <v>#NAME?</v>
      </c>
      <c r="M4" s="1216">
        <v>0</v>
      </c>
      <c r="N4" s="1146" t="e">
        <f ca="1">_xll.qlLeg(,M4,L4,,,EvaluationDate)</f>
        <v>#NAME?</v>
      </c>
      <c r="O4" s="1146" t="b">
        <f t="shared" ref="O4:O26" si="4">NOT(M4=0)</f>
        <v>0</v>
      </c>
      <c r="P4" s="1146"/>
    </row>
    <row r="5" spans="1:19" x14ac:dyDescent="0.2">
      <c r="A5" s="1167" t="s">
        <v>476</v>
      </c>
      <c r="B5" s="1271"/>
      <c r="C5" s="1264" t="e">
        <f t="shared" si="0"/>
        <v>#N/A</v>
      </c>
      <c r="D5" s="1267" t="e">
        <f t="shared" si="1"/>
        <v>#N/A</v>
      </c>
      <c r="E5" s="1266" t="e">
        <f>NA()</f>
        <v>#N/A</v>
      </c>
      <c r="F5" s="1269"/>
      <c r="G5" s="1209" t="e">
        <f t="shared" si="2"/>
        <v>#N/A</v>
      </c>
      <c r="H5" s="1267" t="e">
        <f t="shared" si="3"/>
        <v>#N/A</v>
      </c>
      <c r="I5" s="1266" t="e">
        <f>NA()</f>
        <v>#N/A</v>
      </c>
      <c r="J5" s="1277" t="e">
        <f ca="1">AdditionalCF</f>
        <v>#NAME?</v>
      </c>
      <c r="K5" s="1277" t="b">
        <v>0</v>
      </c>
      <c r="L5" s="1217" t="e">
        <f ca="1">_xll.qlCalendarAdvance($C$3,L4,"1D","f")</f>
        <v>#NAME?</v>
      </c>
      <c r="M5" s="1216">
        <v>0</v>
      </c>
      <c r="N5" s="1146" t="e">
        <f ca="1">_xll.qlLeg(,M5,L5,,,EvaluationDate)</f>
        <v>#NAME?</v>
      </c>
      <c r="O5" s="1146" t="b">
        <f t="shared" si="4"/>
        <v>0</v>
      </c>
      <c r="P5" s="1146"/>
    </row>
    <row r="6" spans="1:19" x14ac:dyDescent="0.2">
      <c r="A6" s="1167" t="s">
        <v>475</v>
      </c>
      <c r="B6" s="1271"/>
      <c r="C6" s="1264" t="e">
        <f t="shared" si="0"/>
        <v>#N/A</v>
      </c>
      <c r="D6" s="1267" t="e">
        <f t="shared" si="1"/>
        <v>#N/A</v>
      </c>
      <c r="E6" s="1266" t="e">
        <f>NA()</f>
        <v>#N/A</v>
      </c>
      <c r="F6" s="1269"/>
      <c r="G6" s="1209" t="e">
        <f t="shared" si="2"/>
        <v>#N/A</v>
      </c>
      <c r="H6" s="1267" t="e">
        <f t="shared" si="3"/>
        <v>#N/A</v>
      </c>
      <c r="I6" s="1266" t="e">
        <f>NA()</f>
        <v>#N/A</v>
      </c>
      <c r="J6" s="1149"/>
      <c r="K6" s="1149"/>
      <c r="L6" s="1217" t="e">
        <f ca="1">_xll.qlCalendarAdvance($C$3,L5,"1D","f")</f>
        <v>#NAME?</v>
      </c>
      <c r="M6" s="1216">
        <v>0</v>
      </c>
      <c r="N6" s="1146" t="e">
        <f ca="1">_xll.qlLeg(,M6,L6,,,EvaluationDate)</f>
        <v>#NAME?</v>
      </c>
      <c r="O6" s="1146" t="b">
        <f t="shared" si="4"/>
        <v>0</v>
      </c>
      <c r="P6" s="1146"/>
    </row>
    <row r="7" spans="1:19" ht="12" customHeight="1" x14ac:dyDescent="0.2">
      <c r="A7" s="1181" t="s">
        <v>474</v>
      </c>
      <c r="B7" s="1276" t="s">
        <v>46</v>
      </c>
      <c r="C7" s="1275" t="str">
        <f t="shared" si="0"/>
        <v>10Y</v>
      </c>
      <c r="D7" s="1273" t="str">
        <f t="shared" si="1"/>
        <v>10Y</v>
      </c>
      <c r="E7" s="1272" t="s">
        <v>46</v>
      </c>
      <c r="F7" s="1273"/>
      <c r="G7" s="1274" t="str">
        <f t="shared" si="2"/>
        <v>10Y</v>
      </c>
      <c r="H7" s="1273" t="str">
        <f t="shared" si="3"/>
        <v>10Y</v>
      </c>
      <c r="I7" s="1272" t="s">
        <v>46</v>
      </c>
      <c r="J7" s="1149"/>
      <c r="K7" s="1149"/>
      <c r="L7" s="1217"/>
      <c r="M7" s="1216">
        <v>0</v>
      </c>
      <c r="N7" s="1146" t="e">
        <f ca="1">_xll.qlLeg(,M7,L7,,,EvaluationDate)</f>
        <v>#NAME?</v>
      </c>
      <c r="O7" s="1146" t="b">
        <f t="shared" si="4"/>
        <v>0</v>
      </c>
      <c r="P7" s="1146"/>
    </row>
    <row r="8" spans="1:19" x14ac:dyDescent="0.2">
      <c r="A8" s="1167" t="s">
        <v>473</v>
      </c>
      <c r="B8" s="1271"/>
      <c r="C8" s="1270" t="e">
        <f t="shared" ca="1" si="0"/>
        <v>#NAME?</v>
      </c>
      <c r="D8" s="1267" t="e">
        <f t="shared" ca="1" si="1"/>
        <v>#NAME?</v>
      </c>
      <c r="E8" s="1266" t="e">
        <f ca="1">_xll.qlCalendarAdvance("NULLCALENDAR",C$4,C$7,"Unadjusted")</f>
        <v>#NAME?</v>
      </c>
      <c r="F8" s="1269"/>
      <c r="G8" s="1268" t="e">
        <f t="shared" ca="1" si="2"/>
        <v>#NAME?</v>
      </c>
      <c r="H8" s="1267" t="e">
        <f t="shared" ca="1" si="3"/>
        <v>#NAME?</v>
      </c>
      <c r="I8" s="1266" t="e">
        <f ca="1">_xll.qlCalendarAdvance("NULLCALENDAR",G$4,G$7,"Unadjusted")</f>
        <v>#NAME?</v>
      </c>
      <c r="J8" s="1149"/>
      <c r="K8" s="1149"/>
      <c r="L8" s="1217"/>
      <c r="M8" s="1216">
        <v>0</v>
      </c>
      <c r="N8" s="1146" t="e">
        <f ca="1">_xll.qlLeg(,M8,L8,,,EvaluationDate)</f>
        <v>#NAME?</v>
      </c>
      <c r="O8" s="1146" t="b">
        <f t="shared" si="4"/>
        <v>0</v>
      </c>
      <c r="P8" s="1146"/>
    </row>
    <row r="9" spans="1:19" x14ac:dyDescent="0.2">
      <c r="A9" s="1167" t="s">
        <v>107</v>
      </c>
      <c r="B9" s="1265"/>
      <c r="C9" s="1264" t="str">
        <f t="shared" si="0"/>
        <v>6M</v>
      </c>
      <c r="D9" s="1263" t="str">
        <f>IF(C23,IF(ISBLANK(F9),E9,G9),E9)</f>
        <v>6M</v>
      </c>
      <c r="E9" s="1221" t="s">
        <v>92</v>
      </c>
      <c r="F9" s="1263"/>
      <c r="G9" s="1209" t="e">
        <f t="shared" ca="1" si="2"/>
        <v>#NAME?</v>
      </c>
      <c r="H9" s="1263" t="e">
        <f ca="1">IF(G23,IF(ISBLANK(J9),I9,K9),I9)</f>
        <v>#NAME?</v>
      </c>
      <c r="I9" s="1221" t="e">
        <f ca="1">IF(G23,_xll.qlInterestRateIndexTenor(G$24,Trigger),IF(Currency="GBP","6M","1Y"))</f>
        <v>#NAME?</v>
      </c>
      <c r="J9" s="1149"/>
      <c r="K9" s="1149"/>
      <c r="L9" s="1217"/>
      <c r="M9" s="1216">
        <v>0</v>
      </c>
      <c r="N9" s="1146" t="e">
        <f ca="1">_xll.qlLeg(,M9,L9,,,EvaluationDate)</f>
        <v>#NAME?</v>
      </c>
      <c r="O9" s="1146" t="b">
        <f t="shared" si="4"/>
        <v>0</v>
      </c>
      <c r="P9" s="1146"/>
    </row>
    <row r="10" spans="1:19" x14ac:dyDescent="0.2">
      <c r="A10" s="1167" t="s">
        <v>329</v>
      </c>
      <c r="B10" s="1265"/>
      <c r="C10" s="1264" t="e">
        <f t="shared" ca="1" si="0"/>
        <v>#NAME?</v>
      </c>
      <c r="D10" s="1263" t="e">
        <f ca="1">IF(ISBLANK(F10),E10,G10)</f>
        <v>#NAME?</v>
      </c>
      <c r="E10" s="1221" t="e">
        <f ca="1">_xll.qlIborIndexBusinessDayConv(C$24,Trigger)</f>
        <v>#NAME?</v>
      </c>
      <c r="F10" s="1263"/>
      <c r="G10" s="1209" t="e">
        <f t="shared" ca="1" si="2"/>
        <v>#NAME?</v>
      </c>
      <c r="H10" s="1263" t="e">
        <f ca="1">IF(ISBLANK(B10),I10,C10)</f>
        <v>#NAME?</v>
      </c>
      <c r="I10" s="1221" t="e">
        <f ca="1">_xll.qlIborIndexBusinessDayConv(G$24,Trigger)</f>
        <v>#NAME?</v>
      </c>
      <c r="J10" s="1149"/>
      <c r="K10" s="1149"/>
      <c r="L10" s="1217"/>
      <c r="M10" s="1216">
        <v>0</v>
      </c>
      <c r="N10" s="1146" t="e">
        <f ca="1">_xll.qlLeg(,M10,L10,,,EvaluationDate)</f>
        <v>#NAME?</v>
      </c>
      <c r="O10" s="1146" t="b">
        <f t="shared" si="4"/>
        <v>0</v>
      </c>
      <c r="P10" s="1146"/>
    </row>
    <row r="11" spans="1:19" x14ac:dyDescent="0.2">
      <c r="A11" s="1167" t="s">
        <v>472</v>
      </c>
      <c r="B11" s="1265"/>
      <c r="C11" s="1264" t="e">
        <f t="shared" ca="1" si="0"/>
        <v>#NAME?</v>
      </c>
      <c r="D11" s="1263" t="e">
        <f ca="1">IF(ISBLANK(F11),E11,G11)</f>
        <v>#NAME?</v>
      </c>
      <c r="E11" s="1221" t="e">
        <f ca="1">_xll.qlIborIndexBusinessDayConv(C$24,Trigger)</f>
        <v>#NAME?</v>
      </c>
      <c r="F11" s="1263"/>
      <c r="G11" s="1209" t="e">
        <f t="shared" ca="1" si="2"/>
        <v>#NAME?</v>
      </c>
      <c r="H11" s="1263" t="e">
        <f ca="1">IF(ISBLANK(B11),I11,C11)</f>
        <v>#NAME?</v>
      </c>
      <c r="I11" s="1221" t="e">
        <f ca="1">_xll.qlIborIndexBusinessDayConv(G$24,Trigger)</f>
        <v>#NAME?</v>
      </c>
      <c r="J11" s="1149"/>
      <c r="K11" s="1149"/>
      <c r="L11" s="1217"/>
      <c r="M11" s="1216">
        <v>0</v>
      </c>
      <c r="N11" s="1146" t="e">
        <f ca="1">_xll.qlLeg(,M11,L11,,,EvaluationDate)</f>
        <v>#NAME?</v>
      </c>
      <c r="O11" s="1146" t="b">
        <f t="shared" si="4"/>
        <v>0</v>
      </c>
      <c r="P11" s="1146"/>
    </row>
    <row r="12" spans="1:19" x14ac:dyDescent="0.2">
      <c r="A12" s="1167" t="s">
        <v>471</v>
      </c>
      <c r="B12" s="1265"/>
      <c r="C12" s="1264" t="str">
        <f t="shared" si="0"/>
        <v>Backward</v>
      </c>
      <c r="D12" s="1263" t="str">
        <f>IF(ISBLANK(F12),E12,G12)</f>
        <v>Backward</v>
      </c>
      <c r="E12" s="1221" t="s">
        <v>470</v>
      </c>
      <c r="F12" s="1263"/>
      <c r="G12" s="1209" t="str">
        <f t="shared" si="2"/>
        <v>Backward</v>
      </c>
      <c r="H12" s="1263" t="str">
        <f>IF(ISBLANK(B12),I12,C12)</f>
        <v>Backward</v>
      </c>
      <c r="I12" s="1221" t="s">
        <v>470</v>
      </c>
      <c r="J12" s="1149"/>
      <c r="K12" s="1149"/>
      <c r="L12" s="1217"/>
      <c r="M12" s="1216">
        <v>0</v>
      </c>
      <c r="N12" s="1146" t="e">
        <f ca="1">_xll.qlLeg(,M12,L12,,,EvaluationDate)</f>
        <v>#NAME?</v>
      </c>
      <c r="O12" s="1146" t="b">
        <f t="shared" si="4"/>
        <v>0</v>
      </c>
      <c r="P12" s="1146"/>
    </row>
    <row r="13" spans="1:19" x14ac:dyDescent="0.2">
      <c r="A13" s="1177" t="s">
        <v>469</v>
      </c>
      <c r="B13" s="1265"/>
      <c r="C13" s="1264" t="b">
        <f t="shared" si="0"/>
        <v>0</v>
      </c>
      <c r="D13" s="1263" t="b">
        <f>IF(ISBLANK(F13),E13,G13)</f>
        <v>0</v>
      </c>
      <c r="E13" s="1221" t="b">
        <v>0</v>
      </c>
      <c r="F13" s="1263"/>
      <c r="G13" s="1209" t="b">
        <f t="shared" si="2"/>
        <v>0</v>
      </c>
      <c r="H13" s="1263" t="b">
        <f>IF(ISBLANK(B13),I13,C13)</f>
        <v>0</v>
      </c>
      <c r="I13" s="1221" t="b">
        <v>0</v>
      </c>
      <c r="J13" s="1149"/>
      <c r="K13" s="1149"/>
      <c r="L13" s="1217"/>
      <c r="M13" s="1216">
        <v>0</v>
      </c>
      <c r="N13" s="1146" t="e">
        <f ca="1">_xll.qlLeg(,M13,L13,,,EvaluationDate)</f>
        <v>#NAME?</v>
      </c>
      <c r="O13" s="1146" t="b">
        <f t="shared" si="4"/>
        <v>0</v>
      </c>
      <c r="P13" s="1146"/>
    </row>
    <row r="14" spans="1:19" x14ac:dyDescent="0.2">
      <c r="A14" s="1177" t="s">
        <v>468</v>
      </c>
      <c r="B14" s="1221"/>
      <c r="C14" s="1262" t="e">
        <f t="shared" ca="1" si="0"/>
        <v>#NAME?</v>
      </c>
      <c r="D14" s="1260" t="e">
        <f ca="1">_xll.qlSchedule(,C4,C8,C9,C3,C10,C11,C12,C13,C5,C6)</f>
        <v>#NAME?</v>
      </c>
      <c r="E14" s="1259"/>
      <c r="F14" s="1205"/>
      <c r="G14" s="1261" t="e">
        <f t="shared" ca="1" si="2"/>
        <v>#NAME?</v>
      </c>
      <c r="H14" s="1260" t="e">
        <f ca="1">_xll.qlSchedule(,G4,G8,G9,G3,G10,G11,G12,G13,G5,G6)</f>
        <v>#NAME?</v>
      </c>
      <c r="I14" s="1259"/>
      <c r="J14" s="1149"/>
      <c r="K14" s="1149"/>
      <c r="L14" s="1217"/>
      <c r="M14" s="1216">
        <v>0</v>
      </c>
      <c r="N14" s="1146" t="e">
        <f ca="1">_xll.qlLeg(,M14,L14,,,EvaluationDate)</f>
        <v>#NAME?</v>
      </c>
      <c r="O14" s="1146" t="b">
        <f t="shared" si="4"/>
        <v>0</v>
      </c>
      <c r="P14" s="1146"/>
    </row>
    <row r="15" spans="1:19" x14ac:dyDescent="0.2">
      <c r="A15" s="1162"/>
      <c r="B15" s="1169"/>
      <c r="C15" s="1162"/>
      <c r="D15" s="1162"/>
      <c r="E15" s="1162"/>
      <c r="F15" s="1168"/>
      <c r="G15" s="1168"/>
      <c r="H15" s="1168"/>
      <c r="I15" s="1168"/>
      <c r="J15" s="1149"/>
      <c r="K15" s="1149"/>
      <c r="L15" s="1217"/>
      <c r="M15" s="1216">
        <v>0</v>
      </c>
      <c r="N15" s="1146" t="e">
        <f ca="1">_xll.qlLeg(,M15,L15,,,EvaluationDate)</f>
        <v>#NAME?</v>
      </c>
      <c r="O15" s="1146" t="b">
        <f t="shared" si="4"/>
        <v>0</v>
      </c>
      <c r="P15" s="1146"/>
    </row>
    <row r="16" spans="1:19" x14ac:dyDescent="0.2">
      <c r="A16" s="1185" t="s">
        <v>467</v>
      </c>
      <c r="B16" s="1258"/>
      <c r="C16" s="1257" t="str">
        <f t="shared" ref="C16:C28" si="5">IF(ISBLANK(B16),D16,B16)</f>
        <v>Following</v>
      </c>
      <c r="D16" s="1255" t="str">
        <f>IF(ISBLANK(F16),E16,G16)</f>
        <v>Following</v>
      </c>
      <c r="E16" s="1254" t="s">
        <v>417</v>
      </c>
      <c r="F16" s="1256"/>
      <c r="G16" s="1183" t="str">
        <f t="shared" ref="G16:G28" si="6">IF(ISBLANK(F16),H16,F16)</f>
        <v>Following</v>
      </c>
      <c r="H16" s="1255" t="str">
        <f>IF(ISBLANK(B16),I16,C16)</f>
        <v>Following</v>
      </c>
      <c r="I16" s="1254" t="s">
        <v>417</v>
      </c>
      <c r="J16" s="1149"/>
      <c r="K16" s="1149"/>
      <c r="L16" s="1217"/>
      <c r="M16" s="1216">
        <v>0</v>
      </c>
      <c r="N16" s="1146" t="e">
        <f ca="1">_xll.qlLeg(,M16,L16,,,EvaluationDate)</f>
        <v>#NAME?</v>
      </c>
      <c r="O16" s="1146" t="b">
        <f t="shared" si="4"/>
        <v>0</v>
      </c>
      <c r="P16" s="1146"/>
    </row>
    <row r="17" spans="1:16" x14ac:dyDescent="0.2">
      <c r="A17" s="1167" t="s">
        <v>466</v>
      </c>
      <c r="B17" s="1253"/>
      <c r="C17" s="1157">
        <f t="shared" si="5"/>
        <v>1000000</v>
      </c>
      <c r="D17" s="1248">
        <f>IF(ISBLANK(F17),E17,G17)</f>
        <v>1000000</v>
      </c>
      <c r="E17" s="1247">
        <v>1000000</v>
      </c>
      <c r="F17" s="1252"/>
      <c r="G17" s="1187">
        <f t="shared" si="6"/>
        <v>1000000</v>
      </c>
      <c r="H17" s="1248">
        <f>IF(ISBLANK(B17),I17,C17)</f>
        <v>1000000</v>
      </c>
      <c r="I17" s="1247">
        <v>1000000</v>
      </c>
      <c r="J17" s="1149"/>
      <c r="K17" s="1149"/>
      <c r="L17" s="1217"/>
      <c r="M17" s="1216">
        <v>0</v>
      </c>
      <c r="N17" s="1146" t="e">
        <f ca="1">_xll.qlLeg(,M17,L17,,,EvaluationDate)</f>
        <v>#NAME?</v>
      </c>
      <c r="O17" s="1146" t="b">
        <f t="shared" si="4"/>
        <v>0</v>
      </c>
      <c r="P17" s="1146"/>
    </row>
    <row r="18" spans="1:16" x14ac:dyDescent="0.2">
      <c r="A18" s="1167" t="s">
        <v>465</v>
      </c>
      <c r="B18" s="1251"/>
      <c r="C18" s="1250" t="str">
        <f t="shared" si="5"/>
        <v>None</v>
      </c>
      <c r="D18" s="1248" t="str">
        <f>IF(ISBLANK(F18),E18,"Mirror")</f>
        <v>None</v>
      </c>
      <c r="E18" s="1247" t="s">
        <v>439</v>
      </c>
      <c r="F18" s="1249"/>
      <c r="G18" s="1175" t="str">
        <f t="shared" si="6"/>
        <v>None</v>
      </c>
      <c r="H18" s="1248" t="str">
        <f>IF(ISBLANK(B18),I18,"Mirror")</f>
        <v>None</v>
      </c>
      <c r="I18" s="1247" t="s">
        <v>439</v>
      </c>
      <c r="J18" s="1149"/>
      <c r="K18" s="1149"/>
      <c r="L18" s="1217"/>
      <c r="M18" s="1216">
        <v>0</v>
      </c>
      <c r="N18" s="1146" t="e">
        <f ca="1">_xll.qlLeg(,M18,L18,,,EvaluationDate)</f>
        <v>#NAME?</v>
      </c>
      <c r="O18" s="1146" t="b">
        <f t="shared" si="4"/>
        <v>0</v>
      </c>
      <c r="P18" s="1146"/>
    </row>
    <row r="19" spans="1:16" x14ac:dyDescent="0.2">
      <c r="A19" s="1167" t="s">
        <v>464</v>
      </c>
      <c r="B19" s="1246"/>
      <c r="C19" s="1245" t="e">
        <f t="shared" ca="1" si="5"/>
        <v>#NAME?</v>
      </c>
      <c r="D19" s="1242" t="e">
        <f ca="1">IF(ISBLANK(F19),E19,G19)</f>
        <v>#NAME?</v>
      </c>
      <c r="E19" s="1241" t="e">
        <f ca="1">_xll.qlInterestRateIndexFixingDays(C$24,Trigger)</f>
        <v>#NAME?</v>
      </c>
      <c r="F19" s="1244"/>
      <c r="G19" s="1243" t="e">
        <f t="shared" ca="1" si="6"/>
        <v>#NAME?</v>
      </c>
      <c r="H19" s="1242" t="e">
        <f ca="1">IF(ISBLANK(B19),I19,C19)</f>
        <v>#NAME?</v>
      </c>
      <c r="I19" s="1241" t="e">
        <f ca="1">_xll.qlInterestRateIndexFixingDays(G$24,Trigger)</f>
        <v>#NAME?</v>
      </c>
      <c r="J19" s="1149"/>
      <c r="K19" s="1149"/>
      <c r="L19" s="1217"/>
      <c r="M19" s="1216">
        <v>0</v>
      </c>
      <c r="N19" s="1146" t="e">
        <f ca="1">_xll.qlLeg(,M19,L19,,,EvaluationDate)</f>
        <v>#NAME?</v>
      </c>
      <c r="O19" s="1146" t="b">
        <f t="shared" si="4"/>
        <v>0</v>
      </c>
      <c r="P19" s="1146"/>
    </row>
    <row r="20" spans="1:16" x14ac:dyDescent="0.2">
      <c r="A20" s="1167" t="s">
        <v>463</v>
      </c>
      <c r="B20" s="1218"/>
      <c r="C20" s="1220" t="b">
        <f t="shared" si="5"/>
        <v>0</v>
      </c>
      <c r="D20" s="1240" t="b">
        <f>E20</f>
        <v>0</v>
      </c>
      <c r="E20" s="1222" t="b">
        <v>0</v>
      </c>
      <c r="F20" s="1224"/>
      <c r="G20" s="1175" t="b">
        <f t="shared" si="6"/>
        <v>0</v>
      </c>
      <c r="H20" s="1240" t="b">
        <f>I20</f>
        <v>0</v>
      </c>
      <c r="I20" s="1222" t="b">
        <v>0</v>
      </c>
      <c r="J20" s="1149"/>
      <c r="K20" s="1149"/>
      <c r="L20" s="1217"/>
      <c r="M20" s="1216">
        <v>0</v>
      </c>
      <c r="N20" s="1146" t="e">
        <f ca="1">_xll.qlLeg(,M20,L20,,,EvaluationDate)</f>
        <v>#NAME?</v>
      </c>
      <c r="O20" s="1146" t="b">
        <f t="shared" si="4"/>
        <v>0</v>
      </c>
      <c r="P20" s="1146"/>
    </row>
    <row r="21" spans="1:16" x14ac:dyDescent="0.2">
      <c r="A21" s="1167" t="s">
        <v>462</v>
      </c>
      <c r="B21" s="1239"/>
      <c r="C21" s="1238" t="str">
        <f t="shared" si="5"/>
        <v>30/360 (Bond Basis)</v>
      </c>
      <c r="D21" s="1237" t="str">
        <f>E21</f>
        <v>30/360 (Bond Basis)</v>
      </c>
      <c r="E21" s="1234" t="str">
        <f>IF(C23,_xll.qlInterestRateIndexDayCounter(C$24),IF(Currency="JPY","Actual/365 (Fixed)","30/360 (Bond Basis)"))</f>
        <v>30/360 (Bond Basis)</v>
      </c>
      <c r="F21" s="1236"/>
      <c r="G21" s="1235" t="e">
        <f t="shared" ca="1" si="6"/>
        <v>#NAME?</v>
      </c>
      <c r="H21" s="1223" t="e">
        <f ca="1">I21</f>
        <v>#NAME?</v>
      </c>
      <c r="I21" s="1234" t="e">
        <f ca="1">IF(G23,_xll.qlInterestRateIndexDayCounter(G$24,Trigger),IF(Currency="JPY","Actual/365 (Fixed)","30/360 (Bond Basis)"))</f>
        <v>#NAME?</v>
      </c>
      <c r="J21" s="1149"/>
      <c r="K21" s="1149"/>
      <c r="L21" s="1217"/>
      <c r="M21" s="1216">
        <v>0</v>
      </c>
      <c r="N21" s="1146" t="e">
        <f ca="1">_xll.qlLeg(,M21,L21,,,EvaluationDate)</f>
        <v>#NAME?</v>
      </c>
      <c r="O21" s="1146" t="b">
        <f t="shared" si="4"/>
        <v>0</v>
      </c>
      <c r="P21" s="1146"/>
    </row>
    <row r="22" spans="1:16" x14ac:dyDescent="0.2">
      <c r="A22" s="1167" t="s">
        <v>461</v>
      </c>
      <c r="B22" s="1218"/>
      <c r="C22" s="1220" t="e">
        <f t="shared" si="5"/>
        <v>#N/A</v>
      </c>
      <c r="D22" s="1223" t="e">
        <f>E22</f>
        <v>#N/A</v>
      </c>
      <c r="E22" s="1222" t="e">
        <f>NA()</f>
        <v>#N/A</v>
      </c>
      <c r="F22" s="1224"/>
      <c r="G22" s="1190" t="e">
        <f t="shared" si="6"/>
        <v>#N/A</v>
      </c>
      <c r="H22" s="1223" t="e">
        <f>I22</f>
        <v>#N/A</v>
      </c>
      <c r="I22" s="1222" t="e">
        <f>NA()</f>
        <v>#N/A</v>
      </c>
      <c r="J22" s="1149"/>
      <c r="K22" s="1149"/>
      <c r="L22" s="1217"/>
      <c r="M22" s="1216">
        <v>0</v>
      </c>
      <c r="N22" s="1146" t="e">
        <f ca="1">_xll.qlLeg(,M22,L22,,,EvaluationDate)</f>
        <v>#NAME?</v>
      </c>
      <c r="O22" s="1146" t="b">
        <f t="shared" si="4"/>
        <v>0</v>
      </c>
      <c r="P22" s="1146"/>
    </row>
    <row r="23" spans="1:16" x14ac:dyDescent="0.2">
      <c r="A23" s="1167" t="s">
        <v>460</v>
      </c>
      <c r="B23" s="1233">
        <v>0</v>
      </c>
      <c r="C23" s="1228">
        <f t="shared" si="5"/>
        <v>0</v>
      </c>
      <c r="D23" s="1230">
        <f>IF(ISBLANK(F23),E23,NOT(F23)*1)</f>
        <v>0</v>
      </c>
      <c r="E23" s="1229">
        <v>0</v>
      </c>
      <c r="F23" s="1232">
        <v>1</v>
      </c>
      <c r="G23" s="1231">
        <f t="shared" si="6"/>
        <v>1</v>
      </c>
      <c r="H23" s="1230">
        <f>IF(ISBLANK(B23),I23,NOT(B23)*1)</f>
        <v>1</v>
      </c>
      <c r="I23" s="1229">
        <v>1</v>
      </c>
      <c r="J23" s="1149"/>
      <c r="K23" s="1149"/>
      <c r="L23" s="1217"/>
      <c r="M23" s="1216">
        <v>0</v>
      </c>
      <c r="N23" s="1146" t="e">
        <f ca="1">_xll.qlLeg(,M23,L23,,,EvaluationDate)</f>
        <v>#NAME?</v>
      </c>
      <c r="O23" s="1146" t="b">
        <f t="shared" si="4"/>
        <v>0</v>
      </c>
      <c r="P23" s="1146"/>
    </row>
    <row r="24" spans="1:16" x14ac:dyDescent="0.2">
      <c r="A24" s="1167" t="s">
        <v>14</v>
      </c>
      <c r="B24" s="1227" t="s">
        <v>16</v>
      </c>
      <c r="C24" s="1228" t="str">
        <f t="shared" si="5"/>
        <v>Euribor6M</v>
      </c>
      <c r="D24" s="1226" t="str">
        <f>E24</f>
        <v>EurLibor6M</v>
      </c>
      <c r="E24" s="1225" t="str">
        <f>PROPER(Currency)&amp;"Libor"&amp;"6M"</f>
        <v>EurLibor6M</v>
      </c>
      <c r="F24" s="1227" t="s">
        <v>16</v>
      </c>
      <c r="G24" s="1175" t="str">
        <f t="shared" si="6"/>
        <v>Euribor6M</v>
      </c>
      <c r="H24" s="1226" t="str">
        <f>I24</f>
        <v>Euribor6M</v>
      </c>
      <c r="I24" s="1225" t="str">
        <f>PROPER(Currency)&amp;IF(UPPER(Currency)="EUR","ibor","Libor")&amp;"6M"</f>
        <v>Euribor6M</v>
      </c>
      <c r="J24" s="1149"/>
      <c r="K24" s="1149"/>
      <c r="L24" s="1217"/>
      <c r="M24" s="1216">
        <v>0</v>
      </c>
      <c r="N24" s="1146" t="e">
        <f ca="1">_xll.qlLeg(,M24,L24,,,EvaluationDate)</f>
        <v>#NAME?</v>
      </c>
      <c r="O24" s="1146" t="b">
        <f t="shared" si="4"/>
        <v>0</v>
      </c>
      <c r="P24" s="1146"/>
    </row>
    <row r="25" spans="1:16" x14ac:dyDescent="0.2">
      <c r="A25" s="1167" t="s">
        <v>459</v>
      </c>
      <c r="B25" s="1218"/>
      <c r="C25" s="1220">
        <f t="shared" si="5"/>
        <v>0</v>
      </c>
      <c r="D25" s="1223">
        <f>E25</f>
        <v>0</v>
      </c>
      <c r="E25" s="1222">
        <v>0</v>
      </c>
      <c r="F25" s="1224"/>
      <c r="G25" s="1190">
        <f t="shared" si="6"/>
        <v>0</v>
      </c>
      <c r="H25" s="1223">
        <f>I25</f>
        <v>0</v>
      </c>
      <c r="I25" s="1222">
        <v>0</v>
      </c>
      <c r="J25" s="1149"/>
      <c r="K25" s="1149"/>
      <c r="L25" s="1217"/>
      <c r="M25" s="1216">
        <v>0</v>
      </c>
      <c r="N25" s="1146" t="e">
        <f ca="1">_xll.qlLeg(,M25,L25,,,EvaluationDate)</f>
        <v>#NAME?</v>
      </c>
      <c r="O25" s="1146" t="b">
        <f t="shared" si="4"/>
        <v>0</v>
      </c>
      <c r="P25" s="1146"/>
    </row>
    <row r="26" spans="1:16" x14ac:dyDescent="0.2">
      <c r="A26" s="1167" t="s">
        <v>458</v>
      </c>
      <c r="B26" s="1218"/>
      <c r="C26" s="1220" t="e">
        <f t="shared" si="5"/>
        <v>#N/A</v>
      </c>
      <c r="D26" s="1223" t="e">
        <f>E26</f>
        <v>#N/A</v>
      </c>
      <c r="E26" s="1222" t="e">
        <f>NA()</f>
        <v>#N/A</v>
      </c>
      <c r="F26" s="1224"/>
      <c r="G26" s="1190" t="e">
        <f t="shared" si="6"/>
        <v>#N/A</v>
      </c>
      <c r="H26" s="1223" t="e">
        <f>I26</f>
        <v>#N/A</v>
      </c>
      <c r="I26" s="1222" t="e">
        <f>NA()</f>
        <v>#N/A</v>
      </c>
      <c r="J26" s="1149"/>
      <c r="K26" s="1149"/>
      <c r="L26" s="1217"/>
      <c r="M26" s="1216">
        <v>0</v>
      </c>
      <c r="N26" s="1146" t="e">
        <f ca="1">_xll.qlLeg(,M26,L26,,,EvaluationDate)</f>
        <v>#NAME?</v>
      </c>
      <c r="O26" s="1146" t="b">
        <f t="shared" si="4"/>
        <v>0</v>
      </c>
      <c r="P26" s="1146"/>
    </row>
    <row r="27" spans="1:16" x14ac:dyDescent="0.2">
      <c r="A27" s="1167" t="s">
        <v>457</v>
      </c>
      <c r="B27" s="1221"/>
      <c r="C27" s="1220" t="b">
        <f t="shared" si="5"/>
        <v>1</v>
      </c>
      <c r="D27" s="1219" t="b">
        <f>IF(ISBLANK(F27),E27,NOT(G27))</f>
        <v>1</v>
      </c>
      <c r="E27" s="1218" t="b">
        <v>1</v>
      </c>
      <c r="F27" s="1205"/>
      <c r="G27" s="1175" t="b">
        <f t="shared" si="6"/>
        <v>0</v>
      </c>
      <c r="H27" s="1219" t="b">
        <f>IF(ISBLANK(B27),I27,NOT(C27))</f>
        <v>0</v>
      </c>
      <c r="I27" s="1218" t="b">
        <v>0</v>
      </c>
      <c r="J27" s="1149"/>
      <c r="K27" s="1149"/>
      <c r="L27" s="1217" t="e">
        <f ca="1">_xll.qlCalendarAdjust($C$3,E8,$C$11)</f>
        <v>#NAME?</v>
      </c>
      <c r="M27" s="1216">
        <v>0</v>
      </c>
      <c r="N27" s="1146" t="e">
        <f ca="1">_xll.qlLeg(,M27,L27,,,EvaluationDate)</f>
        <v>#NAME?</v>
      </c>
      <c r="O27" s="1146" t="b">
        <v>1</v>
      </c>
      <c r="P27" s="1146"/>
    </row>
    <row r="28" spans="1:16" x14ac:dyDescent="0.2">
      <c r="A28" s="1215" t="s">
        <v>456</v>
      </c>
      <c r="B28" s="1214"/>
      <c r="C28" s="1213" t="e">
        <f t="shared" ca="1" si="5"/>
        <v>#NAME?</v>
      </c>
      <c r="D28" s="1212" t="e">
        <f ca="1">_xll.qlIborLeg(B28,C16,_xll.ohPack([0]!Effective),C14,C19,C20,C21,C22,C23,C24,C25,C26)</f>
        <v>#NAME?</v>
      </c>
      <c r="E28" s="1211"/>
      <c r="F28" s="1205"/>
      <c r="G28" s="1190" t="e">
        <f t="shared" ca="1" si="6"/>
        <v>#NAME?</v>
      </c>
      <c r="H28" s="1212" t="e">
        <f ca="1">_xll.qlIborLeg(F28,G16,_xll.ohPack([0]!Effective),G14,G19,G20,G21,G22,G23,G24,G25,G26)</f>
        <v>#NAME?</v>
      </c>
      <c r="I28" s="1211"/>
      <c r="J28" s="1149"/>
      <c r="K28" s="1149"/>
      <c r="L28" s="1210"/>
      <c r="M28" s="1209" t="e">
        <f ca="1">IF(ISBLANK(L28),N28,L28)</f>
        <v>#NAME?</v>
      </c>
      <c r="N28" s="1208" t="e">
        <f ca="1">_xll.qlMultiPhaseLeg(,_xll.ohFilter(N3:N27,O3:O27),FALSE)</f>
        <v>#NAME?</v>
      </c>
      <c r="O28" s="1146"/>
      <c r="P28" s="1146"/>
    </row>
    <row r="29" spans="1:16" x14ac:dyDescent="0.2">
      <c r="A29" s="1207" t="s">
        <v>187</v>
      </c>
      <c r="B29" s="1206"/>
      <c r="C29" s="1187" t="e">
        <f ca="1">_xll.qlSwap(B29,$J$3:$J$5,$K$3:$K$5)</f>
        <v>#NAME?</v>
      </c>
      <c r="D29" s="1149"/>
      <c r="E29" s="1162"/>
      <c r="F29" s="1149"/>
      <c r="G29" s="1162"/>
      <c r="H29" s="1149"/>
      <c r="I29" s="1149"/>
      <c r="J29" s="1149"/>
      <c r="K29" s="1149"/>
      <c r="L29" s="1146"/>
      <c r="M29" s="1146"/>
      <c r="N29" s="1146"/>
      <c r="O29" s="1146"/>
      <c r="P29" s="1146"/>
    </row>
    <row r="30" spans="1:16" x14ac:dyDescent="0.2">
      <c r="A30" s="1162"/>
      <c r="B30" s="1169"/>
      <c r="C30" s="1162"/>
      <c r="D30" s="1162"/>
      <c r="E30" s="1162"/>
      <c r="F30" s="1168"/>
      <c r="G30" s="1168"/>
      <c r="H30" s="1168"/>
      <c r="I30" s="1168"/>
      <c r="J30" s="1149"/>
      <c r="K30" s="1149"/>
      <c r="L30" s="1146"/>
      <c r="M30" s="1146"/>
      <c r="N30" s="1146"/>
      <c r="O30" s="1146"/>
      <c r="P30" s="1146"/>
    </row>
    <row r="31" spans="1:16" x14ac:dyDescent="0.2">
      <c r="A31" s="1167" t="s">
        <v>455</v>
      </c>
      <c r="B31" s="1194"/>
      <c r="C31" s="1157" t="e">
        <f ca="1">IF(ISBLANK(B31),D31,IF(ISNUMBER(B31),_xll.qlConstantOptionletVol(,_xll.qlSimpleQuote(,B31),C3),B31))</f>
        <v>#NAME?</v>
      </c>
      <c r="D31" s="1205" t="e">
        <f ca="1">E31</f>
        <v>#NAME?</v>
      </c>
      <c r="E31" s="1205" t="e">
        <f ca="1">PROPER(Currency)&amp;_xll.qlInterestRateIndexTenor(C24,Trigger)&amp;"CapletVol"</f>
        <v>#NAME?</v>
      </c>
      <c r="F31" s="1194"/>
      <c r="G31" s="1187" t="e">
        <f ca="1">IF(ISBLANK(F31),H31,IF(ISNUMBER(F31),_xll.qlConstantOptionletVol(,_xll.qlSimpleQuote(,F31),G3,"Actual/365 (Fixed)",,EvaluationDate),F31))</f>
        <v>#NAME?</v>
      </c>
      <c r="H31" s="1205" t="e">
        <f ca="1">I31</f>
        <v>#NAME?</v>
      </c>
      <c r="I31" s="1205" t="e">
        <f ca="1">PROPER(Currency)&amp;_xll.qlInterestRateIndexTenor(G24,Trigger)&amp;"CapletVol"</f>
        <v>#NAME?</v>
      </c>
      <c r="J31" s="1149"/>
      <c r="K31" s="1149"/>
      <c r="L31" s="1146"/>
      <c r="M31" s="1146"/>
      <c r="N31" s="1146"/>
      <c r="O31" s="1146"/>
      <c r="P31" s="1146"/>
    </row>
    <row r="32" spans="1:16" x14ac:dyDescent="0.2">
      <c r="A32" s="1167" t="s">
        <v>454</v>
      </c>
      <c r="B32" s="1203"/>
      <c r="C32" s="1204">
        <f>IF(ISBLANK(B32),D32,B32)</f>
        <v>0</v>
      </c>
      <c r="D32" s="1201">
        <f>E32</f>
        <v>0</v>
      </c>
      <c r="E32" s="1201">
        <v>0</v>
      </c>
      <c r="F32" s="1203"/>
      <c r="G32" s="1202">
        <f>IF(ISBLANK(F32),H32,F32)</f>
        <v>0</v>
      </c>
      <c r="H32" s="1201">
        <f>I32</f>
        <v>0</v>
      </c>
      <c r="I32" s="1201">
        <v>0</v>
      </c>
      <c r="J32" s="1149"/>
      <c r="K32" s="1149"/>
      <c r="L32" s="1146"/>
      <c r="M32" s="1146"/>
      <c r="N32" s="1146"/>
      <c r="O32" s="1146"/>
      <c r="P32" s="1146"/>
    </row>
    <row r="33" spans="1:16" hidden="1" outlineLevel="1" x14ac:dyDescent="0.2">
      <c r="A33" s="1200" t="s">
        <v>453</v>
      </c>
      <c r="B33" s="1198"/>
      <c r="C33" s="1199" t="e">
        <f ca="1">IF(ISBLANK(B33),D33,B33)</f>
        <v>#NAME?</v>
      </c>
      <c r="D33" s="1196" t="e">
        <f ca="1">_xll.qlSpreadedOptionletVolatility(,C31,C32)</f>
        <v>#NAME?</v>
      </c>
      <c r="E33" s="1196"/>
      <c r="F33" s="1198"/>
      <c r="G33" s="1197" t="e">
        <f ca="1">IF(ISBLANK(F33),H33,F33)</f>
        <v>#NAME?</v>
      </c>
      <c r="H33" s="1196" t="e">
        <f ca="1">_xll.qlSpreadedOptionletVolatility(,G31,G32)</f>
        <v>#NAME?</v>
      </c>
      <c r="I33" s="1196"/>
      <c r="J33" s="1149"/>
      <c r="K33" s="1149"/>
      <c r="L33" s="1146"/>
      <c r="M33" s="1146"/>
      <c r="N33" s="1146"/>
      <c r="O33" s="1146"/>
      <c r="P33" s="1146"/>
    </row>
    <row r="34" spans="1:16" hidden="1" outlineLevel="1" x14ac:dyDescent="0.2">
      <c r="A34" s="1195" t="s">
        <v>452</v>
      </c>
      <c r="B34" s="1194"/>
      <c r="C34" s="1157" t="e">
        <f ca="1">IF(ISBLANK(B34),D34,B34)</f>
        <v>#NAME?</v>
      </c>
      <c r="D34" s="1193" t="e">
        <f ca="1">_xll.qlIborCouponPricer(,C33,"IborByBlack")</f>
        <v>#NAME?</v>
      </c>
      <c r="E34" s="1193"/>
      <c r="F34" s="1194"/>
      <c r="G34" s="1187" t="e">
        <f ca="1">IF(ISBLANK(F34),H34,F34)</f>
        <v>#NAME?</v>
      </c>
      <c r="H34" s="1193" t="e">
        <f ca="1">_xll.qlIborCouponPricer(,G33,"IborByBlack")</f>
        <v>#NAME?</v>
      </c>
      <c r="I34" s="1193"/>
      <c r="J34" s="1149"/>
      <c r="K34" s="1149"/>
      <c r="L34" s="1146"/>
      <c r="M34" s="1146"/>
      <c r="N34" s="1146"/>
      <c r="O34" s="1146"/>
      <c r="P34" s="1146"/>
    </row>
    <row r="35" spans="1:16" hidden="1" outlineLevel="1" x14ac:dyDescent="0.2">
      <c r="A35" s="1167" t="s">
        <v>451</v>
      </c>
      <c r="B35" s="1148"/>
      <c r="C35" s="1160" t="e">
        <f ca="1">_xll.qlLegSetCouponPricers(FirstLegCF,C34)</f>
        <v>#NAME?</v>
      </c>
      <c r="D35" s="1192"/>
      <c r="E35" s="1189"/>
      <c r="F35" s="1191"/>
      <c r="G35" s="1190" t="e">
        <f ca="1">_xll.qlLegSetCouponPricers(SecondLegCF,G34)</f>
        <v>#NAME?</v>
      </c>
      <c r="H35" s="1189"/>
      <c r="I35" s="1189"/>
      <c r="J35" s="1149"/>
      <c r="K35" s="1149"/>
      <c r="L35" s="1146"/>
      <c r="M35" s="1146"/>
      <c r="N35" s="1146"/>
      <c r="O35" s="1146"/>
      <c r="P35" s="1146"/>
    </row>
    <row r="36" spans="1:16" collapsed="1" x14ac:dyDescent="0.2">
      <c r="A36" s="1146"/>
      <c r="B36" s="1146"/>
      <c r="C36" s="1146"/>
      <c r="D36" s="1146"/>
      <c r="E36" s="1146"/>
      <c r="F36" s="1146"/>
      <c r="G36" s="1146"/>
      <c r="H36" s="1146"/>
      <c r="I36" s="1146"/>
      <c r="J36" s="1146"/>
      <c r="K36" s="1146"/>
      <c r="L36" s="1146"/>
      <c r="M36" s="1146"/>
      <c r="N36" s="1146"/>
      <c r="O36" s="1146"/>
      <c r="P36" s="1146"/>
    </row>
    <row r="37" spans="1:16" x14ac:dyDescent="0.2">
      <c r="A37" s="1167" t="s">
        <v>450</v>
      </c>
      <c r="B37" s="1188"/>
      <c r="C37" s="1187" t="str">
        <f>IF(ISBLANK(B37),D37, IF(ISNUMBER(B37),_xll.qlFlatForward(,0,"NullCalendar",B37,,"continuous","annual"),B37))</f>
        <v>EURON</v>
      </c>
      <c r="D37" s="1186" t="s">
        <v>381</v>
      </c>
      <c r="E37" s="1168"/>
      <c r="F37" s="1168"/>
      <c r="G37" s="1168"/>
      <c r="H37" s="1168"/>
      <c r="I37" s="1168"/>
      <c r="J37" s="1149"/>
      <c r="K37" s="1149"/>
      <c r="L37" s="1146"/>
      <c r="M37" s="1146"/>
      <c r="N37" s="1146"/>
      <c r="O37" s="1146"/>
      <c r="P37" s="1146"/>
    </row>
    <row r="38" spans="1:16" x14ac:dyDescent="0.2">
      <c r="A38" s="1168"/>
      <c r="B38" s="1168"/>
      <c r="C38" s="1168"/>
      <c r="D38" s="1168"/>
      <c r="E38" s="1168"/>
      <c r="F38" s="1168"/>
      <c r="G38" s="1168"/>
      <c r="H38" s="1168"/>
      <c r="I38" s="1168"/>
      <c r="J38" s="1149"/>
      <c r="K38" s="1149"/>
      <c r="L38" s="1146"/>
      <c r="M38" s="1146"/>
      <c r="N38" s="1146"/>
      <c r="O38" s="1146"/>
      <c r="P38" s="1146"/>
    </row>
    <row r="39" spans="1:16" hidden="1" outlineLevel="1" x14ac:dyDescent="0.2">
      <c r="A39" s="1185" t="s">
        <v>449</v>
      </c>
      <c r="B39" s="1184"/>
      <c r="C39" s="1183" t="b">
        <f>IF(ISBLANK(B39),D39,B39)</f>
        <v>1</v>
      </c>
      <c r="D39" s="1182" t="b">
        <v>1</v>
      </c>
      <c r="E39" s="1168"/>
      <c r="F39" s="1168"/>
      <c r="G39" s="1168"/>
      <c r="H39" s="1168"/>
      <c r="I39" s="1168"/>
      <c r="J39" s="1149"/>
      <c r="K39" s="1149"/>
      <c r="L39" s="1146"/>
      <c r="M39" s="1146"/>
      <c r="N39" s="1146"/>
      <c r="O39" s="1146"/>
      <c r="P39" s="1146"/>
    </row>
    <row r="40" spans="1:16" hidden="1" outlineLevel="1" x14ac:dyDescent="0.2">
      <c r="A40" s="1181" t="s">
        <v>448</v>
      </c>
      <c r="B40" s="1180"/>
      <c r="C40" s="1179" t="e">
        <f ca="1">IF(ISBLANK(B40),D40,B40)</f>
        <v>#NAME?</v>
      </c>
      <c r="D40" s="1178" t="e">
        <f ca="1">EvaluationDate</f>
        <v>#NAME?</v>
      </c>
      <c r="E40" s="1168"/>
      <c r="F40" s="1168"/>
      <c r="G40" s="1168"/>
      <c r="H40" s="1168"/>
      <c r="I40" s="1168"/>
      <c r="J40" s="1149"/>
      <c r="K40" s="1149"/>
      <c r="L40" s="1146"/>
      <c r="M40" s="1146"/>
      <c r="N40" s="1146"/>
      <c r="O40" s="1146"/>
      <c r="P40" s="1146"/>
    </row>
    <row r="41" spans="1:16" hidden="1" outlineLevel="1" x14ac:dyDescent="0.2">
      <c r="A41" s="1181" t="s">
        <v>447</v>
      </c>
      <c r="B41" s="1180"/>
      <c r="C41" s="1179" t="e">
        <f ca="1">IF(ISBLANK(B41),D41,B41)</f>
        <v>#NAME?</v>
      </c>
      <c r="D41" s="1178" t="e">
        <f ca="1">E4</f>
        <v>#NAME?</v>
      </c>
      <c r="E41" s="1168"/>
      <c r="F41" s="1168"/>
      <c r="G41" s="1168"/>
      <c r="H41" s="1168"/>
      <c r="I41" s="1168"/>
      <c r="J41" s="1149"/>
      <c r="K41" s="1149"/>
      <c r="L41" s="1146"/>
      <c r="M41" s="1146"/>
      <c r="N41" s="1146"/>
      <c r="O41" s="1146"/>
      <c r="P41" s="1146"/>
    </row>
    <row r="42" spans="1:16" hidden="1" outlineLevel="1" x14ac:dyDescent="0.2">
      <c r="A42" s="1177" t="s">
        <v>446</v>
      </c>
      <c r="B42" s="1176"/>
      <c r="C42" s="1175" t="e">
        <f ca="1">IF(ISBLANK(B42),D42,B42)</f>
        <v>#NAME?</v>
      </c>
      <c r="D42" s="1174" t="e">
        <f ca="1">_xll.qlDiscountingSwapEngine(,DiscountCurve,IncludeSettlementDate,SettlementDate,NPVDate)</f>
        <v>#NAME?</v>
      </c>
      <c r="E42" s="1168"/>
      <c r="F42" s="1168"/>
      <c r="G42" s="1168"/>
      <c r="H42" s="1168"/>
      <c r="I42" s="1168"/>
      <c r="J42" s="1149"/>
      <c r="K42" s="1149"/>
      <c r="L42" s="1146"/>
      <c r="M42" s="1146"/>
      <c r="N42" s="1146"/>
      <c r="O42" s="1146"/>
      <c r="P42" s="1146"/>
    </row>
    <row r="43" spans="1:16" hidden="1" outlineLevel="1" x14ac:dyDescent="0.2">
      <c r="A43" s="1173" t="s">
        <v>445</v>
      </c>
      <c r="B43" s="1151"/>
      <c r="C43" s="1161" t="e">
        <f ca="1">_xll.qlInstrumentSetPricingEngine(SwapID,C42)</f>
        <v>#NAME?</v>
      </c>
      <c r="D43" s="1168"/>
      <c r="E43" s="1168"/>
      <c r="F43" s="1168"/>
      <c r="G43" s="1168"/>
      <c r="H43" s="1168"/>
      <c r="I43" s="1168"/>
      <c r="J43" s="1149"/>
      <c r="K43" s="1149"/>
      <c r="L43" s="1146"/>
      <c r="M43" s="1146"/>
      <c r="N43" s="1146"/>
      <c r="O43" s="1146"/>
      <c r="P43" s="1146"/>
    </row>
    <row r="44" spans="1:16" hidden="1" outlineLevel="1" x14ac:dyDescent="0.2">
      <c r="A44" s="1162"/>
      <c r="B44" s="1169"/>
      <c r="C44" s="1162"/>
      <c r="D44" s="1162"/>
      <c r="E44" s="1168"/>
      <c r="F44" s="1168"/>
      <c r="G44" s="1168"/>
      <c r="H44" s="1168"/>
      <c r="I44" s="1168"/>
      <c r="J44" s="1149"/>
      <c r="K44" s="1149"/>
      <c r="L44" s="1146"/>
      <c r="M44" s="1146"/>
      <c r="N44" s="1146"/>
      <c r="O44" s="1146"/>
      <c r="P44" s="1146"/>
    </row>
    <row r="45" spans="1:16" collapsed="1" x14ac:dyDescent="0.2">
      <c r="A45" s="1167" t="s">
        <v>239</v>
      </c>
      <c r="B45" s="1172"/>
      <c r="C45" s="1171" t="e">
        <f ca="1">_xll.ohTrigger(AllTriggers,C43,ISERROR(C35),ISERROR(G35))</f>
        <v>#NAME?</v>
      </c>
      <c r="D45" s="1170"/>
      <c r="E45" s="1170"/>
      <c r="F45" s="1145"/>
      <c r="G45" s="1164"/>
      <c r="H45" s="1149"/>
      <c r="I45" s="1149"/>
      <c r="J45" s="1149"/>
      <c r="K45" s="1149"/>
      <c r="L45" s="1146"/>
      <c r="M45" s="1146"/>
      <c r="N45" s="1146"/>
      <c r="O45" s="1146"/>
      <c r="P45" s="1146"/>
    </row>
    <row r="46" spans="1:16" x14ac:dyDescent="0.2">
      <c r="A46" s="1162"/>
      <c r="B46" s="1169"/>
      <c r="C46" s="1162"/>
      <c r="D46" s="1162"/>
      <c r="E46" s="1168"/>
      <c r="F46" s="1168"/>
      <c r="G46" s="1164"/>
      <c r="H46" s="1168"/>
      <c r="I46" s="1168"/>
      <c r="J46" s="1149"/>
      <c r="K46" s="1149"/>
      <c r="L46" s="1164"/>
      <c r="M46" s="1163"/>
      <c r="N46" s="1146"/>
      <c r="O46" s="1146"/>
      <c r="P46" s="1146"/>
    </row>
    <row r="47" spans="1:16" x14ac:dyDescent="0.2">
      <c r="A47" s="1167" t="s">
        <v>444</v>
      </c>
      <c r="B47" s="1166"/>
      <c r="C47" s="1165" t="e">
        <f ca="1">_xll.qlInstrumentNPV(SwapID,C45)</f>
        <v>#NAME?</v>
      </c>
      <c r="D47" s="1162"/>
      <c r="E47" s="1162"/>
      <c r="F47" s="1162"/>
      <c r="G47" s="1164"/>
      <c r="H47" s="1149"/>
      <c r="I47" s="1149"/>
      <c r="J47" s="1149"/>
      <c r="K47" s="1149"/>
      <c r="L47" s="1164"/>
      <c r="M47" s="1163"/>
      <c r="N47" s="1146"/>
      <c r="O47" s="1146"/>
      <c r="P47" s="1146"/>
    </row>
    <row r="48" spans="1:16" x14ac:dyDescent="0.2">
      <c r="A48" s="1162"/>
      <c r="B48" s="1162"/>
      <c r="C48" s="1162"/>
      <c r="D48" s="1162"/>
      <c r="E48" s="1162"/>
      <c r="F48" s="1162"/>
      <c r="G48" s="1162"/>
      <c r="H48" s="1149"/>
      <c r="I48" s="1149"/>
      <c r="J48" s="1149"/>
      <c r="K48" s="1149"/>
      <c r="L48" s="1146"/>
      <c r="M48" s="1146"/>
      <c r="N48" s="1146"/>
      <c r="O48" s="1146"/>
      <c r="P48" s="1146"/>
    </row>
    <row r="49" spans="1:16" x14ac:dyDescent="0.2">
      <c r="A49" s="1153" t="s">
        <v>443</v>
      </c>
      <c r="B49" s="1151"/>
      <c r="C49" s="1161" t="e">
        <f ca="1">C$25-NPV/C$51/10000</f>
        <v>#NAME?</v>
      </c>
      <c r="D49" s="1152"/>
      <c r="E49" s="1152"/>
      <c r="F49" s="1151"/>
      <c r="G49" s="1161" t="e">
        <f ca="1">G$25-NPV/G$51/10000</f>
        <v>#NAME?</v>
      </c>
      <c r="H49" s="1149"/>
      <c r="I49" s="1149"/>
      <c r="J49" s="1149"/>
      <c r="K49" s="1149"/>
      <c r="L49" s="1148"/>
      <c r="M49" s="1160"/>
      <c r="N49" s="1146"/>
      <c r="O49" s="1146"/>
      <c r="P49" s="1146"/>
    </row>
    <row r="50" spans="1:16" x14ac:dyDescent="0.2">
      <c r="A50" s="1159" t="s">
        <v>442</v>
      </c>
      <c r="B50" s="1151"/>
      <c r="C50" s="1156" t="e">
        <f ca="1">_xll.qlSwapLegNPV(SwapID,0,$C$45)</f>
        <v>#NAME?</v>
      </c>
      <c r="D50" s="1158"/>
      <c r="E50" s="1158"/>
      <c r="F50" s="1157"/>
      <c r="G50" s="1156" t="e">
        <f ca="1">_xll.qlSwapLegNPV(SwapID,1,$C$45)</f>
        <v>#NAME?</v>
      </c>
      <c r="H50" s="1149"/>
      <c r="I50" s="1149"/>
      <c r="J50" s="1149"/>
      <c r="K50" s="1149"/>
      <c r="L50" s="1155"/>
      <c r="M50" s="1154" t="e">
        <f ca="1">_xll.qlSwapLegNPV(SwapID,2,$C$45)</f>
        <v>#NAME?</v>
      </c>
      <c r="N50" s="1146"/>
      <c r="O50" s="1146"/>
      <c r="P50" s="1146"/>
    </row>
    <row r="51" spans="1:16" x14ac:dyDescent="0.2">
      <c r="A51" s="1153" t="s">
        <v>441</v>
      </c>
      <c r="B51" s="1151"/>
      <c r="C51" s="1150" t="e">
        <f ca="1">_xll.qlSwapLegBPS(SwapID,0,C45)</f>
        <v>#NAME?</v>
      </c>
      <c r="D51" s="1152"/>
      <c r="E51" s="1152"/>
      <c r="F51" s="1151"/>
      <c r="G51" s="1150" t="e">
        <f ca="1">_xll.qlSwapLegBPS(SwapID,1,C45)</f>
        <v>#NAME?</v>
      </c>
      <c r="H51" s="1149"/>
      <c r="I51" s="1149"/>
      <c r="J51" s="1149"/>
      <c r="K51" s="1149"/>
      <c r="L51" s="1148"/>
      <c r="M51" s="1147" t="e">
        <f ca="1">_xll.qlSwapLegBPS(SwapID,2,C45)</f>
        <v>#NAME?</v>
      </c>
      <c r="N51" s="1146"/>
      <c r="O51" s="1146"/>
      <c r="P51" s="1146"/>
    </row>
    <row r="52" spans="1:16" x14ac:dyDescent="0.2">
      <c r="A52" s="1146"/>
      <c r="B52" s="1146"/>
      <c r="C52" s="1146"/>
      <c r="D52" s="1146"/>
      <c r="E52" s="1146"/>
      <c r="F52" s="701"/>
      <c r="G52" s="701"/>
      <c r="H52" s="1146"/>
      <c r="I52" s="1146"/>
      <c r="J52" s="1146"/>
      <c r="K52" s="1146"/>
      <c r="L52" s="1146"/>
      <c r="M52" s="1146"/>
      <c r="N52" s="1146"/>
      <c r="O52" s="1146"/>
      <c r="P52" s="1146"/>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2" thickBot="1" x14ac:dyDescent="0.25">
      <c r="B1" s="1143" t="e">
        <f ca="1">Pricing!$C$14</f>
        <v>#NAME?</v>
      </c>
      <c r="C1" s="1142" t="str">
        <f>UPPER(Pricing!$C$18)</f>
        <v>NONE</v>
      </c>
      <c r="D1" s="1142">
        <f>Pricing!$C$17</f>
        <v>1000000</v>
      </c>
      <c r="F1" s="1141" t="e">
        <f ca="1">_xll.qlScheduleSize(Schedule)-1</f>
        <v>#NAME?</v>
      </c>
      <c r="G1" s="1140" t="e">
        <f ca="1">FirstNominal/Payments</f>
        <v>#NAME?</v>
      </c>
      <c r="H1" s="1144">
        <f>Pricing!$C$25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VLOOKUP(Dates,SecondLegAdmortization!$B$4:$C$123,2)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19" customWidth="1"/>
    <col min="2" max="2" width="17.28515625" style="1119" bestFit="1" customWidth="1"/>
    <col min="3" max="3" width="12.140625" style="1119" bestFit="1" customWidth="1"/>
    <col min="4" max="4" width="15.28515625" style="1119" bestFit="1" customWidth="1"/>
    <col min="5" max="6" width="17.28515625" style="1119" bestFit="1" customWidth="1"/>
    <col min="7" max="7" width="9.140625" style="1119"/>
    <col min="8" max="8" width="30.7109375" style="1119" customWidth="1"/>
    <col min="9" max="9" width="7" style="1119" bestFit="1" customWidth="1"/>
    <col min="10" max="10" width="17.28515625" style="1119" bestFit="1" customWidth="1"/>
    <col min="11" max="11" width="20.42578125" style="1119" bestFit="1" customWidth="1"/>
    <col min="12" max="12" width="9.140625" style="1119"/>
    <col min="13" max="13" width="15.28515625" style="1119" bestFit="1" customWidth="1"/>
    <col min="14" max="14" width="6" style="1119" bestFit="1" customWidth="1"/>
    <col min="15" max="15" width="9.140625" style="1119"/>
    <col min="16" max="18" width="8" style="1119" bestFit="1" customWidth="1"/>
    <col min="19" max="19" width="5" style="1119" bestFit="1" customWidth="1"/>
    <col min="20" max="16384" width="9.140625" style="1119"/>
  </cols>
  <sheetData>
    <row r="1" spans="1:24" ht="17.25" thickBot="1" x14ac:dyDescent="0.35">
      <c r="A1" s="1392" t="s">
        <v>440</v>
      </c>
      <c r="B1" s="1393"/>
      <c r="C1" s="1393"/>
      <c r="D1" s="1393"/>
      <c r="E1" s="1393"/>
      <c r="F1" s="1393"/>
      <c r="G1" s="1393"/>
      <c r="H1" s="1393"/>
      <c r="I1" s="1393"/>
      <c r="J1" s="1393"/>
      <c r="K1" s="1393"/>
      <c r="L1" s="1393"/>
      <c r="M1" s="1393"/>
      <c r="N1" s="1393"/>
      <c r="O1" s="1393"/>
      <c r="P1" s="1393"/>
      <c r="Q1" s="1393"/>
      <c r="R1" s="1393"/>
      <c r="S1" s="1393"/>
      <c r="T1" s="1393"/>
      <c r="U1" s="1394"/>
    </row>
    <row r="2" spans="1:24" ht="34.5" thickBot="1" x14ac:dyDescent="0.25">
      <c r="A2" s="1118" t="s">
        <v>321</v>
      </c>
      <c r="B2" s="1117" t="e">
        <f t="array" aca="1" ref="B2:U122" ca="1">_xll.qlSwapLegAnalysis(SwapID,0)</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24"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row>
    <row r="4" spans="1:24"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W4" s="1360" t="s">
        <v>529</v>
      </c>
      <c r="X4" s="1363" t="e">
        <f ca="1">_xll.ohTrigger(Triggers!Trigger)</f>
        <v>#NAME?</v>
      </c>
    </row>
    <row r="5" spans="1:24"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W5" s="1361" t="s">
        <v>530</v>
      </c>
      <c r="X5" s="1364"/>
    </row>
    <row r="6" spans="1:24"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row>
    <row r="7" spans="1:24"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row>
    <row r="8" spans="1:24"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row>
    <row r="9" spans="1:24"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row>
    <row r="10" spans="1:24"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row>
    <row r="11" spans="1:24"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row>
    <row r="12" spans="1:24"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row>
    <row r="13" spans="1:24"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row>
    <row r="14" spans="1:24"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row>
    <row r="15" spans="1:24"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row>
    <row r="16" spans="1:24"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row>
    <row r="17" spans="1:21"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row>
    <row r="18" spans="1:21"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row>
    <row r="19" spans="1:21"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row>
    <row r="20" spans="1:21"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row>
    <row r="21" spans="1:21"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row>
    <row r="22" spans="1:21"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row>
    <row r="23" spans="1:21"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row>
    <row r="24" spans="1:21"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row>
    <row r="25" spans="1:21"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row>
    <row r="26" spans="1:21"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row>
    <row r="27" spans="1:21"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row>
    <row r="28" spans="1:21"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row>
    <row r="29" spans="1:21"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row>
    <row r="30" spans="1:21"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row>
    <row r="31" spans="1:21"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row>
    <row r="32" spans="1:21"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row>
    <row r="33" spans="1:21"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row>
    <row r="34" spans="1:21"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row>
    <row r="35" spans="1:21"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row>
    <row r="36" spans="1:21"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row>
    <row r="37" spans="1:21"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row>
    <row r="38" spans="1:21"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row>
    <row r="39" spans="1:21"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row>
    <row r="40" spans="1:21"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row>
    <row r="41" spans="1:21"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row>
    <row r="42" spans="1:21"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row>
    <row r="43" spans="1:21"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row>
    <row r="44" spans="1:21"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row>
    <row r="45" spans="1:21"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row>
    <row r="46" spans="1:21"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row>
    <row r="47" spans="1:21"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row>
    <row r="48" spans="1:21"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row>
    <row r="49" spans="1:21"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row>
    <row r="50" spans="1:21"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row>
    <row r="51" spans="1:21"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row>
    <row r="52" spans="1:21"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row>
    <row r="53" spans="1:21"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row>
    <row r="54" spans="1:21"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row>
    <row r="55" spans="1:21"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row>
    <row r="56" spans="1:21"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row>
    <row r="57" spans="1:21"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row>
    <row r="58" spans="1:21"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row>
    <row r="59" spans="1:21"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row>
    <row r="60" spans="1:21"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row>
    <row r="61" spans="1:21"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row>
    <row r="62" spans="1:21"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row>
    <row r="63" spans="1:21"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row>
    <row r="64" spans="1:21"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row>
    <row r="65" spans="1:21"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row>
    <row r="66" spans="1:21"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row>
    <row r="67" spans="1:21"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row>
    <row r="68" spans="1:21"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row>
    <row r="69" spans="1:21"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row>
    <row r="70" spans="1:21"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row>
    <row r="71" spans="1:21"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row>
    <row r="72" spans="1:21"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row>
    <row r="73" spans="1:21"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row>
    <row r="74" spans="1:21"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row>
    <row r="75" spans="1:21"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row>
    <row r="76" spans="1:21"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row>
    <row r="77" spans="1:21"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row>
    <row r="78" spans="1:21"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row>
    <row r="79" spans="1:21"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row>
    <row r="80" spans="1:21"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row>
    <row r="81" spans="1:21"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row>
    <row r="82" spans="1:21"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row>
    <row r="83" spans="1:21"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row>
    <row r="84" spans="1:21"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row>
    <row r="85" spans="1:21"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row>
    <row r="86" spans="1:21"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row>
    <row r="87" spans="1:21"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row>
    <row r="88" spans="1:21"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row>
    <row r="89" spans="1:21"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row>
    <row r="90" spans="1:21"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row>
    <row r="91" spans="1:21"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row>
    <row r="92" spans="1:21"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row>
    <row r="93" spans="1:21"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row>
    <row r="94" spans="1:21"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row>
    <row r="95" spans="1:21"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row>
    <row r="96" spans="1:21"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row>
    <row r="97" spans="1:21"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row>
    <row r="98" spans="1:21"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row>
    <row r="99" spans="1:21"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row>
    <row r="100" spans="1:21"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row>
    <row r="101" spans="1:21"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row>
    <row r="102" spans="1:21"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row>
    <row r="103" spans="1:21"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row>
    <row r="104" spans="1:21"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row>
    <row r="105" spans="1:21"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row>
    <row r="106" spans="1:21"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row>
    <row r="107" spans="1:21"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row>
    <row r="108" spans="1:21"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row>
    <row r="109" spans="1:21"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row>
    <row r="110" spans="1:21"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row>
    <row r="111" spans="1:21"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row>
    <row r="112" spans="1:21"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row>
    <row r="113" spans="1:21"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row>
    <row r="114" spans="1:21"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row>
    <row r="115" spans="1:21"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row>
    <row r="116" spans="1:21"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row>
    <row r="117" spans="1:21"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row>
    <row r="118" spans="1:21"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row>
    <row r="119" spans="1:21"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row>
    <row r="120" spans="1:21"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row>
    <row r="121" spans="1:21"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row>
    <row r="122" spans="1:21"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5.75" thickBot="1" x14ac:dyDescent="0.3">
      <c r="B1" s="1143" t="e">
        <f ca="1">Pricing!$G$14</f>
        <v>#NAME?</v>
      </c>
      <c r="C1" s="1142" t="str">
        <f>UPPER(Pricing!$G$18)</f>
        <v>NONE</v>
      </c>
      <c r="D1" s="1142">
        <f>Pricing!$G$17</f>
        <v>1000000</v>
      </c>
      <c r="F1" s="1141" t="e">
        <f ca="1">_xll.qlScheduleSize(Schedule)-1</f>
        <v>#NAME?</v>
      </c>
      <c r="G1" s="1140" t="e">
        <f ca="1">FirstNominal/Payments</f>
        <v>#NAME?</v>
      </c>
      <c r="H1" s="1139">
        <f>Pricing!$G$25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VLOOKUP(Dates,FirstLegAdmortization!$B$4:$C$123,2)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4" bestFit="1" customWidth="1"/>
    <col min="2" max="2" width="17.28515625" style="1075" customWidth="1"/>
    <col min="3" max="3" width="12.140625" style="1075" bestFit="1" customWidth="1"/>
    <col min="4" max="4" width="15.28515625" style="1075" bestFit="1" customWidth="1"/>
    <col min="5" max="5" width="17.28515625" style="1075" customWidth="1"/>
    <col min="6" max="6" width="17.28515625" style="1075" bestFit="1" customWidth="1"/>
    <col min="7" max="7" width="9.140625" style="1075"/>
    <col min="8" max="8" width="22.5703125" style="1075" bestFit="1" customWidth="1"/>
    <col min="9" max="9" width="7" style="1075" bestFit="1" customWidth="1"/>
    <col min="10" max="10" width="17.28515625" style="1075" bestFit="1" customWidth="1"/>
    <col min="11" max="11" width="11" style="1075" bestFit="1" customWidth="1"/>
    <col min="12" max="12" width="9.140625" style="1075"/>
    <col min="13" max="13" width="10" style="1075" bestFit="1" customWidth="1"/>
    <col min="14" max="14" width="6" style="1074" bestFit="1" customWidth="1"/>
    <col min="15" max="18" width="9.140625" style="1074"/>
    <col min="19" max="19" width="5" style="1074" bestFit="1" customWidth="1"/>
    <col min="20" max="21" width="7" style="1074" bestFit="1" customWidth="1"/>
    <col min="22" max="16384" width="9.140625" style="1074"/>
  </cols>
  <sheetData>
    <row r="1" spans="1:40" ht="17.25" thickBot="1" x14ac:dyDescent="0.35">
      <c r="A1" s="1395" t="s">
        <v>434</v>
      </c>
      <c r="B1" s="1396"/>
      <c r="C1" s="1396"/>
      <c r="D1" s="1396"/>
      <c r="E1" s="1396"/>
      <c r="F1" s="1396"/>
      <c r="G1" s="1396"/>
      <c r="H1" s="1396"/>
      <c r="I1" s="1396"/>
      <c r="J1" s="1396"/>
      <c r="K1" s="1396"/>
      <c r="L1" s="1396"/>
      <c r="M1" s="1396"/>
      <c r="N1" s="1396"/>
      <c r="O1" s="1396"/>
      <c r="P1" s="1396"/>
      <c r="Q1" s="1396"/>
      <c r="R1" s="1396"/>
      <c r="S1" s="1396"/>
      <c r="T1" s="1396"/>
      <c r="U1" s="1397"/>
    </row>
    <row r="2" spans="1:40" ht="45.75" thickBot="1" x14ac:dyDescent="0.25">
      <c r="A2" s="1118" t="s">
        <v>321</v>
      </c>
      <c r="B2" s="1117" t="e">
        <f t="array" aca="1" ref="B2:U122" ca="1">_xll.qlSwapLegAnalysis(SwapID,1)</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40"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c r="V3" s="1085"/>
      <c r="W3" s="1085"/>
      <c r="X3" s="1085"/>
      <c r="Y3" s="1085"/>
      <c r="Z3" s="1085"/>
      <c r="AA3" s="1076"/>
      <c r="AB3" s="1076"/>
      <c r="AC3" s="1076"/>
      <c r="AD3" s="1076"/>
      <c r="AE3" s="1076"/>
      <c r="AF3" s="1076"/>
      <c r="AG3" s="1076"/>
      <c r="AH3" s="1076"/>
      <c r="AI3" s="1076"/>
      <c r="AJ3" s="1076"/>
      <c r="AK3" s="1076"/>
      <c r="AL3" s="1076"/>
      <c r="AM3" s="1076"/>
      <c r="AN3" s="1076"/>
    </row>
    <row r="4" spans="1:40"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V4" s="1085"/>
      <c r="W4" s="1360" t="s">
        <v>529</v>
      </c>
      <c r="X4" s="1363" t="e">
        <f ca="1">_xll.ohTrigger(Triggers!Trigger)</f>
        <v>#NAME?</v>
      </c>
      <c r="Y4" s="1085"/>
      <c r="Z4" s="1085"/>
      <c r="AA4" s="1076"/>
      <c r="AB4" s="1076"/>
      <c r="AC4" s="1076"/>
      <c r="AD4" s="1076"/>
      <c r="AE4" s="1076"/>
      <c r="AF4" s="1076"/>
      <c r="AG4" s="1076"/>
      <c r="AH4" s="1076"/>
      <c r="AI4" s="1076"/>
      <c r="AJ4" s="1076"/>
      <c r="AK4" s="1076"/>
      <c r="AL4" s="1076"/>
      <c r="AM4" s="1076"/>
      <c r="AN4" s="1076"/>
    </row>
    <row r="5" spans="1:40"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V5" s="1085"/>
      <c r="W5" s="1361" t="s">
        <v>530</v>
      </c>
      <c r="X5" s="1364"/>
      <c r="Y5" s="1085"/>
      <c r="Z5" s="1085"/>
      <c r="AA5" s="1076"/>
      <c r="AB5" s="1076"/>
      <c r="AC5" s="1076"/>
      <c r="AD5" s="1076"/>
      <c r="AE5" s="1076"/>
      <c r="AF5" s="1076"/>
      <c r="AG5" s="1076"/>
      <c r="AH5" s="1076"/>
      <c r="AI5" s="1076"/>
      <c r="AJ5" s="1076"/>
      <c r="AK5" s="1076"/>
      <c r="AL5" s="1076"/>
      <c r="AM5" s="1076"/>
      <c r="AN5" s="1076"/>
    </row>
    <row r="6" spans="1:40"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c r="V6" s="1085"/>
      <c r="W6" s="1085"/>
      <c r="X6" s="1085"/>
      <c r="Y6" s="1085"/>
      <c r="Z6" s="1085"/>
      <c r="AA6" s="1076"/>
      <c r="AB6" s="1076"/>
      <c r="AC6" s="1076"/>
      <c r="AD6" s="1076"/>
      <c r="AE6" s="1076"/>
      <c r="AF6" s="1076"/>
      <c r="AG6" s="1076"/>
      <c r="AH6" s="1076"/>
      <c r="AI6" s="1076"/>
      <c r="AJ6" s="1076"/>
      <c r="AK6" s="1076"/>
      <c r="AL6" s="1076"/>
      <c r="AM6" s="1076"/>
      <c r="AN6" s="1076"/>
    </row>
    <row r="7" spans="1:40"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c r="V7" s="1085"/>
      <c r="W7" s="1085"/>
      <c r="X7" s="1085"/>
      <c r="Y7" s="1085"/>
      <c r="Z7" s="1085"/>
      <c r="AA7" s="1076"/>
      <c r="AB7" s="1076"/>
      <c r="AC7" s="1076"/>
      <c r="AD7" s="1076"/>
      <c r="AE7" s="1076"/>
      <c r="AF7" s="1076"/>
      <c r="AG7" s="1076"/>
      <c r="AH7" s="1076"/>
      <c r="AI7" s="1076"/>
      <c r="AJ7" s="1076"/>
      <c r="AK7" s="1076"/>
      <c r="AL7" s="1076"/>
      <c r="AM7" s="1076"/>
      <c r="AN7" s="1076"/>
    </row>
    <row r="8" spans="1:40"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c r="V8" s="1085"/>
      <c r="W8" s="1085"/>
      <c r="X8" s="1085"/>
      <c r="Y8" s="1085"/>
      <c r="Z8" s="1085"/>
      <c r="AA8" s="1076"/>
      <c r="AB8" s="1076"/>
      <c r="AC8" s="1076"/>
      <c r="AD8" s="1076"/>
      <c r="AE8" s="1076"/>
      <c r="AF8" s="1076"/>
      <c r="AG8" s="1076"/>
      <c r="AH8" s="1076"/>
      <c r="AI8" s="1076"/>
      <c r="AJ8" s="1076"/>
      <c r="AK8" s="1076"/>
      <c r="AL8" s="1076"/>
      <c r="AM8" s="1076"/>
      <c r="AN8" s="1076"/>
    </row>
    <row r="9" spans="1:40"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c r="V9" s="1085"/>
      <c r="W9" s="1085"/>
      <c r="X9" s="1085"/>
      <c r="Y9" s="1085"/>
      <c r="Z9" s="1085"/>
      <c r="AA9" s="1076"/>
      <c r="AB9" s="1076"/>
      <c r="AC9" s="1076"/>
      <c r="AD9" s="1076"/>
      <c r="AE9" s="1076"/>
      <c r="AF9" s="1076"/>
      <c r="AG9" s="1076"/>
      <c r="AH9" s="1076"/>
      <c r="AI9" s="1076"/>
      <c r="AJ9" s="1076"/>
      <c r="AK9" s="1076"/>
      <c r="AL9" s="1076"/>
      <c r="AM9" s="1076"/>
      <c r="AN9" s="1076"/>
    </row>
    <row r="10" spans="1:40"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c r="V10" s="1085"/>
      <c r="W10" s="1085"/>
      <c r="X10" s="1085"/>
      <c r="Y10" s="1085"/>
      <c r="Z10" s="1085"/>
      <c r="AA10" s="1076"/>
      <c r="AB10" s="1076"/>
      <c r="AC10" s="1076"/>
      <c r="AD10" s="1076"/>
      <c r="AE10" s="1076"/>
      <c r="AF10" s="1076"/>
      <c r="AG10" s="1076"/>
      <c r="AH10" s="1076"/>
      <c r="AI10" s="1076"/>
      <c r="AJ10" s="1076"/>
      <c r="AK10" s="1076"/>
      <c r="AL10" s="1076"/>
      <c r="AM10" s="1076"/>
      <c r="AN10" s="1076"/>
    </row>
    <row r="11" spans="1:40"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c r="V11" s="1085"/>
      <c r="W11" s="1085"/>
      <c r="X11" s="1085"/>
      <c r="Y11" s="1085"/>
      <c r="Z11" s="1085"/>
      <c r="AA11" s="1076"/>
      <c r="AB11" s="1076"/>
      <c r="AC11" s="1076"/>
      <c r="AD11" s="1076"/>
      <c r="AE11" s="1076"/>
      <c r="AF11" s="1076"/>
      <c r="AG11" s="1076"/>
      <c r="AH11" s="1076"/>
      <c r="AI11" s="1076"/>
      <c r="AJ11" s="1076"/>
      <c r="AK11" s="1076"/>
      <c r="AL11" s="1076"/>
      <c r="AM11" s="1076"/>
      <c r="AN11" s="1076"/>
    </row>
    <row r="12" spans="1:40"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c r="V12" s="1085"/>
      <c r="W12" s="1085"/>
      <c r="X12" s="1085"/>
      <c r="Y12" s="1085"/>
      <c r="Z12" s="1085"/>
      <c r="AA12" s="1076"/>
      <c r="AB12" s="1076"/>
      <c r="AC12" s="1076"/>
      <c r="AD12" s="1076"/>
      <c r="AE12" s="1076"/>
      <c r="AF12" s="1076"/>
      <c r="AG12" s="1076"/>
      <c r="AH12" s="1076"/>
      <c r="AI12" s="1076"/>
      <c r="AJ12" s="1076"/>
      <c r="AK12" s="1076"/>
      <c r="AL12" s="1076"/>
      <c r="AM12" s="1076"/>
      <c r="AN12" s="1076"/>
    </row>
    <row r="13" spans="1:40"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c r="V13" s="1085"/>
      <c r="W13" s="1085"/>
      <c r="X13" s="1085"/>
      <c r="Y13" s="1085"/>
      <c r="Z13" s="1085"/>
      <c r="AA13" s="1076"/>
      <c r="AB13" s="1076"/>
      <c r="AC13" s="1076"/>
      <c r="AD13" s="1076"/>
      <c r="AE13" s="1076"/>
      <c r="AF13" s="1076"/>
      <c r="AG13" s="1076"/>
      <c r="AH13" s="1076"/>
      <c r="AI13" s="1076"/>
      <c r="AJ13" s="1076"/>
      <c r="AK13" s="1076"/>
      <c r="AL13" s="1076"/>
      <c r="AM13" s="1076"/>
      <c r="AN13" s="1076"/>
    </row>
    <row r="14" spans="1:40"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c r="V14" s="1085"/>
      <c r="W14" s="1085"/>
      <c r="X14" s="1085"/>
      <c r="Y14" s="1085"/>
      <c r="Z14" s="1085"/>
      <c r="AA14" s="1076"/>
      <c r="AB14" s="1076"/>
      <c r="AC14" s="1076"/>
      <c r="AD14" s="1076"/>
      <c r="AE14" s="1076"/>
      <c r="AF14" s="1076"/>
      <c r="AG14" s="1076"/>
      <c r="AH14" s="1076"/>
      <c r="AI14" s="1076"/>
      <c r="AJ14" s="1076"/>
      <c r="AK14" s="1076"/>
      <c r="AL14" s="1076"/>
      <c r="AM14" s="1076"/>
      <c r="AN14" s="1076"/>
    </row>
    <row r="15" spans="1:40"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c r="V15" s="1085"/>
      <c r="W15" s="1085"/>
      <c r="X15" s="1085"/>
      <c r="Y15" s="1085"/>
      <c r="Z15" s="1085"/>
      <c r="AA15" s="1076"/>
      <c r="AB15" s="1076"/>
      <c r="AC15" s="1076"/>
      <c r="AD15" s="1076"/>
      <c r="AE15" s="1076"/>
      <c r="AF15" s="1076"/>
      <c r="AG15" s="1076"/>
      <c r="AH15" s="1076"/>
      <c r="AI15" s="1076"/>
      <c r="AJ15" s="1076"/>
      <c r="AK15" s="1076"/>
      <c r="AL15" s="1076"/>
      <c r="AM15" s="1076"/>
      <c r="AN15" s="1076"/>
    </row>
    <row r="16" spans="1:40"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c r="V16" s="1085"/>
      <c r="W16" s="1085"/>
      <c r="X16" s="1085"/>
      <c r="Y16" s="1085"/>
      <c r="Z16" s="1085"/>
      <c r="AA16" s="1076"/>
      <c r="AB16" s="1076"/>
      <c r="AC16" s="1076"/>
      <c r="AD16" s="1076"/>
      <c r="AE16" s="1076"/>
      <c r="AF16" s="1076"/>
      <c r="AG16" s="1076"/>
      <c r="AH16" s="1076"/>
      <c r="AI16" s="1076"/>
      <c r="AJ16" s="1076"/>
      <c r="AK16" s="1076"/>
      <c r="AL16" s="1076"/>
      <c r="AM16" s="1076"/>
      <c r="AN16" s="1076"/>
    </row>
    <row r="17" spans="1:40"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c r="V17" s="1085"/>
      <c r="W17" s="1085"/>
      <c r="X17" s="1085"/>
      <c r="Y17" s="1085"/>
      <c r="Z17" s="1085"/>
      <c r="AA17" s="1076"/>
      <c r="AB17" s="1076"/>
      <c r="AC17" s="1076"/>
      <c r="AD17" s="1076"/>
      <c r="AE17" s="1076"/>
      <c r="AF17" s="1076"/>
      <c r="AG17" s="1076"/>
      <c r="AH17" s="1076"/>
      <c r="AI17" s="1076"/>
      <c r="AJ17" s="1076"/>
      <c r="AK17" s="1076"/>
      <c r="AL17" s="1076"/>
      <c r="AM17" s="1076"/>
      <c r="AN17" s="1076"/>
    </row>
    <row r="18" spans="1:40"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c r="V18" s="1085"/>
      <c r="W18" s="1085"/>
      <c r="X18" s="1085"/>
      <c r="Y18" s="1085"/>
      <c r="Z18" s="1085"/>
      <c r="AA18" s="1076"/>
      <c r="AB18" s="1076"/>
      <c r="AC18" s="1076"/>
      <c r="AD18" s="1076"/>
      <c r="AE18" s="1076"/>
      <c r="AF18" s="1076"/>
      <c r="AG18" s="1076"/>
      <c r="AH18" s="1076"/>
      <c r="AI18" s="1076"/>
      <c r="AJ18" s="1076"/>
      <c r="AK18" s="1076"/>
      <c r="AL18" s="1076"/>
      <c r="AM18" s="1076"/>
      <c r="AN18" s="1076"/>
    </row>
    <row r="19" spans="1:40"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c r="V19" s="1085"/>
      <c r="W19" s="1085"/>
      <c r="X19" s="1085"/>
      <c r="Y19" s="1085"/>
      <c r="Z19" s="1085"/>
      <c r="AA19" s="1076"/>
      <c r="AB19" s="1076"/>
      <c r="AC19" s="1076"/>
      <c r="AD19" s="1076"/>
      <c r="AE19" s="1076"/>
      <c r="AF19" s="1076"/>
      <c r="AG19" s="1076"/>
      <c r="AH19" s="1076"/>
      <c r="AI19" s="1076"/>
      <c r="AJ19" s="1076"/>
      <c r="AK19" s="1076"/>
      <c r="AL19" s="1076"/>
      <c r="AM19" s="1076"/>
      <c r="AN19" s="1076"/>
    </row>
    <row r="20" spans="1:40"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c r="V20" s="1085"/>
      <c r="W20" s="1085"/>
      <c r="X20" s="1085"/>
      <c r="Y20" s="1085"/>
      <c r="Z20" s="1085"/>
      <c r="AA20" s="1076"/>
      <c r="AB20" s="1076"/>
      <c r="AC20" s="1076"/>
      <c r="AD20" s="1076"/>
      <c r="AE20" s="1076"/>
      <c r="AF20" s="1076"/>
      <c r="AG20" s="1076"/>
      <c r="AH20" s="1076"/>
      <c r="AI20" s="1076"/>
      <c r="AJ20" s="1076"/>
      <c r="AK20" s="1076"/>
      <c r="AL20" s="1076"/>
      <c r="AM20" s="1076"/>
      <c r="AN20" s="1076"/>
    </row>
    <row r="21" spans="1:40"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c r="V21" s="1085"/>
      <c r="W21" s="1085"/>
      <c r="X21" s="1085"/>
      <c r="Y21" s="1085"/>
      <c r="Z21" s="1085"/>
      <c r="AA21" s="1076"/>
      <c r="AB21" s="1076"/>
      <c r="AC21" s="1076"/>
      <c r="AD21" s="1076"/>
      <c r="AE21" s="1076"/>
      <c r="AF21" s="1076"/>
      <c r="AG21" s="1076"/>
      <c r="AH21" s="1076"/>
      <c r="AI21" s="1076"/>
      <c r="AJ21" s="1076"/>
      <c r="AK21" s="1076"/>
      <c r="AL21" s="1076"/>
      <c r="AM21" s="1076"/>
      <c r="AN21" s="1076"/>
    </row>
    <row r="22" spans="1:40"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c r="V22" s="1085"/>
      <c r="W22" s="1085"/>
      <c r="X22" s="1085"/>
      <c r="Y22" s="1085"/>
      <c r="Z22" s="1085"/>
      <c r="AA22" s="1076"/>
      <c r="AB22" s="1076"/>
      <c r="AC22" s="1076"/>
      <c r="AD22" s="1076"/>
      <c r="AE22" s="1076"/>
      <c r="AF22" s="1076"/>
      <c r="AG22" s="1076"/>
      <c r="AH22" s="1076"/>
      <c r="AI22" s="1076"/>
      <c r="AJ22" s="1076"/>
      <c r="AK22" s="1076"/>
      <c r="AL22" s="1076"/>
      <c r="AM22" s="1076"/>
      <c r="AN22" s="1076"/>
    </row>
    <row r="23" spans="1:40"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c r="V23" s="1085"/>
      <c r="W23" s="1085"/>
      <c r="X23" s="1085"/>
      <c r="Y23" s="1085"/>
      <c r="Z23" s="1085"/>
      <c r="AA23" s="1076"/>
      <c r="AB23" s="1076"/>
      <c r="AC23" s="1076"/>
      <c r="AD23" s="1076"/>
      <c r="AE23" s="1076"/>
      <c r="AF23" s="1076"/>
      <c r="AG23" s="1076"/>
      <c r="AH23" s="1076"/>
      <c r="AI23" s="1076"/>
      <c r="AJ23" s="1076"/>
      <c r="AK23" s="1076"/>
      <c r="AL23" s="1076"/>
      <c r="AM23" s="1076"/>
      <c r="AN23" s="1076"/>
    </row>
    <row r="24" spans="1:40"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c r="V24" s="1085"/>
      <c r="W24" s="1085"/>
      <c r="X24" s="1085"/>
      <c r="Y24" s="1085"/>
      <c r="Z24" s="1085"/>
      <c r="AA24" s="1076"/>
      <c r="AB24" s="1076"/>
      <c r="AC24" s="1076"/>
      <c r="AD24" s="1076"/>
      <c r="AE24" s="1076"/>
      <c r="AF24" s="1076"/>
      <c r="AG24" s="1076"/>
      <c r="AH24" s="1076"/>
      <c r="AI24" s="1076"/>
      <c r="AJ24" s="1076"/>
      <c r="AK24" s="1076"/>
      <c r="AL24" s="1076"/>
      <c r="AM24" s="1076"/>
      <c r="AN24" s="1076"/>
    </row>
    <row r="25" spans="1:40"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c r="V25" s="1085"/>
      <c r="W25" s="1085"/>
      <c r="X25" s="1085"/>
      <c r="Y25" s="1085"/>
      <c r="Z25" s="1085"/>
      <c r="AA25" s="1076"/>
      <c r="AB25" s="1076"/>
      <c r="AC25" s="1076"/>
      <c r="AD25" s="1076"/>
      <c r="AE25" s="1076"/>
      <c r="AF25" s="1076"/>
      <c r="AG25" s="1076"/>
      <c r="AH25" s="1076"/>
      <c r="AI25" s="1076"/>
      <c r="AJ25" s="1076"/>
      <c r="AK25" s="1076"/>
      <c r="AL25" s="1076"/>
      <c r="AM25" s="1076"/>
      <c r="AN25" s="1076"/>
    </row>
    <row r="26" spans="1:40"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c r="V26" s="1085"/>
      <c r="W26" s="1085"/>
      <c r="X26" s="1085"/>
      <c r="Y26" s="1085"/>
      <c r="Z26" s="1085"/>
      <c r="AA26" s="1076"/>
      <c r="AB26" s="1076"/>
      <c r="AC26" s="1076"/>
      <c r="AD26" s="1076"/>
      <c r="AE26" s="1076"/>
      <c r="AF26" s="1076"/>
      <c r="AG26" s="1076"/>
      <c r="AH26" s="1076"/>
      <c r="AI26" s="1076"/>
      <c r="AJ26" s="1076"/>
      <c r="AK26" s="1076"/>
      <c r="AL26" s="1076"/>
      <c r="AM26" s="1076"/>
      <c r="AN26" s="1076"/>
    </row>
    <row r="27" spans="1:40"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c r="V27" s="1085"/>
      <c r="W27" s="1085"/>
      <c r="X27" s="1085"/>
      <c r="Y27" s="1085"/>
      <c r="Z27" s="1085"/>
      <c r="AA27" s="1076"/>
      <c r="AB27" s="1076"/>
      <c r="AC27" s="1076"/>
      <c r="AD27" s="1076"/>
      <c r="AE27" s="1076"/>
      <c r="AF27" s="1076"/>
      <c r="AG27" s="1076"/>
      <c r="AH27" s="1076"/>
      <c r="AI27" s="1076"/>
      <c r="AJ27" s="1076"/>
      <c r="AK27" s="1076"/>
      <c r="AL27" s="1076"/>
      <c r="AM27" s="1076"/>
      <c r="AN27" s="1076"/>
    </row>
    <row r="28" spans="1:40"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c r="V28" s="1085"/>
      <c r="W28" s="1085"/>
      <c r="X28" s="1085"/>
      <c r="Y28" s="1085"/>
      <c r="Z28" s="1085"/>
      <c r="AA28" s="1076"/>
      <c r="AB28" s="1076"/>
      <c r="AC28" s="1076"/>
      <c r="AD28" s="1076"/>
      <c r="AE28" s="1076"/>
      <c r="AF28" s="1076"/>
      <c r="AG28" s="1076"/>
      <c r="AH28" s="1076"/>
      <c r="AI28" s="1076"/>
      <c r="AJ28" s="1076"/>
      <c r="AK28" s="1076"/>
      <c r="AL28" s="1076"/>
      <c r="AM28" s="1076"/>
      <c r="AN28" s="1076"/>
    </row>
    <row r="29" spans="1:40"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c r="V29" s="1085"/>
      <c r="W29" s="1085"/>
      <c r="X29" s="1085"/>
      <c r="Y29" s="1085"/>
      <c r="Z29" s="1085"/>
      <c r="AA29" s="1076"/>
      <c r="AB29" s="1076"/>
      <c r="AC29" s="1076"/>
      <c r="AD29" s="1076"/>
      <c r="AE29" s="1076"/>
      <c r="AF29" s="1076"/>
      <c r="AG29" s="1076"/>
      <c r="AH29" s="1076"/>
      <c r="AI29" s="1076"/>
      <c r="AJ29" s="1076"/>
      <c r="AK29" s="1076"/>
      <c r="AL29" s="1076"/>
      <c r="AM29" s="1076"/>
      <c r="AN29" s="1076"/>
    </row>
    <row r="30" spans="1:40"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c r="V30" s="1085"/>
      <c r="W30" s="1085"/>
      <c r="X30" s="1085"/>
      <c r="Y30" s="1085"/>
      <c r="Z30" s="1085"/>
      <c r="AA30" s="1076"/>
      <c r="AB30" s="1076"/>
      <c r="AC30" s="1076"/>
      <c r="AD30" s="1076"/>
      <c r="AE30" s="1076"/>
      <c r="AF30" s="1076"/>
      <c r="AG30" s="1076"/>
      <c r="AH30" s="1076"/>
      <c r="AI30" s="1076"/>
      <c r="AJ30" s="1076"/>
      <c r="AK30" s="1076"/>
      <c r="AL30" s="1076"/>
      <c r="AM30" s="1076"/>
      <c r="AN30" s="1076"/>
    </row>
    <row r="31" spans="1:40"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c r="V31" s="1085"/>
      <c r="W31" s="1085"/>
      <c r="X31" s="1085"/>
      <c r="Y31" s="1085"/>
      <c r="Z31" s="1085"/>
      <c r="AA31" s="1076"/>
      <c r="AB31" s="1076"/>
      <c r="AC31" s="1076"/>
      <c r="AD31" s="1076"/>
      <c r="AE31" s="1076"/>
      <c r="AF31" s="1076"/>
      <c r="AG31" s="1076"/>
      <c r="AH31" s="1076"/>
      <c r="AI31" s="1076"/>
      <c r="AJ31" s="1076"/>
      <c r="AK31" s="1076"/>
      <c r="AL31" s="1076"/>
      <c r="AM31" s="1076"/>
      <c r="AN31" s="1076"/>
    </row>
    <row r="32" spans="1:40"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c r="V32" s="1085"/>
      <c r="W32" s="1085"/>
      <c r="X32" s="1085"/>
      <c r="Y32" s="1085"/>
      <c r="Z32" s="1085"/>
      <c r="AA32" s="1076"/>
      <c r="AB32" s="1076"/>
      <c r="AC32" s="1076"/>
      <c r="AD32" s="1076"/>
      <c r="AE32" s="1076"/>
      <c r="AF32" s="1076"/>
      <c r="AG32" s="1076"/>
      <c r="AH32" s="1076"/>
      <c r="AI32" s="1076"/>
      <c r="AJ32" s="1076"/>
      <c r="AK32" s="1076"/>
      <c r="AL32" s="1076"/>
      <c r="AM32" s="1076"/>
      <c r="AN32" s="1076"/>
    </row>
    <row r="33" spans="1:40"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c r="V33" s="1085"/>
      <c r="W33" s="1085"/>
      <c r="X33" s="1085"/>
      <c r="Y33" s="1085"/>
      <c r="Z33" s="1085"/>
      <c r="AA33" s="1076"/>
      <c r="AB33" s="1076"/>
      <c r="AC33" s="1076"/>
      <c r="AD33" s="1076"/>
      <c r="AE33" s="1076"/>
      <c r="AF33" s="1076"/>
      <c r="AG33" s="1076"/>
      <c r="AH33" s="1076"/>
      <c r="AI33" s="1076"/>
      <c r="AJ33" s="1076"/>
      <c r="AK33" s="1076"/>
      <c r="AL33" s="1076"/>
      <c r="AM33" s="1076"/>
      <c r="AN33" s="1076"/>
    </row>
    <row r="34" spans="1:40"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c r="V34" s="1085"/>
      <c r="W34" s="1085"/>
      <c r="X34" s="1085"/>
      <c r="Y34" s="1085"/>
      <c r="Z34" s="1085"/>
      <c r="AA34" s="1076"/>
      <c r="AB34" s="1076"/>
      <c r="AC34" s="1076"/>
      <c r="AD34" s="1076"/>
      <c r="AE34" s="1076"/>
      <c r="AF34" s="1076"/>
      <c r="AG34" s="1076"/>
      <c r="AH34" s="1076"/>
      <c r="AI34" s="1076"/>
      <c r="AJ34" s="1076"/>
      <c r="AK34" s="1076"/>
      <c r="AL34" s="1076"/>
      <c r="AM34" s="1076"/>
      <c r="AN34" s="1076"/>
    </row>
    <row r="35" spans="1:40"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c r="V35" s="1085"/>
      <c r="W35" s="1085"/>
      <c r="X35" s="1085"/>
      <c r="Y35" s="1085"/>
      <c r="Z35" s="1085"/>
      <c r="AA35" s="1076"/>
      <c r="AB35" s="1076"/>
      <c r="AC35" s="1076"/>
      <c r="AD35" s="1076"/>
      <c r="AE35" s="1076"/>
      <c r="AF35" s="1076"/>
      <c r="AG35" s="1076"/>
      <c r="AH35" s="1076"/>
      <c r="AI35" s="1076"/>
      <c r="AJ35" s="1076"/>
      <c r="AK35" s="1076"/>
      <c r="AL35" s="1076"/>
      <c r="AM35" s="1076"/>
      <c r="AN35" s="1076"/>
    </row>
    <row r="36" spans="1:40"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c r="V36" s="1085"/>
      <c r="W36" s="1085"/>
      <c r="X36" s="1085"/>
      <c r="Y36" s="1085"/>
      <c r="Z36" s="1085"/>
      <c r="AA36" s="1076"/>
      <c r="AB36" s="1076"/>
      <c r="AC36" s="1076"/>
      <c r="AD36" s="1076"/>
      <c r="AE36" s="1076"/>
      <c r="AF36" s="1076"/>
      <c r="AG36" s="1076"/>
      <c r="AH36" s="1076"/>
      <c r="AI36" s="1076"/>
      <c r="AJ36" s="1076"/>
      <c r="AK36" s="1076"/>
      <c r="AL36" s="1076"/>
      <c r="AM36" s="1076"/>
      <c r="AN36" s="1076"/>
    </row>
    <row r="37" spans="1:40"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c r="V37" s="1085"/>
      <c r="W37" s="1085"/>
      <c r="X37" s="1085"/>
      <c r="Y37" s="1085"/>
      <c r="Z37" s="1085"/>
      <c r="AA37" s="1076"/>
      <c r="AB37" s="1076"/>
      <c r="AC37" s="1076"/>
      <c r="AD37" s="1076"/>
      <c r="AE37" s="1076"/>
      <c r="AF37" s="1076"/>
      <c r="AG37" s="1076"/>
      <c r="AH37" s="1076"/>
      <c r="AI37" s="1076"/>
      <c r="AJ37" s="1076"/>
      <c r="AK37" s="1076"/>
      <c r="AL37" s="1076"/>
      <c r="AM37" s="1076"/>
      <c r="AN37" s="1076"/>
    </row>
    <row r="38" spans="1:40"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c r="V38" s="1085"/>
      <c r="W38" s="1085"/>
      <c r="X38" s="1085"/>
      <c r="Y38" s="1085"/>
      <c r="Z38" s="1085"/>
      <c r="AA38" s="1076"/>
      <c r="AB38" s="1076"/>
      <c r="AC38" s="1076"/>
      <c r="AD38" s="1076"/>
      <c r="AE38" s="1076"/>
      <c r="AF38" s="1076"/>
      <c r="AG38" s="1076"/>
      <c r="AH38" s="1076"/>
      <c r="AI38" s="1076"/>
      <c r="AJ38" s="1076"/>
      <c r="AK38" s="1076"/>
      <c r="AL38" s="1076"/>
      <c r="AM38" s="1076"/>
      <c r="AN38" s="1076"/>
    </row>
    <row r="39" spans="1:40"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c r="V39" s="1085"/>
      <c r="W39" s="1085"/>
      <c r="X39" s="1085"/>
      <c r="Y39" s="1085"/>
      <c r="Z39" s="1085"/>
      <c r="AA39" s="1076"/>
      <c r="AB39" s="1076"/>
      <c r="AC39" s="1076"/>
      <c r="AD39" s="1076"/>
      <c r="AE39" s="1076"/>
      <c r="AF39" s="1076"/>
      <c r="AG39" s="1076"/>
      <c r="AH39" s="1076"/>
      <c r="AI39" s="1076"/>
      <c r="AJ39" s="1076"/>
      <c r="AK39" s="1076"/>
      <c r="AL39" s="1076"/>
      <c r="AM39" s="1076"/>
      <c r="AN39" s="1076"/>
    </row>
    <row r="40" spans="1:40"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c r="V40" s="1085"/>
      <c r="W40" s="1085"/>
      <c r="X40" s="1085"/>
      <c r="Y40" s="1085"/>
      <c r="Z40" s="1085"/>
      <c r="AA40" s="1076"/>
      <c r="AB40" s="1076"/>
      <c r="AC40" s="1076"/>
      <c r="AD40" s="1076"/>
      <c r="AE40" s="1076"/>
      <c r="AF40" s="1076"/>
      <c r="AG40" s="1076"/>
      <c r="AH40" s="1076"/>
      <c r="AI40" s="1076"/>
      <c r="AJ40" s="1076"/>
      <c r="AK40" s="1076"/>
      <c r="AL40" s="1076"/>
      <c r="AM40" s="1076"/>
      <c r="AN40" s="1076"/>
    </row>
    <row r="41" spans="1:40"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c r="V41" s="1085"/>
      <c r="W41" s="1085"/>
      <c r="X41" s="1085"/>
      <c r="Y41" s="1085"/>
      <c r="Z41" s="1085"/>
      <c r="AA41" s="1076"/>
      <c r="AB41" s="1076"/>
      <c r="AC41" s="1076"/>
      <c r="AD41" s="1076"/>
      <c r="AE41" s="1076"/>
      <c r="AF41" s="1076"/>
      <c r="AG41" s="1076"/>
      <c r="AH41" s="1076"/>
      <c r="AI41" s="1076"/>
      <c r="AJ41" s="1076"/>
      <c r="AK41" s="1076"/>
      <c r="AL41" s="1076"/>
      <c r="AM41" s="1076"/>
      <c r="AN41" s="1076"/>
    </row>
    <row r="42" spans="1:40"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c r="V42" s="1085"/>
      <c r="W42" s="1085"/>
      <c r="X42" s="1085"/>
      <c r="Y42" s="1085"/>
      <c r="Z42" s="1085"/>
      <c r="AA42" s="1076"/>
      <c r="AB42" s="1076"/>
      <c r="AC42" s="1076"/>
      <c r="AD42" s="1076"/>
      <c r="AE42" s="1076"/>
      <c r="AF42" s="1076"/>
      <c r="AG42" s="1076"/>
      <c r="AH42" s="1076"/>
      <c r="AI42" s="1076"/>
      <c r="AJ42" s="1076"/>
      <c r="AK42" s="1076"/>
      <c r="AL42" s="1076"/>
      <c r="AM42" s="1076"/>
      <c r="AN42" s="1076"/>
    </row>
    <row r="43" spans="1:40"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c r="V43" s="1085"/>
      <c r="W43" s="1085"/>
      <c r="X43" s="1085"/>
      <c r="Y43" s="1085"/>
      <c r="Z43" s="1085"/>
      <c r="AA43" s="1076"/>
      <c r="AB43" s="1076"/>
      <c r="AC43" s="1076"/>
      <c r="AD43" s="1076"/>
      <c r="AE43" s="1076"/>
      <c r="AF43" s="1076"/>
      <c r="AG43" s="1076"/>
      <c r="AH43" s="1076"/>
      <c r="AI43" s="1076"/>
      <c r="AJ43" s="1076"/>
      <c r="AK43" s="1076"/>
      <c r="AL43" s="1076"/>
      <c r="AM43" s="1076"/>
      <c r="AN43" s="1076"/>
    </row>
    <row r="44" spans="1:40"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c r="V44" s="1085"/>
      <c r="W44" s="1085"/>
      <c r="X44" s="1085"/>
      <c r="Y44" s="1085"/>
      <c r="Z44" s="1085"/>
      <c r="AA44" s="1076"/>
      <c r="AB44" s="1076"/>
      <c r="AC44" s="1076"/>
      <c r="AD44" s="1076"/>
      <c r="AE44" s="1076"/>
      <c r="AF44" s="1076"/>
      <c r="AG44" s="1076"/>
      <c r="AH44" s="1076"/>
      <c r="AI44" s="1076"/>
      <c r="AJ44" s="1076"/>
      <c r="AK44" s="1076"/>
      <c r="AL44" s="1076"/>
      <c r="AM44" s="1076"/>
      <c r="AN44" s="1076"/>
    </row>
    <row r="45" spans="1:40"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c r="V45" s="1085"/>
      <c r="W45" s="1085"/>
      <c r="X45" s="1085"/>
      <c r="Y45" s="1085"/>
      <c r="Z45" s="1085"/>
      <c r="AA45" s="1076"/>
      <c r="AB45" s="1076"/>
      <c r="AC45" s="1076"/>
      <c r="AD45" s="1076"/>
      <c r="AE45" s="1076"/>
      <c r="AF45" s="1076"/>
      <c r="AG45" s="1076"/>
      <c r="AH45" s="1076"/>
      <c r="AI45" s="1076"/>
      <c r="AJ45" s="1076"/>
      <c r="AK45" s="1076"/>
      <c r="AL45" s="1076"/>
      <c r="AM45" s="1076"/>
      <c r="AN45" s="1076"/>
    </row>
    <row r="46" spans="1:40"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c r="V46" s="1085"/>
      <c r="W46" s="1085"/>
      <c r="X46" s="1085"/>
      <c r="Y46" s="1085"/>
      <c r="Z46" s="1085"/>
      <c r="AA46" s="1076"/>
      <c r="AB46" s="1076"/>
      <c r="AC46" s="1076"/>
      <c r="AD46" s="1076"/>
      <c r="AE46" s="1076"/>
      <c r="AF46" s="1076"/>
      <c r="AG46" s="1076"/>
      <c r="AH46" s="1076"/>
      <c r="AI46" s="1076"/>
      <c r="AJ46" s="1076"/>
      <c r="AK46" s="1076"/>
      <c r="AL46" s="1076"/>
      <c r="AM46" s="1076"/>
      <c r="AN46" s="1076"/>
    </row>
    <row r="47" spans="1:40"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c r="V47" s="1085"/>
      <c r="W47" s="1085"/>
      <c r="X47" s="1085"/>
      <c r="Y47" s="1085"/>
      <c r="Z47" s="1085"/>
      <c r="AA47" s="1076"/>
      <c r="AB47" s="1076"/>
      <c r="AC47" s="1076"/>
      <c r="AD47" s="1076"/>
      <c r="AE47" s="1076"/>
      <c r="AF47" s="1076"/>
      <c r="AG47" s="1076"/>
      <c r="AH47" s="1076"/>
      <c r="AI47" s="1076"/>
      <c r="AJ47" s="1076"/>
      <c r="AK47" s="1076"/>
      <c r="AL47" s="1076"/>
      <c r="AM47" s="1076"/>
      <c r="AN47" s="1076"/>
    </row>
    <row r="48" spans="1:40"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c r="V48" s="1085"/>
      <c r="W48" s="1085"/>
      <c r="X48" s="1085"/>
      <c r="Y48" s="1085"/>
      <c r="Z48" s="1085"/>
      <c r="AA48" s="1076"/>
      <c r="AB48" s="1076"/>
      <c r="AC48" s="1076"/>
      <c r="AD48" s="1076"/>
      <c r="AE48" s="1076"/>
      <c r="AF48" s="1076"/>
      <c r="AG48" s="1076"/>
      <c r="AH48" s="1076"/>
      <c r="AI48" s="1076"/>
      <c r="AJ48" s="1076"/>
      <c r="AK48" s="1076"/>
      <c r="AL48" s="1076"/>
      <c r="AM48" s="1076"/>
      <c r="AN48" s="1076"/>
    </row>
    <row r="49" spans="1:40"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c r="V49" s="1085"/>
      <c r="W49" s="1085"/>
      <c r="X49" s="1085"/>
      <c r="Y49" s="1085"/>
      <c r="Z49" s="1085"/>
      <c r="AA49" s="1076"/>
      <c r="AB49" s="1076"/>
      <c r="AC49" s="1076"/>
      <c r="AD49" s="1076"/>
      <c r="AE49" s="1076"/>
      <c r="AF49" s="1076"/>
      <c r="AG49" s="1076"/>
      <c r="AH49" s="1076"/>
      <c r="AI49" s="1076"/>
      <c r="AJ49" s="1076"/>
      <c r="AK49" s="1076"/>
      <c r="AL49" s="1076"/>
      <c r="AM49" s="1076"/>
      <c r="AN49" s="1076"/>
    </row>
    <row r="50" spans="1:40"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c r="V50" s="1085"/>
      <c r="W50" s="1085"/>
      <c r="X50" s="1085"/>
      <c r="Y50" s="1085"/>
      <c r="Z50" s="1085"/>
      <c r="AA50" s="1076"/>
      <c r="AB50" s="1076"/>
      <c r="AC50" s="1076"/>
      <c r="AD50" s="1076"/>
      <c r="AE50" s="1076"/>
      <c r="AF50" s="1076"/>
      <c r="AG50" s="1076"/>
      <c r="AH50" s="1076"/>
      <c r="AI50" s="1076"/>
      <c r="AJ50" s="1076"/>
      <c r="AK50" s="1076"/>
      <c r="AL50" s="1076"/>
      <c r="AM50" s="1076"/>
      <c r="AN50" s="1076"/>
    </row>
    <row r="51" spans="1:40"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c r="V51" s="1085"/>
      <c r="W51" s="1085"/>
      <c r="X51" s="1085"/>
      <c r="Y51" s="1085"/>
      <c r="Z51" s="1085"/>
      <c r="AA51" s="1076"/>
      <c r="AB51" s="1076"/>
      <c r="AC51" s="1076"/>
      <c r="AD51" s="1076"/>
      <c r="AE51" s="1076"/>
      <c r="AF51" s="1076"/>
      <c r="AG51" s="1076"/>
      <c r="AH51" s="1076"/>
      <c r="AI51" s="1076"/>
      <c r="AJ51" s="1076"/>
      <c r="AK51" s="1076"/>
      <c r="AL51" s="1076"/>
      <c r="AM51" s="1076"/>
      <c r="AN51" s="1076"/>
    </row>
    <row r="52" spans="1:40"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c r="V52" s="1085"/>
      <c r="W52" s="1085"/>
      <c r="X52" s="1085"/>
      <c r="Y52" s="1085"/>
      <c r="Z52" s="1085"/>
      <c r="AA52" s="1076"/>
      <c r="AB52" s="1076"/>
      <c r="AC52" s="1076"/>
      <c r="AD52" s="1076"/>
      <c r="AE52" s="1076"/>
      <c r="AF52" s="1076"/>
      <c r="AG52" s="1076"/>
      <c r="AH52" s="1076"/>
      <c r="AI52" s="1076"/>
      <c r="AJ52" s="1076"/>
      <c r="AK52" s="1076"/>
      <c r="AL52" s="1076"/>
      <c r="AM52" s="1076"/>
      <c r="AN52" s="1076"/>
    </row>
    <row r="53" spans="1:40"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c r="V53" s="1085"/>
      <c r="W53" s="1085"/>
      <c r="X53" s="1085"/>
      <c r="Y53" s="1085"/>
      <c r="Z53" s="1085"/>
      <c r="AA53" s="1076"/>
      <c r="AB53" s="1076"/>
      <c r="AC53" s="1076"/>
      <c r="AD53" s="1076"/>
      <c r="AE53" s="1076"/>
      <c r="AF53" s="1076"/>
      <c r="AG53" s="1076"/>
      <c r="AH53" s="1076"/>
      <c r="AI53" s="1076"/>
      <c r="AJ53" s="1076"/>
      <c r="AK53" s="1076"/>
      <c r="AL53" s="1076"/>
      <c r="AM53" s="1076"/>
      <c r="AN53" s="1076"/>
    </row>
    <row r="54" spans="1:40"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c r="V54" s="1085"/>
      <c r="W54" s="1085"/>
      <c r="X54" s="1085"/>
      <c r="Y54" s="1085"/>
      <c r="Z54" s="1085"/>
      <c r="AA54" s="1076"/>
      <c r="AB54" s="1076"/>
      <c r="AC54" s="1076"/>
      <c r="AD54" s="1076"/>
      <c r="AE54" s="1076"/>
      <c r="AF54" s="1076"/>
      <c r="AG54" s="1076"/>
      <c r="AH54" s="1076"/>
      <c r="AI54" s="1076"/>
      <c r="AJ54" s="1076"/>
      <c r="AK54" s="1076"/>
      <c r="AL54" s="1076"/>
      <c r="AM54" s="1076"/>
      <c r="AN54" s="1076"/>
    </row>
    <row r="55" spans="1:40"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c r="V55" s="1085"/>
      <c r="W55" s="1085"/>
      <c r="X55" s="1085"/>
      <c r="Y55" s="1085"/>
      <c r="Z55" s="1085"/>
      <c r="AA55" s="1076"/>
      <c r="AB55" s="1076"/>
      <c r="AC55" s="1076"/>
      <c r="AD55" s="1076"/>
      <c r="AE55" s="1076"/>
      <c r="AF55" s="1076"/>
      <c r="AG55" s="1076"/>
      <c r="AH55" s="1076"/>
      <c r="AI55" s="1076"/>
      <c r="AJ55" s="1076"/>
      <c r="AK55" s="1076"/>
      <c r="AL55" s="1076"/>
      <c r="AM55" s="1076"/>
      <c r="AN55" s="1076"/>
    </row>
    <row r="56" spans="1:40"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c r="V56" s="1085"/>
      <c r="W56" s="1085"/>
      <c r="X56" s="1085"/>
      <c r="Y56" s="1085"/>
      <c r="Z56" s="1085"/>
      <c r="AA56" s="1076"/>
      <c r="AB56" s="1076"/>
      <c r="AC56" s="1076"/>
      <c r="AD56" s="1076"/>
      <c r="AE56" s="1076"/>
      <c r="AF56" s="1076"/>
      <c r="AG56" s="1076"/>
      <c r="AH56" s="1076"/>
      <c r="AI56" s="1076"/>
      <c r="AJ56" s="1076"/>
      <c r="AK56" s="1076"/>
      <c r="AL56" s="1076"/>
      <c r="AM56" s="1076"/>
      <c r="AN56" s="1076"/>
    </row>
    <row r="57" spans="1:40"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c r="V57" s="1085"/>
      <c r="W57" s="1085"/>
      <c r="X57" s="1085"/>
      <c r="Y57" s="1085"/>
      <c r="Z57" s="1085"/>
      <c r="AA57" s="1076"/>
      <c r="AB57" s="1076"/>
      <c r="AC57" s="1076"/>
      <c r="AD57" s="1076"/>
      <c r="AE57" s="1076"/>
      <c r="AF57" s="1076"/>
      <c r="AG57" s="1076"/>
      <c r="AH57" s="1076"/>
      <c r="AI57" s="1076"/>
      <c r="AJ57" s="1076"/>
      <c r="AK57" s="1076"/>
      <c r="AL57" s="1076"/>
      <c r="AM57" s="1076"/>
      <c r="AN57" s="1076"/>
    </row>
    <row r="58" spans="1:40"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c r="V58" s="1085"/>
      <c r="W58" s="1085"/>
      <c r="X58" s="1085"/>
      <c r="Y58" s="1085"/>
      <c r="Z58" s="1085"/>
      <c r="AA58" s="1076"/>
      <c r="AB58" s="1076"/>
      <c r="AC58" s="1076"/>
      <c r="AD58" s="1076"/>
      <c r="AE58" s="1076"/>
      <c r="AF58" s="1076"/>
      <c r="AG58" s="1076"/>
      <c r="AH58" s="1076"/>
      <c r="AI58" s="1076"/>
      <c r="AJ58" s="1076"/>
      <c r="AK58" s="1076"/>
      <c r="AL58" s="1076"/>
      <c r="AM58" s="1076"/>
      <c r="AN58" s="1076"/>
    </row>
    <row r="59" spans="1:40"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c r="V59" s="1085"/>
      <c r="W59" s="1085"/>
      <c r="X59" s="1085"/>
      <c r="Y59" s="1085"/>
      <c r="Z59" s="1085"/>
      <c r="AA59" s="1076"/>
      <c r="AB59" s="1076"/>
      <c r="AC59" s="1076"/>
      <c r="AD59" s="1076"/>
      <c r="AE59" s="1076"/>
      <c r="AF59" s="1076"/>
      <c r="AG59" s="1076"/>
      <c r="AH59" s="1076"/>
      <c r="AI59" s="1076"/>
      <c r="AJ59" s="1076"/>
      <c r="AK59" s="1076"/>
      <c r="AL59" s="1076"/>
      <c r="AM59" s="1076"/>
      <c r="AN59" s="1076"/>
    </row>
    <row r="60" spans="1:40"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c r="V60" s="1085"/>
      <c r="W60" s="1085"/>
      <c r="X60" s="1085"/>
      <c r="Y60" s="1085"/>
      <c r="Z60" s="1085"/>
      <c r="AA60" s="1076"/>
      <c r="AB60" s="1076"/>
      <c r="AC60" s="1076"/>
      <c r="AD60" s="1076"/>
      <c r="AE60" s="1076"/>
      <c r="AF60" s="1076"/>
      <c r="AG60" s="1076"/>
      <c r="AH60" s="1076"/>
      <c r="AI60" s="1076"/>
      <c r="AJ60" s="1076"/>
      <c r="AK60" s="1076"/>
      <c r="AL60" s="1076"/>
      <c r="AM60" s="1076"/>
      <c r="AN60" s="1076"/>
    </row>
    <row r="61" spans="1:40"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c r="V61" s="1085"/>
      <c r="W61" s="1085"/>
      <c r="X61" s="1085"/>
      <c r="Y61" s="1085"/>
      <c r="Z61" s="1085"/>
      <c r="AA61" s="1076"/>
      <c r="AB61" s="1076"/>
      <c r="AC61" s="1076"/>
      <c r="AD61" s="1076"/>
      <c r="AE61" s="1076"/>
      <c r="AF61" s="1076"/>
      <c r="AG61" s="1076"/>
      <c r="AH61" s="1076"/>
      <c r="AI61" s="1076"/>
      <c r="AJ61" s="1076"/>
      <c r="AK61" s="1076"/>
      <c r="AL61" s="1076"/>
      <c r="AM61" s="1076"/>
      <c r="AN61" s="1076"/>
    </row>
    <row r="62" spans="1:40"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c r="V62" s="1085"/>
      <c r="W62" s="1085"/>
      <c r="X62" s="1085"/>
      <c r="Y62" s="1085"/>
      <c r="Z62" s="1085"/>
      <c r="AA62" s="1076"/>
      <c r="AB62" s="1076"/>
      <c r="AC62" s="1076"/>
      <c r="AD62" s="1076"/>
      <c r="AE62" s="1076"/>
      <c r="AF62" s="1076"/>
      <c r="AG62" s="1076"/>
      <c r="AH62" s="1076"/>
      <c r="AI62" s="1076"/>
      <c r="AJ62" s="1076"/>
      <c r="AK62" s="1076"/>
      <c r="AL62" s="1076"/>
      <c r="AM62" s="1076"/>
      <c r="AN62" s="1076"/>
    </row>
    <row r="63" spans="1:40"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c r="V63" s="1085"/>
      <c r="W63" s="1085"/>
      <c r="X63" s="1085"/>
      <c r="Y63" s="1085"/>
      <c r="Z63" s="1085"/>
      <c r="AA63" s="1076"/>
      <c r="AB63" s="1076"/>
      <c r="AC63" s="1076"/>
      <c r="AD63" s="1076"/>
      <c r="AE63" s="1076"/>
      <c r="AF63" s="1076"/>
      <c r="AG63" s="1076"/>
      <c r="AH63" s="1076"/>
      <c r="AI63" s="1076"/>
      <c r="AJ63" s="1076"/>
      <c r="AK63" s="1076"/>
      <c r="AL63" s="1076"/>
      <c r="AM63" s="1076"/>
      <c r="AN63" s="1076"/>
    </row>
    <row r="64" spans="1:40"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c r="V64" s="1085"/>
      <c r="W64" s="1085"/>
      <c r="X64" s="1085"/>
      <c r="Y64" s="1085"/>
      <c r="Z64" s="1085"/>
      <c r="AA64" s="1076"/>
      <c r="AB64" s="1076"/>
      <c r="AC64" s="1076"/>
      <c r="AD64" s="1076"/>
      <c r="AE64" s="1076"/>
      <c r="AF64" s="1076"/>
      <c r="AG64" s="1076"/>
      <c r="AH64" s="1076"/>
      <c r="AI64" s="1076"/>
      <c r="AJ64" s="1076"/>
      <c r="AK64" s="1076"/>
      <c r="AL64" s="1076"/>
      <c r="AM64" s="1076"/>
      <c r="AN64" s="1076"/>
    </row>
    <row r="65" spans="1:40"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c r="V65" s="1085"/>
      <c r="W65" s="1085"/>
      <c r="X65" s="1085"/>
      <c r="Y65" s="1085"/>
      <c r="Z65" s="1085"/>
      <c r="AA65" s="1076"/>
      <c r="AB65" s="1076"/>
      <c r="AC65" s="1076"/>
      <c r="AD65" s="1076"/>
      <c r="AE65" s="1076"/>
      <c r="AF65" s="1076"/>
      <c r="AG65" s="1076"/>
      <c r="AH65" s="1076"/>
      <c r="AI65" s="1076"/>
      <c r="AJ65" s="1076"/>
      <c r="AK65" s="1076"/>
      <c r="AL65" s="1076"/>
      <c r="AM65" s="1076"/>
      <c r="AN65" s="1076"/>
    </row>
    <row r="66" spans="1:40"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c r="V66" s="1085"/>
      <c r="W66" s="1085"/>
      <c r="X66" s="1085"/>
      <c r="Y66" s="1085"/>
      <c r="Z66" s="1085"/>
      <c r="AA66" s="1076"/>
      <c r="AB66" s="1076"/>
      <c r="AC66" s="1076"/>
      <c r="AD66" s="1076"/>
      <c r="AE66" s="1076"/>
      <c r="AF66" s="1076"/>
      <c r="AG66" s="1076"/>
      <c r="AH66" s="1076"/>
      <c r="AI66" s="1076"/>
      <c r="AJ66" s="1076"/>
      <c r="AK66" s="1076"/>
      <c r="AL66" s="1076"/>
      <c r="AM66" s="1076"/>
      <c r="AN66" s="1076"/>
    </row>
    <row r="67" spans="1:40"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c r="V67" s="1085"/>
      <c r="W67" s="1085"/>
      <c r="X67" s="1085"/>
      <c r="Y67" s="1085"/>
      <c r="Z67" s="1085"/>
      <c r="AA67" s="1076"/>
      <c r="AB67" s="1076"/>
      <c r="AC67" s="1076"/>
      <c r="AD67" s="1076"/>
      <c r="AE67" s="1076"/>
      <c r="AF67" s="1076"/>
      <c r="AG67" s="1076"/>
      <c r="AH67" s="1076"/>
      <c r="AI67" s="1076"/>
      <c r="AJ67" s="1076"/>
      <c r="AK67" s="1076"/>
      <c r="AL67" s="1076"/>
      <c r="AM67" s="1076"/>
      <c r="AN67" s="1076"/>
    </row>
    <row r="68" spans="1:40"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c r="V68" s="1085"/>
      <c r="W68" s="1085"/>
      <c r="X68" s="1085"/>
      <c r="Y68" s="1085"/>
      <c r="Z68" s="1085"/>
      <c r="AA68" s="1076"/>
      <c r="AB68" s="1076"/>
      <c r="AC68" s="1076"/>
      <c r="AD68" s="1076"/>
      <c r="AE68" s="1076"/>
      <c r="AF68" s="1076"/>
      <c r="AG68" s="1076"/>
      <c r="AH68" s="1076"/>
      <c r="AI68" s="1076"/>
      <c r="AJ68" s="1076"/>
      <c r="AK68" s="1076"/>
      <c r="AL68" s="1076"/>
      <c r="AM68" s="1076"/>
      <c r="AN68" s="1076"/>
    </row>
    <row r="69" spans="1:40"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c r="V69" s="1085"/>
      <c r="W69" s="1085"/>
      <c r="X69" s="1085"/>
      <c r="Y69" s="1085"/>
      <c r="Z69" s="1085"/>
      <c r="AA69" s="1076"/>
      <c r="AB69" s="1076"/>
      <c r="AC69" s="1076"/>
      <c r="AD69" s="1076"/>
      <c r="AE69" s="1076"/>
      <c r="AF69" s="1076"/>
      <c r="AG69" s="1076"/>
      <c r="AH69" s="1076"/>
      <c r="AI69" s="1076"/>
      <c r="AJ69" s="1076"/>
      <c r="AK69" s="1076"/>
      <c r="AL69" s="1076"/>
      <c r="AM69" s="1076"/>
      <c r="AN69" s="1076"/>
    </row>
    <row r="70" spans="1:40"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c r="V70" s="1085"/>
      <c r="W70" s="1085"/>
      <c r="X70" s="1085"/>
      <c r="Y70" s="1085"/>
      <c r="Z70" s="1085"/>
      <c r="AA70" s="1076"/>
      <c r="AB70" s="1076"/>
      <c r="AC70" s="1076"/>
      <c r="AD70" s="1076"/>
      <c r="AE70" s="1076"/>
      <c r="AF70" s="1076"/>
      <c r="AG70" s="1076"/>
      <c r="AH70" s="1076"/>
      <c r="AI70" s="1076"/>
      <c r="AJ70" s="1076"/>
      <c r="AK70" s="1076"/>
      <c r="AL70" s="1076"/>
      <c r="AM70" s="1076"/>
      <c r="AN70" s="1076"/>
    </row>
    <row r="71" spans="1:40"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c r="V71" s="1085"/>
      <c r="W71" s="1085"/>
      <c r="X71" s="1085"/>
      <c r="Y71" s="1085"/>
      <c r="Z71" s="1085"/>
      <c r="AA71" s="1076"/>
      <c r="AB71" s="1076"/>
      <c r="AC71" s="1076"/>
      <c r="AD71" s="1076"/>
      <c r="AE71" s="1076"/>
      <c r="AF71" s="1076"/>
      <c r="AG71" s="1076"/>
      <c r="AH71" s="1076"/>
      <c r="AI71" s="1076"/>
      <c r="AJ71" s="1076"/>
      <c r="AK71" s="1076"/>
      <c r="AL71" s="1076"/>
      <c r="AM71" s="1076"/>
      <c r="AN71" s="1076"/>
    </row>
    <row r="72" spans="1:40"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c r="V72" s="1085"/>
      <c r="W72" s="1085"/>
      <c r="X72" s="1085"/>
      <c r="Y72" s="1085"/>
      <c r="Z72" s="1085"/>
      <c r="AA72" s="1076"/>
      <c r="AB72" s="1076"/>
      <c r="AC72" s="1076"/>
      <c r="AD72" s="1076"/>
      <c r="AE72" s="1076"/>
      <c r="AF72" s="1076"/>
      <c r="AG72" s="1076"/>
      <c r="AH72" s="1076"/>
      <c r="AI72" s="1076"/>
      <c r="AJ72" s="1076"/>
      <c r="AK72" s="1076"/>
      <c r="AL72" s="1076"/>
      <c r="AM72" s="1076"/>
      <c r="AN72" s="1076"/>
    </row>
    <row r="73" spans="1:40"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c r="V73" s="1085"/>
      <c r="W73" s="1085"/>
      <c r="X73" s="1085"/>
      <c r="Y73" s="1085"/>
      <c r="Z73" s="1085"/>
      <c r="AA73" s="1076"/>
      <c r="AB73" s="1076"/>
      <c r="AC73" s="1076"/>
      <c r="AD73" s="1076"/>
      <c r="AE73" s="1076"/>
      <c r="AF73" s="1076"/>
      <c r="AG73" s="1076"/>
      <c r="AH73" s="1076"/>
      <c r="AI73" s="1076"/>
      <c r="AJ73" s="1076"/>
      <c r="AK73" s="1076"/>
      <c r="AL73" s="1076"/>
      <c r="AM73" s="1076"/>
      <c r="AN73" s="1076"/>
    </row>
    <row r="74" spans="1:40"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c r="V74" s="1085"/>
      <c r="W74" s="1085"/>
      <c r="X74" s="1085"/>
      <c r="Y74" s="1085"/>
      <c r="Z74" s="1085"/>
      <c r="AA74" s="1076"/>
      <c r="AB74" s="1076"/>
      <c r="AC74" s="1076"/>
      <c r="AD74" s="1076"/>
      <c r="AE74" s="1076"/>
      <c r="AF74" s="1076"/>
      <c r="AG74" s="1076"/>
      <c r="AH74" s="1076"/>
      <c r="AI74" s="1076"/>
      <c r="AJ74" s="1076"/>
      <c r="AK74" s="1076"/>
      <c r="AL74" s="1076"/>
      <c r="AM74" s="1076"/>
      <c r="AN74" s="1076"/>
    </row>
    <row r="75" spans="1:40"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c r="V75" s="1085"/>
      <c r="W75" s="1085"/>
      <c r="X75" s="1085"/>
      <c r="Y75" s="1085"/>
      <c r="Z75" s="1085"/>
      <c r="AA75" s="1076"/>
      <c r="AB75" s="1076"/>
      <c r="AC75" s="1076"/>
      <c r="AD75" s="1076"/>
      <c r="AE75" s="1076"/>
      <c r="AF75" s="1076"/>
      <c r="AG75" s="1076"/>
      <c r="AH75" s="1076"/>
      <c r="AI75" s="1076"/>
      <c r="AJ75" s="1076"/>
      <c r="AK75" s="1076"/>
      <c r="AL75" s="1076"/>
      <c r="AM75" s="1076"/>
      <c r="AN75" s="1076"/>
    </row>
    <row r="76" spans="1:40"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c r="V76" s="1085"/>
      <c r="W76" s="1085"/>
      <c r="X76" s="1085"/>
      <c r="Y76" s="1085"/>
      <c r="Z76" s="1085"/>
      <c r="AA76" s="1076"/>
      <c r="AB76" s="1076"/>
      <c r="AC76" s="1076"/>
      <c r="AD76" s="1076"/>
      <c r="AE76" s="1076"/>
      <c r="AF76" s="1076"/>
      <c r="AG76" s="1076"/>
      <c r="AH76" s="1076"/>
      <c r="AI76" s="1076"/>
      <c r="AJ76" s="1076"/>
      <c r="AK76" s="1076"/>
      <c r="AL76" s="1076"/>
      <c r="AM76" s="1076"/>
      <c r="AN76" s="1076"/>
    </row>
    <row r="77" spans="1:40"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c r="V77" s="1085"/>
      <c r="W77" s="1085"/>
      <c r="X77" s="1085"/>
      <c r="Y77" s="1085"/>
      <c r="Z77" s="1085"/>
      <c r="AA77" s="1076"/>
      <c r="AB77" s="1076"/>
      <c r="AC77" s="1076"/>
      <c r="AD77" s="1076"/>
      <c r="AE77" s="1076"/>
      <c r="AF77" s="1076"/>
      <c r="AG77" s="1076"/>
      <c r="AH77" s="1076"/>
      <c r="AI77" s="1076"/>
      <c r="AJ77" s="1076"/>
      <c r="AK77" s="1076"/>
      <c r="AL77" s="1076"/>
      <c r="AM77" s="1076"/>
      <c r="AN77" s="1076"/>
    </row>
    <row r="78" spans="1:40"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c r="V78" s="1085"/>
      <c r="W78" s="1085"/>
      <c r="X78" s="1085"/>
      <c r="Y78" s="1085"/>
      <c r="Z78" s="1085"/>
      <c r="AA78" s="1076"/>
      <c r="AB78" s="1076"/>
      <c r="AC78" s="1076"/>
      <c r="AD78" s="1076"/>
      <c r="AE78" s="1076"/>
      <c r="AF78" s="1076"/>
      <c r="AG78" s="1076"/>
      <c r="AH78" s="1076"/>
      <c r="AI78" s="1076"/>
      <c r="AJ78" s="1076"/>
      <c r="AK78" s="1076"/>
      <c r="AL78" s="1076"/>
      <c r="AM78" s="1076"/>
      <c r="AN78" s="1076"/>
    </row>
    <row r="79" spans="1:40"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c r="V79" s="1085"/>
      <c r="W79" s="1085"/>
      <c r="X79" s="1085"/>
      <c r="Y79" s="1085"/>
      <c r="Z79" s="1085"/>
      <c r="AA79" s="1076"/>
      <c r="AB79" s="1076"/>
      <c r="AC79" s="1076"/>
      <c r="AD79" s="1076"/>
      <c r="AE79" s="1076"/>
      <c r="AF79" s="1076"/>
      <c r="AG79" s="1076"/>
      <c r="AH79" s="1076"/>
      <c r="AI79" s="1076"/>
      <c r="AJ79" s="1076"/>
      <c r="AK79" s="1076"/>
      <c r="AL79" s="1076"/>
      <c r="AM79" s="1076"/>
      <c r="AN79" s="1076"/>
    </row>
    <row r="80" spans="1:40"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c r="V80" s="1085"/>
      <c r="W80" s="1085"/>
      <c r="X80" s="1085"/>
      <c r="Y80" s="1085"/>
      <c r="Z80" s="1085"/>
      <c r="AA80" s="1076"/>
      <c r="AB80" s="1076"/>
      <c r="AC80" s="1076"/>
      <c r="AD80" s="1076"/>
      <c r="AE80" s="1076"/>
      <c r="AF80" s="1076"/>
      <c r="AG80" s="1076"/>
      <c r="AH80" s="1076"/>
      <c r="AI80" s="1076"/>
      <c r="AJ80" s="1076"/>
      <c r="AK80" s="1076"/>
      <c r="AL80" s="1076"/>
      <c r="AM80" s="1076"/>
      <c r="AN80" s="1076"/>
    </row>
    <row r="81" spans="1:40"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c r="V81" s="1085"/>
      <c r="W81" s="1085"/>
      <c r="X81" s="1085"/>
      <c r="Y81" s="1085"/>
      <c r="Z81" s="1085"/>
      <c r="AA81" s="1076"/>
      <c r="AB81" s="1076"/>
      <c r="AC81" s="1076"/>
      <c r="AD81" s="1076"/>
      <c r="AE81" s="1076"/>
      <c r="AF81" s="1076"/>
      <c r="AG81" s="1076"/>
      <c r="AH81" s="1076"/>
      <c r="AI81" s="1076"/>
      <c r="AJ81" s="1076"/>
      <c r="AK81" s="1076"/>
      <c r="AL81" s="1076"/>
      <c r="AM81" s="1076"/>
      <c r="AN81" s="1076"/>
    </row>
    <row r="82" spans="1:40"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c r="V82" s="1085"/>
      <c r="W82" s="1085"/>
      <c r="X82" s="1085"/>
      <c r="Y82" s="1085"/>
      <c r="Z82" s="1085"/>
      <c r="AA82" s="1076"/>
      <c r="AB82" s="1076"/>
      <c r="AC82" s="1076"/>
      <c r="AD82" s="1076"/>
      <c r="AE82" s="1076"/>
      <c r="AF82" s="1076"/>
      <c r="AG82" s="1076"/>
      <c r="AH82" s="1076"/>
      <c r="AI82" s="1076"/>
      <c r="AJ82" s="1076"/>
      <c r="AK82" s="1076"/>
      <c r="AL82" s="1076"/>
      <c r="AM82" s="1076"/>
      <c r="AN82" s="1076"/>
    </row>
    <row r="83" spans="1:40"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c r="V83" s="1085"/>
      <c r="W83" s="1085"/>
      <c r="X83" s="1085"/>
      <c r="Y83" s="1085"/>
      <c r="Z83" s="1085"/>
      <c r="AA83" s="1076"/>
      <c r="AB83" s="1076"/>
      <c r="AC83" s="1076"/>
      <c r="AD83" s="1076"/>
      <c r="AE83" s="1076"/>
      <c r="AF83" s="1076"/>
      <c r="AG83" s="1076"/>
      <c r="AH83" s="1076"/>
      <c r="AI83" s="1076"/>
      <c r="AJ83" s="1076"/>
      <c r="AK83" s="1076"/>
      <c r="AL83" s="1076"/>
      <c r="AM83" s="1076"/>
      <c r="AN83" s="1076"/>
    </row>
    <row r="84" spans="1:40"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c r="V84" s="1085"/>
      <c r="W84" s="1085"/>
      <c r="X84" s="1085"/>
      <c r="Y84" s="1085"/>
      <c r="Z84" s="1085"/>
      <c r="AA84" s="1076"/>
      <c r="AB84" s="1076"/>
      <c r="AC84" s="1076"/>
      <c r="AD84" s="1076"/>
      <c r="AE84" s="1076"/>
      <c r="AF84" s="1076"/>
      <c r="AG84" s="1076"/>
      <c r="AH84" s="1076"/>
      <c r="AI84" s="1076"/>
      <c r="AJ84" s="1076"/>
      <c r="AK84" s="1076"/>
      <c r="AL84" s="1076"/>
      <c r="AM84" s="1076"/>
      <c r="AN84" s="1076"/>
    </row>
    <row r="85" spans="1:40"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c r="V85" s="1085"/>
      <c r="W85" s="1085"/>
      <c r="X85" s="1085"/>
      <c r="Y85" s="1085"/>
      <c r="Z85" s="1085"/>
      <c r="AA85" s="1076"/>
      <c r="AB85" s="1076"/>
      <c r="AC85" s="1076"/>
      <c r="AD85" s="1076"/>
      <c r="AE85" s="1076"/>
      <c r="AF85" s="1076"/>
      <c r="AG85" s="1076"/>
      <c r="AH85" s="1076"/>
      <c r="AI85" s="1076"/>
      <c r="AJ85" s="1076"/>
      <c r="AK85" s="1076"/>
      <c r="AL85" s="1076"/>
      <c r="AM85" s="1076"/>
      <c r="AN85" s="1076"/>
    </row>
    <row r="86" spans="1:40"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c r="V86" s="1085"/>
      <c r="W86" s="1085"/>
      <c r="X86" s="1085"/>
      <c r="Y86" s="1085"/>
      <c r="Z86" s="1085"/>
      <c r="AA86" s="1076"/>
      <c r="AB86" s="1076"/>
      <c r="AC86" s="1076"/>
      <c r="AD86" s="1076"/>
      <c r="AE86" s="1076"/>
      <c r="AF86" s="1076"/>
      <c r="AG86" s="1076"/>
      <c r="AH86" s="1076"/>
      <c r="AI86" s="1076"/>
      <c r="AJ86" s="1076"/>
      <c r="AK86" s="1076"/>
      <c r="AL86" s="1076"/>
      <c r="AM86" s="1076"/>
      <c r="AN86" s="1076"/>
    </row>
    <row r="87" spans="1:40"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c r="V87" s="1085"/>
      <c r="W87" s="1085"/>
      <c r="X87" s="1085"/>
      <c r="Y87" s="1085"/>
      <c r="Z87" s="1085"/>
      <c r="AA87" s="1076"/>
      <c r="AB87" s="1076"/>
      <c r="AC87" s="1076"/>
      <c r="AD87" s="1076"/>
      <c r="AE87" s="1076"/>
      <c r="AF87" s="1076"/>
      <c r="AG87" s="1076"/>
      <c r="AH87" s="1076"/>
      <c r="AI87" s="1076"/>
      <c r="AJ87" s="1076"/>
      <c r="AK87" s="1076"/>
      <c r="AL87" s="1076"/>
      <c r="AM87" s="1076"/>
      <c r="AN87" s="1076"/>
    </row>
    <row r="88" spans="1:40"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c r="V88" s="1085"/>
      <c r="W88" s="1085"/>
      <c r="X88" s="1085"/>
      <c r="Y88" s="1085"/>
      <c r="Z88" s="1085"/>
      <c r="AA88" s="1076"/>
      <c r="AB88" s="1076"/>
      <c r="AC88" s="1076"/>
      <c r="AD88" s="1076"/>
      <c r="AE88" s="1076"/>
      <c r="AF88" s="1076"/>
      <c r="AG88" s="1076"/>
      <c r="AH88" s="1076"/>
      <c r="AI88" s="1076"/>
      <c r="AJ88" s="1076"/>
      <c r="AK88" s="1076"/>
      <c r="AL88" s="1076"/>
      <c r="AM88" s="1076"/>
      <c r="AN88" s="1076"/>
    </row>
    <row r="89" spans="1:40"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c r="V89" s="1085"/>
      <c r="W89" s="1085"/>
      <c r="X89" s="1085"/>
      <c r="Y89" s="1085"/>
      <c r="Z89" s="1085"/>
      <c r="AA89" s="1076"/>
      <c r="AB89" s="1076"/>
      <c r="AC89" s="1076"/>
      <c r="AD89" s="1076"/>
      <c r="AE89" s="1076"/>
      <c r="AF89" s="1076"/>
      <c r="AG89" s="1076"/>
      <c r="AH89" s="1076"/>
      <c r="AI89" s="1076"/>
      <c r="AJ89" s="1076"/>
      <c r="AK89" s="1076"/>
      <c r="AL89" s="1076"/>
      <c r="AM89" s="1076"/>
      <c r="AN89" s="1076"/>
    </row>
    <row r="90" spans="1:40"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c r="V90" s="1085"/>
      <c r="W90" s="1085"/>
      <c r="X90" s="1085"/>
      <c r="Y90" s="1085"/>
      <c r="Z90" s="1085"/>
      <c r="AA90" s="1076"/>
      <c r="AB90" s="1076"/>
      <c r="AC90" s="1076"/>
      <c r="AD90" s="1076"/>
      <c r="AE90" s="1076"/>
      <c r="AF90" s="1076"/>
      <c r="AG90" s="1076"/>
      <c r="AH90" s="1076"/>
      <c r="AI90" s="1076"/>
      <c r="AJ90" s="1076"/>
      <c r="AK90" s="1076"/>
      <c r="AL90" s="1076"/>
      <c r="AM90" s="1076"/>
      <c r="AN90" s="1076"/>
    </row>
    <row r="91" spans="1:40"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c r="V91" s="1085"/>
      <c r="W91" s="1085"/>
      <c r="X91" s="1085"/>
      <c r="Y91" s="1085"/>
      <c r="Z91" s="1085"/>
      <c r="AA91" s="1076"/>
      <c r="AB91" s="1076"/>
      <c r="AC91" s="1076"/>
      <c r="AD91" s="1076"/>
      <c r="AE91" s="1076"/>
      <c r="AF91" s="1076"/>
      <c r="AG91" s="1076"/>
      <c r="AH91" s="1076"/>
      <c r="AI91" s="1076"/>
      <c r="AJ91" s="1076"/>
      <c r="AK91" s="1076"/>
      <c r="AL91" s="1076"/>
      <c r="AM91" s="1076"/>
      <c r="AN91" s="1076"/>
    </row>
    <row r="92" spans="1:40"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c r="V92" s="1085"/>
      <c r="W92" s="1085"/>
      <c r="X92" s="1085"/>
      <c r="Y92" s="1085"/>
      <c r="Z92" s="1085"/>
      <c r="AA92" s="1076"/>
      <c r="AB92" s="1076"/>
      <c r="AC92" s="1076"/>
      <c r="AD92" s="1076"/>
      <c r="AE92" s="1076"/>
      <c r="AF92" s="1076"/>
      <c r="AG92" s="1076"/>
      <c r="AH92" s="1076"/>
      <c r="AI92" s="1076"/>
      <c r="AJ92" s="1076"/>
      <c r="AK92" s="1076"/>
      <c r="AL92" s="1076"/>
      <c r="AM92" s="1076"/>
      <c r="AN92" s="1076"/>
    </row>
    <row r="93" spans="1:40"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c r="V93" s="1085"/>
      <c r="W93" s="1085"/>
      <c r="X93" s="1085"/>
      <c r="Y93" s="1085"/>
      <c r="Z93" s="1085"/>
      <c r="AA93" s="1076"/>
      <c r="AB93" s="1076"/>
      <c r="AC93" s="1076"/>
      <c r="AD93" s="1076"/>
      <c r="AE93" s="1076"/>
      <c r="AF93" s="1076"/>
      <c r="AG93" s="1076"/>
      <c r="AH93" s="1076"/>
      <c r="AI93" s="1076"/>
      <c r="AJ93" s="1076"/>
      <c r="AK93" s="1076"/>
      <c r="AL93" s="1076"/>
      <c r="AM93" s="1076"/>
      <c r="AN93" s="1076"/>
    </row>
    <row r="94" spans="1:40"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c r="V94" s="1085"/>
      <c r="W94" s="1085"/>
      <c r="X94" s="1085"/>
      <c r="Y94" s="1085"/>
      <c r="Z94" s="1085"/>
      <c r="AA94" s="1076"/>
      <c r="AB94" s="1076"/>
      <c r="AC94" s="1076"/>
      <c r="AD94" s="1076"/>
      <c r="AE94" s="1076"/>
      <c r="AF94" s="1076"/>
      <c r="AG94" s="1076"/>
      <c r="AH94" s="1076"/>
      <c r="AI94" s="1076"/>
      <c r="AJ94" s="1076"/>
      <c r="AK94" s="1076"/>
      <c r="AL94" s="1076"/>
      <c r="AM94" s="1076"/>
      <c r="AN94" s="1076"/>
    </row>
    <row r="95" spans="1:40"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c r="V95" s="1085"/>
      <c r="W95" s="1085"/>
      <c r="X95" s="1085"/>
      <c r="Y95" s="1085"/>
      <c r="Z95" s="1085"/>
      <c r="AA95" s="1076"/>
      <c r="AB95" s="1076"/>
      <c r="AC95" s="1076"/>
      <c r="AD95" s="1076"/>
      <c r="AE95" s="1076"/>
      <c r="AF95" s="1076"/>
      <c r="AG95" s="1076"/>
      <c r="AH95" s="1076"/>
      <c r="AI95" s="1076"/>
      <c r="AJ95" s="1076"/>
      <c r="AK95" s="1076"/>
      <c r="AL95" s="1076"/>
      <c r="AM95" s="1076"/>
      <c r="AN95" s="1076"/>
    </row>
    <row r="96" spans="1:40"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c r="V96" s="1085"/>
      <c r="W96" s="1085"/>
      <c r="X96" s="1085"/>
      <c r="Y96" s="1085"/>
      <c r="Z96" s="1085"/>
      <c r="AA96" s="1076"/>
      <c r="AB96" s="1076"/>
      <c r="AC96" s="1076"/>
      <c r="AD96" s="1076"/>
      <c r="AE96" s="1076"/>
      <c r="AF96" s="1076"/>
      <c r="AG96" s="1076"/>
      <c r="AH96" s="1076"/>
      <c r="AI96" s="1076"/>
      <c r="AJ96" s="1076"/>
      <c r="AK96" s="1076"/>
      <c r="AL96" s="1076"/>
      <c r="AM96" s="1076"/>
      <c r="AN96" s="1076"/>
    </row>
    <row r="97" spans="1:40"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c r="V97" s="1085"/>
      <c r="W97" s="1085"/>
      <c r="X97" s="1085"/>
      <c r="Y97" s="1085"/>
      <c r="Z97" s="1085"/>
      <c r="AA97" s="1076"/>
      <c r="AB97" s="1076"/>
      <c r="AC97" s="1076"/>
      <c r="AD97" s="1076"/>
      <c r="AE97" s="1076"/>
      <c r="AF97" s="1076"/>
      <c r="AG97" s="1076"/>
      <c r="AH97" s="1076"/>
      <c r="AI97" s="1076"/>
      <c r="AJ97" s="1076"/>
      <c r="AK97" s="1076"/>
      <c r="AL97" s="1076"/>
      <c r="AM97" s="1076"/>
      <c r="AN97" s="1076"/>
    </row>
    <row r="98" spans="1:40"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c r="V98" s="1085"/>
      <c r="W98" s="1085"/>
      <c r="X98" s="1085"/>
      <c r="Y98" s="1085"/>
      <c r="Z98" s="1085"/>
      <c r="AA98" s="1076"/>
      <c r="AB98" s="1076"/>
      <c r="AC98" s="1076"/>
      <c r="AD98" s="1076"/>
      <c r="AE98" s="1076"/>
      <c r="AF98" s="1076"/>
      <c r="AG98" s="1076"/>
      <c r="AH98" s="1076"/>
      <c r="AI98" s="1076"/>
      <c r="AJ98" s="1076"/>
      <c r="AK98" s="1076"/>
      <c r="AL98" s="1076"/>
      <c r="AM98" s="1076"/>
      <c r="AN98" s="1076"/>
    </row>
    <row r="99" spans="1:40"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c r="V99" s="1085"/>
      <c r="W99" s="1085"/>
      <c r="X99" s="1085"/>
      <c r="Y99" s="1085"/>
      <c r="Z99" s="1085"/>
      <c r="AA99" s="1076"/>
      <c r="AB99" s="1076"/>
      <c r="AC99" s="1076"/>
      <c r="AD99" s="1076"/>
      <c r="AE99" s="1076"/>
      <c r="AF99" s="1076"/>
      <c r="AG99" s="1076"/>
      <c r="AH99" s="1076"/>
      <c r="AI99" s="1076"/>
      <c r="AJ99" s="1076"/>
      <c r="AK99" s="1076"/>
      <c r="AL99" s="1076"/>
      <c r="AM99" s="1076"/>
      <c r="AN99" s="1076"/>
    </row>
    <row r="100" spans="1:40"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c r="V100" s="1085"/>
      <c r="W100" s="1085"/>
      <c r="X100" s="1085"/>
      <c r="Y100" s="1085"/>
      <c r="Z100" s="1085"/>
      <c r="AA100" s="1076"/>
      <c r="AB100" s="1076"/>
      <c r="AC100" s="1076"/>
      <c r="AD100" s="1076"/>
      <c r="AE100" s="1076"/>
      <c r="AF100" s="1076"/>
      <c r="AG100" s="1076"/>
      <c r="AH100" s="1076"/>
      <c r="AI100" s="1076"/>
      <c r="AJ100" s="1076"/>
      <c r="AK100" s="1076"/>
      <c r="AL100" s="1076"/>
      <c r="AM100" s="1076"/>
      <c r="AN100" s="1076"/>
    </row>
    <row r="101" spans="1:40"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c r="V101" s="1085"/>
      <c r="W101" s="1085"/>
      <c r="X101" s="1085"/>
      <c r="Y101" s="1085"/>
      <c r="Z101" s="1085"/>
      <c r="AA101" s="1076"/>
      <c r="AB101" s="1076"/>
      <c r="AC101" s="1076"/>
      <c r="AD101" s="1076"/>
      <c r="AE101" s="1076"/>
      <c r="AF101" s="1076"/>
      <c r="AG101" s="1076"/>
      <c r="AH101" s="1076"/>
      <c r="AI101" s="1076"/>
      <c r="AJ101" s="1076"/>
      <c r="AK101" s="1076"/>
      <c r="AL101" s="1076"/>
      <c r="AM101" s="1076"/>
      <c r="AN101" s="1076"/>
    </row>
    <row r="102" spans="1:40"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c r="V102" s="1085"/>
      <c r="W102" s="1085"/>
      <c r="X102" s="1085"/>
      <c r="Y102" s="1085"/>
      <c r="Z102" s="1085"/>
      <c r="AA102" s="1076"/>
      <c r="AB102" s="1076"/>
      <c r="AC102" s="1076"/>
      <c r="AD102" s="1076"/>
      <c r="AE102" s="1076"/>
      <c r="AF102" s="1076"/>
      <c r="AG102" s="1076"/>
      <c r="AH102" s="1076"/>
      <c r="AI102" s="1076"/>
      <c r="AJ102" s="1076"/>
      <c r="AK102" s="1076"/>
      <c r="AL102" s="1076"/>
      <c r="AM102" s="1076"/>
      <c r="AN102" s="1076"/>
    </row>
    <row r="103" spans="1:40"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c r="V103" s="1085"/>
      <c r="W103" s="1085"/>
      <c r="X103" s="1085"/>
      <c r="Y103" s="1085"/>
      <c r="Z103" s="1085"/>
      <c r="AA103" s="1076"/>
      <c r="AB103" s="1076"/>
      <c r="AC103" s="1076"/>
      <c r="AD103" s="1076"/>
      <c r="AE103" s="1076"/>
      <c r="AF103" s="1076"/>
      <c r="AG103" s="1076"/>
      <c r="AH103" s="1076"/>
      <c r="AI103" s="1076"/>
      <c r="AJ103" s="1076"/>
      <c r="AK103" s="1076"/>
      <c r="AL103" s="1076"/>
      <c r="AM103" s="1076"/>
      <c r="AN103" s="1076"/>
    </row>
    <row r="104" spans="1:40"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c r="V104" s="1085"/>
      <c r="W104" s="1085"/>
      <c r="X104" s="1085"/>
      <c r="Y104" s="1085"/>
      <c r="Z104" s="1085"/>
      <c r="AA104" s="1076"/>
      <c r="AB104" s="1076"/>
      <c r="AC104" s="1076"/>
      <c r="AD104" s="1076"/>
      <c r="AE104" s="1076"/>
      <c r="AF104" s="1076"/>
      <c r="AG104" s="1076"/>
      <c r="AH104" s="1076"/>
      <c r="AI104" s="1076"/>
      <c r="AJ104" s="1076"/>
      <c r="AK104" s="1076"/>
      <c r="AL104" s="1076"/>
      <c r="AM104" s="1076"/>
      <c r="AN104" s="1076"/>
    </row>
    <row r="105" spans="1:40"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c r="V105" s="1085"/>
      <c r="W105" s="1085"/>
      <c r="X105" s="1085"/>
      <c r="Y105" s="1085"/>
      <c r="Z105" s="1085"/>
      <c r="AA105" s="1076"/>
      <c r="AB105" s="1076"/>
      <c r="AC105" s="1076"/>
      <c r="AD105" s="1076"/>
      <c r="AE105" s="1076"/>
      <c r="AF105" s="1076"/>
      <c r="AG105" s="1076"/>
      <c r="AH105" s="1076"/>
      <c r="AI105" s="1076"/>
      <c r="AJ105" s="1076"/>
      <c r="AK105" s="1076"/>
      <c r="AL105" s="1076"/>
      <c r="AM105" s="1076"/>
      <c r="AN105" s="1076"/>
    </row>
    <row r="106" spans="1:40"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c r="V106" s="1085"/>
      <c r="W106" s="1085"/>
      <c r="X106" s="1085"/>
      <c r="Y106" s="1085"/>
      <c r="Z106" s="1085"/>
      <c r="AA106" s="1076"/>
      <c r="AB106" s="1076"/>
      <c r="AC106" s="1076"/>
      <c r="AD106" s="1076"/>
      <c r="AE106" s="1076"/>
      <c r="AF106" s="1076"/>
      <c r="AG106" s="1076"/>
      <c r="AH106" s="1076"/>
      <c r="AI106" s="1076"/>
      <c r="AJ106" s="1076"/>
      <c r="AK106" s="1076"/>
      <c r="AL106" s="1076"/>
      <c r="AM106" s="1076"/>
      <c r="AN106" s="1076"/>
    </row>
    <row r="107" spans="1:40"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c r="V107" s="1085"/>
      <c r="W107" s="1085"/>
      <c r="X107" s="1085"/>
      <c r="Y107" s="1085"/>
      <c r="Z107" s="1085"/>
      <c r="AA107" s="1076"/>
      <c r="AB107" s="1076"/>
      <c r="AC107" s="1076"/>
      <c r="AD107" s="1076"/>
      <c r="AE107" s="1076"/>
      <c r="AF107" s="1076"/>
      <c r="AG107" s="1076"/>
      <c r="AH107" s="1076"/>
      <c r="AI107" s="1076"/>
      <c r="AJ107" s="1076"/>
      <c r="AK107" s="1076"/>
      <c r="AL107" s="1076"/>
      <c r="AM107" s="1076"/>
      <c r="AN107" s="1076"/>
    </row>
    <row r="108" spans="1:40"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c r="V108" s="1085"/>
      <c r="W108" s="1085"/>
      <c r="X108" s="1085"/>
      <c r="Y108" s="1085"/>
      <c r="Z108" s="1085"/>
      <c r="AA108" s="1076"/>
      <c r="AB108" s="1076"/>
      <c r="AC108" s="1076"/>
      <c r="AD108" s="1076"/>
      <c r="AE108" s="1076"/>
      <c r="AF108" s="1076"/>
      <c r="AG108" s="1076"/>
      <c r="AH108" s="1076"/>
      <c r="AI108" s="1076"/>
      <c r="AJ108" s="1076"/>
      <c r="AK108" s="1076"/>
      <c r="AL108" s="1076"/>
      <c r="AM108" s="1076"/>
      <c r="AN108" s="1076"/>
    </row>
    <row r="109" spans="1:40"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c r="V109" s="1085"/>
      <c r="W109" s="1085"/>
      <c r="X109" s="1085"/>
      <c r="Y109" s="1085"/>
      <c r="Z109" s="1085"/>
      <c r="AA109" s="1076"/>
      <c r="AB109" s="1076"/>
      <c r="AC109" s="1076"/>
      <c r="AD109" s="1076"/>
      <c r="AE109" s="1076"/>
      <c r="AF109" s="1076"/>
      <c r="AG109" s="1076"/>
      <c r="AH109" s="1076"/>
      <c r="AI109" s="1076"/>
      <c r="AJ109" s="1076"/>
      <c r="AK109" s="1076"/>
      <c r="AL109" s="1076"/>
      <c r="AM109" s="1076"/>
      <c r="AN109" s="1076"/>
    </row>
    <row r="110" spans="1:40"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c r="V110" s="1085"/>
      <c r="W110" s="1085"/>
      <c r="X110" s="1085"/>
      <c r="Y110" s="1085"/>
      <c r="Z110" s="1085"/>
      <c r="AA110" s="1076"/>
      <c r="AB110" s="1076"/>
      <c r="AC110" s="1076"/>
      <c r="AD110" s="1076"/>
      <c r="AE110" s="1076"/>
      <c r="AF110" s="1076"/>
      <c r="AG110" s="1076"/>
      <c r="AH110" s="1076"/>
      <c r="AI110" s="1076"/>
      <c r="AJ110" s="1076"/>
      <c r="AK110" s="1076"/>
      <c r="AL110" s="1076"/>
      <c r="AM110" s="1076"/>
      <c r="AN110" s="1076"/>
    </row>
    <row r="111" spans="1:40"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c r="V111" s="1085"/>
      <c r="W111" s="1085"/>
      <c r="X111" s="1085"/>
      <c r="Y111" s="1085"/>
      <c r="Z111" s="1085"/>
      <c r="AA111" s="1076"/>
      <c r="AB111" s="1076"/>
      <c r="AC111" s="1076"/>
      <c r="AD111" s="1076"/>
      <c r="AE111" s="1076"/>
      <c r="AF111" s="1076"/>
      <c r="AG111" s="1076"/>
      <c r="AH111" s="1076"/>
      <c r="AI111" s="1076"/>
      <c r="AJ111" s="1076"/>
      <c r="AK111" s="1076"/>
      <c r="AL111" s="1076"/>
      <c r="AM111" s="1076"/>
      <c r="AN111" s="1076"/>
    </row>
    <row r="112" spans="1:40"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c r="V112" s="1085"/>
      <c r="W112" s="1085"/>
      <c r="X112" s="1085"/>
      <c r="Y112" s="1085"/>
      <c r="Z112" s="1085"/>
      <c r="AA112" s="1076"/>
      <c r="AB112" s="1076"/>
      <c r="AC112" s="1076"/>
      <c r="AD112" s="1076"/>
      <c r="AE112" s="1076"/>
      <c r="AF112" s="1076"/>
      <c r="AG112" s="1076"/>
      <c r="AH112" s="1076"/>
      <c r="AI112" s="1076"/>
      <c r="AJ112" s="1076"/>
      <c r="AK112" s="1076"/>
      <c r="AL112" s="1076"/>
      <c r="AM112" s="1076"/>
      <c r="AN112" s="1076"/>
    </row>
    <row r="113" spans="1:40"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c r="V113" s="1085"/>
      <c r="W113" s="1085"/>
      <c r="X113" s="1085"/>
      <c r="Y113" s="1085"/>
      <c r="Z113" s="1085"/>
      <c r="AA113" s="1076"/>
      <c r="AB113" s="1076"/>
      <c r="AC113" s="1076"/>
      <c r="AD113" s="1076"/>
      <c r="AE113" s="1076"/>
      <c r="AF113" s="1076"/>
      <c r="AG113" s="1076"/>
      <c r="AH113" s="1076"/>
      <c r="AI113" s="1076"/>
      <c r="AJ113" s="1076"/>
      <c r="AK113" s="1076"/>
      <c r="AL113" s="1076"/>
      <c r="AM113" s="1076"/>
      <c r="AN113" s="1076"/>
    </row>
    <row r="114" spans="1:40"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c r="V114" s="1085"/>
      <c r="W114" s="1085"/>
      <c r="X114" s="1085"/>
      <c r="Y114" s="1085"/>
      <c r="Z114" s="1085"/>
      <c r="AA114" s="1076"/>
      <c r="AB114" s="1076"/>
      <c r="AC114" s="1076"/>
      <c r="AD114" s="1076"/>
      <c r="AE114" s="1076"/>
      <c r="AF114" s="1076"/>
      <c r="AG114" s="1076"/>
      <c r="AH114" s="1076"/>
      <c r="AI114" s="1076"/>
      <c r="AJ114" s="1076"/>
      <c r="AK114" s="1076"/>
      <c r="AL114" s="1076"/>
      <c r="AM114" s="1076"/>
      <c r="AN114" s="1076"/>
    </row>
    <row r="115" spans="1:40"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c r="V115" s="1085"/>
      <c r="W115" s="1085"/>
      <c r="X115" s="1085"/>
      <c r="Y115" s="1085"/>
      <c r="Z115" s="1085"/>
      <c r="AA115" s="1076"/>
      <c r="AB115" s="1076"/>
      <c r="AC115" s="1076"/>
      <c r="AD115" s="1076"/>
      <c r="AE115" s="1076"/>
      <c r="AF115" s="1076"/>
      <c r="AG115" s="1076"/>
      <c r="AH115" s="1076"/>
      <c r="AI115" s="1076"/>
      <c r="AJ115" s="1076"/>
      <c r="AK115" s="1076"/>
      <c r="AL115" s="1076"/>
      <c r="AM115" s="1076"/>
      <c r="AN115" s="1076"/>
    </row>
    <row r="116" spans="1:40"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c r="V116" s="1085"/>
      <c r="W116" s="1085"/>
      <c r="X116" s="1085"/>
      <c r="Y116" s="1085"/>
      <c r="Z116" s="1085"/>
      <c r="AA116" s="1076"/>
      <c r="AB116" s="1076"/>
      <c r="AC116" s="1076"/>
      <c r="AD116" s="1076"/>
      <c r="AE116" s="1076"/>
      <c r="AF116" s="1076"/>
      <c r="AG116" s="1076"/>
      <c r="AH116" s="1076"/>
      <c r="AI116" s="1076"/>
      <c r="AJ116" s="1076"/>
      <c r="AK116" s="1076"/>
      <c r="AL116" s="1076"/>
      <c r="AM116" s="1076"/>
      <c r="AN116" s="1076"/>
    </row>
    <row r="117" spans="1:40"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c r="V117" s="1085"/>
      <c r="W117" s="1085"/>
      <c r="X117" s="1085"/>
      <c r="Y117" s="1085"/>
      <c r="Z117" s="1085"/>
      <c r="AA117" s="1076"/>
      <c r="AB117" s="1076"/>
      <c r="AC117" s="1076"/>
      <c r="AD117" s="1076"/>
      <c r="AE117" s="1076"/>
      <c r="AF117" s="1076"/>
      <c r="AG117" s="1076"/>
      <c r="AH117" s="1076"/>
      <c r="AI117" s="1076"/>
      <c r="AJ117" s="1076"/>
      <c r="AK117" s="1076"/>
      <c r="AL117" s="1076"/>
      <c r="AM117" s="1076"/>
      <c r="AN117" s="1076"/>
    </row>
    <row r="118" spans="1:40"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c r="V118" s="1085"/>
      <c r="W118" s="1085"/>
      <c r="X118" s="1085"/>
      <c r="Y118" s="1085"/>
      <c r="Z118" s="1085"/>
      <c r="AA118" s="1076"/>
      <c r="AB118" s="1076"/>
      <c r="AC118" s="1076"/>
      <c r="AD118" s="1076"/>
      <c r="AE118" s="1076"/>
      <c r="AF118" s="1076"/>
      <c r="AG118" s="1076"/>
      <c r="AH118" s="1076"/>
      <c r="AI118" s="1076"/>
      <c r="AJ118" s="1076"/>
      <c r="AK118" s="1076"/>
      <c r="AL118" s="1076"/>
      <c r="AM118" s="1076"/>
      <c r="AN118" s="1076"/>
    </row>
    <row r="119" spans="1:40"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c r="V119" s="1085"/>
      <c r="W119" s="1085"/>
      <c r="X119" s="1085"/>
      <c r="Y119" s="1085"/>
      <c r="Z119" s="1085"/>
      <c r="AA119" s="1076"/>
      <c r="AB119" s="1076"/>
      <c r="AC119" s="1076"/>
      <c r="AD119" s="1076"/>
      <c r="AE119" s="1076"/>
      <c r="AF119" s="1076"/>
      <c r="AG119" s="1076"/>
      <c r="AH119" s="1076"/>
      <c r="AI119" s="1076"/>
      <c r="AJ119" s="1076"/>
      <c r="AK119" s="1076"/>
      <c r="AL119" s="1076"/>
      <c r="AM119" s="1076"/>
      <c r="AN119" s="1076"/>
    </row>
    <row r="120" spans="1:40"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c r="V120" s="1085"/>
      <c r="W120" s="1085"/>
      <c r="X120" s="1085"/>
      <c r="Y120" s="1085"/>
      <c r="Z120" s="1085"/>
      <c r="AA120" s="1076"/>
      <c r="AB120" s="1076"/>
      <c r="AC120" s="1076"/>
      <c r="AD120" s="1076"/>
      <c r="AE120" s="1076"/>
      <c r="AF120" s="1076"/>
      <c r="AG120" s="1076"/>
      <c r="AH120" s="1076"/>
      <c r="AI120" s="1076"/>
      <c r="AJ120" s="1076"/>
      <c r="AK120" s="1076"/>
      <c r="AL120" s="1076"/>
      <c r="AM120" s="1076"/>
      <c r="AN120" s="1076"/>
    </row>
    <row r="121" spans="1:40"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c r="V121" s="1085"/>
      <c r="W121" s="1085"/>
      <c r="X121" s="1085"/>
      <c r="Y121" s="1085"/>
      <c r="Z121" s="1085"/>
      <c r="AA121" s="1076"/>
      <c r="AB121" s="1076"/>
      <c r="AC121" s="1076"/>
      <c r="AD121" s="1076"/>
      <c r="AE121" s="1076"/>
      <c r="AF121" s="1076"/>
      <c r="AG121" s="1076"/>
      <c r="AH121" s="1076"/>
      <c r="AI121" s="1076"/>
      <c r="AJ121" s="1076"/>
      <c r="AK121" s="1076"/>
      <c r="AL121" s="1076"/>
      <c r="AM121" s="1076"/>
      <c r="AN121" s="1076"/>
    </row>
    <row r="122" spans="1:40"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c r="V122" s="1085"/>
      <c r="W122" s="1085"/>
      <c r="X122" s="1085"/>
      <c r="Y122" s="1085"/>
      <c r="Z122" s="1085"/>
      <c r="AA122" s="1076"/>
      <c r="AB122" s="1076"/>
      <c r="AC122" s="1076"/>
      <c r="AD122" s="1076"/>
      <c r="AE122" s="1076"/>
      <c r="AF122" s="1076"/>
      <c r="AG122" s="1076"/>
      <c r="AH122" s="1076"/>
      <c r="AI122" s="1076"/>
      <c r="AJ122" s="1076"/>
      <c r="AK122" s="1076"/>
      <c r="AL122" s="1076"/>
      <c r="AM122" s="1076"/>
      <c r="AN122" s="1076"/>
    </row>
    <row r="123" spans="1:40" x14ac:dyDescent="0.2">
      <c r="B123" s="1082"/>
      <c r="C123" s="1084"/>
      <c r="D123" s="1084"/>
      <c r="E123" s="1082"/>
      <c r="F123" s="1082"/>
      <c r="G123" s="1081"/>
      <c r="H123" s="1083"/>
      <c r="I123" s="1081"/>
      <c r="J123" s="1082"/>
      <c r="K123" s="1081"/>
      <c r="L123" s="1080"/>
      <c r="M123" s="1079"/>
      <c r="N123" s="1077"/>
      <c r="O123" s="1078"/>
      <c r="P123" s="1077"/>
      <c r="Q123" s="1077"/>
      <c r="R123" s="1077"/>
      <c r="S123" s="1077"/>
      <c r="T123" s="1077"/>
      <c r="U123" s="1076"/>
      <c r="V123" s="1076"/>
      <c r="W123" s="1076"/>
      <c r="X123" s="1076"/>
      <c r="Y123" s="1076"/>
      <c r="Z123" s="1076"/>
      <c r="AA123" s="1076"/>
      <c r="AB123" s="1076"/>
      <c r="AC123" s="1076"/>
      <c r="AD123" s="1076"/>
      <c r="AE123" s="1076"/>
      <c r="AF123" s="1076"/>
      <c r="AG123" s="1076"/>
      <c r="AH123" s="1076"/>
      <c r="AI123" s="1076"/>
      <c r="AJ123" s="1076"/>
      <c r="AK123" s="1076"/>
      <c r="AL123" s="1076"/>
      <c r="AM123" s="1076"/>
      <c r="AN123" s="1076"/>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2" hidden="1" customWidth="1" outlineLevel="1"/>
    <col min="2" max="2" width="5" style="1302" hidden="1" customWidth="1" outlineLevel="1"/>
    <col min="3" max="3" width="10" style="1302" hidden="1" customWidth="1" outlineLevel="1"/>
    <col min="4" max="4" width="6" style="1302" hidden="1" customWidth="1" outlineLevel="1"/>
    <col min="5" max="5" width="3" style="1302" hidden="1" customWidth="1" outlineLevel="1"/>
    <col min="6" max="6" width="4" style="1302" hidden="1" customWidth="1" outlineLevel="1"/>
    <col min="7" max="7" width="5" style="1302" hidden="1" customWidth="1" outlineLevel="1"/>
    <col min="8" max="8" width="6" style="1302" hidden="1" customWidth="1" outlineLevel="1"/>
    <col min="9" max="9" width="2.7109375" style="1302" customWidth="1" collapsed="1"/>
    <col min="10" max="10" width="2.7109375" style="1302" customWidth="1"/>
    <col min="11" max="11" width="14.140625" style="1302" bestFit="1" customWidth="1"/>
    <col min="12" max="12" width="18.28515625" style="1302" bestFit="1" customWidth="1"/>
    <col min="13" max="13" width="13.140625" style="1302" bestFit="1" customWidth="1"/>
    <col min="14" max="15" width="7" style="1302" hidden="1" customWidth="1" outlineLevel="1"/>
    <col min="16" max="16" width="20.28515625" style="1302" hidden="1" customWidth="1" outlineLevel="1"/>
    <col min="17" max="17" width="20.28515625" style="1302" bestFit="1" customWidth="1" collapsed="1"/>
    <col min="18" max="18" width="2" style="1302" bestFit="1" customWidth="1"/>
    <col min="19" max="19" width="2.7109375" style="1302" customWidth="1"/>
    <col min="20" max="20" width="18.28515625" style="1302" bestFit="1" customWidth="1"/>
    <col min="21" max="21" width="26.5703125" style="1302" bestFit="1" customWidth="1"/>
    <col min="22" max="16384" width="9.28515625" style="1302"/>
  </cols>
  <sheetData>
    <row r="1" spans="1:24" ht="12" thickBot="1" x14ac:dyDescent="0.25">
      <c r="J1" s="1303"/>
      <c r="K1" s="1303"/>
      <c r="L1" s="1303"/>
      <c r="M1" s="1303"/>
      <c r="N1" s="1303"/>
      <c r="O1" s="1303"/>
      <c r="P1" s="1303"/>
      <c r="Q1" s="1303"/>
      <c r="R1" s="1303"/>
      <c r="S1" s="1303"/>
      <c r="T1" s="1303"/>
      <c r="U1" s="1303"/>
    </row>
    <row r="2" spans="1:24" ht="15" x14ac:dyDescent="0.25">
      <c r="J2" s="1327"/>
      <c r="K2" s="1359"/>
      <c r="L2" s="1359"/>
      <c r="M2" s="1359"/>
      <c r="N2" s="1359"/>
      <c r="O2" s="1359"/>
      <c r="P2" s="1359"/>
      <c r="Q2" s="1359"/>
      <c r="R2" s="1325" t="s">
        <v>148</v>
      </c>
      <c r="S2" s="1303"/>
      <c r="T2" s="1352" t="s">
        <v>239</v>
      </c>
      <c r="U2" s="1358"/>
      <c r="W2" s="1360" t="s">
        <v>529</v>
      </c>
      <c r="X2" s="1363" t="e">
        <f ca="1">_xll.ohTrigger(GeneralSettings_4!Trigger2)</f>
        <v>#NAME?</v>
      </c>
    </row>
    <row r="3" spans="1:24" ht="17.25" thickBot="1" x14ac:dyDescent="0.3">
      <c r="J3" s="1312"/>
      <c r="K3" s="1346" t="s">
        <v>528</v>
      </c>
      <c r="L3" s="1345"/>
      <c r="M3" s="1345"/>
      <c r="N3" s="1345"/>
      <c r="O3" s="1345"/>
      <c r="P3" s="1345"/>
      <c r="Q3" s="1344"/>
      <c r="R3" s="1307" t="s">
        <v>148</v>
      </c>
      <c r="S3" s="1303"/>
      <c r="T3" s="1303"/>
      <c r="U3" s="1303"/>
      <c r="W3" s="1361" t="s">
        <v>530</v>
      </c>
      <c r="X3" s="1364" t="e">
        <f ca="1">_xll.ohTrigger(M12:M17)</f>
        <v>#NAME?</v>
      </c>
    </row>
    <row r="4" spans="1:24" x14ac:dyDescent="0.2">
      <c r="A4" s="1357" t="s">
        <v>230</v>
      </c>
      <c r="B4" s="1356" t="s">
        <v>92</v>
      </c>
      <c r="C4" s="1356" t="s">
        <v>527</v>
      </c>
      <c r="D4" s="1356" t="s">
        <v>526</v>
      </c>
      <c r="E4" s="1356" t="s">
        <v>21</v>
      </c>
      <c r="F4" s="1356" t="s">
        <v>66</v>
      </c>
      <c r="G4" s="1356" t="s">
        <v>124</v>
      </c>
      <c r="H4" s="1355" t="s">
        <v>225</v>
      </c>
      <c r="J4" s="1312"/>
      <c r="K4" s="1343" t="s">
        <v>12</v>
      </c>
      <c r="L4" s="1342" t="s">
        <v>525</v>
      </c>
      <c r="M4" s="1342" t="s">
        <v>524</v>
      </c>
      <c r="N4" s="1342"/>
      <c r="O4" s="1342"/>
      <c r="P4" s="1342"/>
      <c r="Q4" s="1341" t="s">
        <v>498</v>
      </c>
      <c r="R4" s="1307" t="s">
        <v>148</v>
      </c>
      <c r="S4" s="1303"/>
      <c r="T4" s="1352" t="s">
        <v>231</v>
      </c>
      <c r="U4" s="1351" t="s">
        <v>230</v>
      </c>
    </row>
    <row r="5" spans="1:24" x14ac:dyDescent="0.2">
      <c r="A5" s="1338" t="s">
        <v>523</v>
      </c>
      <c r="B5" s="1337" t="s">
        <v>127</v>
      </c>
      <c r="C5" s="1337" t="s">
        <v>494</v>
      </c>
      <c r="D5" s="1337" t="s">
        <v>522</v>
      </c>
      <c r="E5" s="1337" t="s">
        <v>521</v>
      </c>
      <c r="F5" s="1337" t="s">
        <v>520</v>
      </c>
      <c r="G5" s="1337" t="s">
        <v>124</v>
      </c>
      <c r="H5" s="1336" t="s">
        <v>487</v>
      </c>
      <c r="J5" s="1312"/>
      <c r="K5" s="1316" t="str">
        <f>VLOOKUP(Currency,FuturesTable,3,0)</f>
        <v>FGBLc1</v>
      </c>
      <c r="L5" s="1315">
        <v>41981</v>
      </c>
      <c r="M5" s="1354">
        <v>151.02000000000001</v>
      </c>
      <c r="N5" s="1354"/>
      <c r="O5" s="1354"/>
      <c r="P5" s="1354"/>
      <c r="Q5" s="1353" t="e">
        <f ca="1">_xll.RData(K5,{"EXPIR_DATE","LAST"},,"FRQ:1S",,L5)</f>
        <v>#NAME?</v>
      </c>
      <c r="R5" s="1307" t="s">
        <v>148</v>
      </c>
      <c r="S5" s="1303"/>
      <c r="T5" s="1352" t="s">
        <v>519</v>
      </c>
      <c r="U5" s="1351" t="e">
        <f ca="1">_xll.ohBoostVersion(Trigger)&amp;" / "&amp;_xll.ohVersion(Trigger)&amp;" / "&amp;_xll.qlVersion(Trigger)</f>
        <v>#NAME?</v>
      </c>
    </row>
    <row r="6" spans="1:24" x14ac:dyDescent="0.2">
      <c r="A6" s="1338" t="s">
        <v>518</v>
      </c>
      <c r="B6" s="1337" t="s">
        <v>92</v>
      </c>
      <c r="C6" s="1337" t="s">
        <v>517</v>
      </c>
      <c r="D6" s="1337" t="s">
        <v>516</v>
      </c>
      <c r="E6" s="1337" t="s">
        <v>508</v>
      </c>
      <c r="F6" s="1337" t="s">
        <v>121</v>
      </c>
      <c r="G6" s="1337" t="s">
        <v>124</v>
      </c>
      <c r="H6" s="1336" t="s">
        <v>487</v>
      </c>
      <c r="J6" s="1350"/>
      <c r="K6" s="1322" t="e">
        <f ca="1">D14</f>
        <v>#NAME?</v>
      </c>
      <c r="L6" s="1321">
        <v>42170</v>
      </c>
      <c r="M6" s="1348">
        <v>99.915000000000006</v>
      </c>
      <c r="N6" s="1348"/>
      <c r="O6" s="1348"/>
      <c r="P6" s="1348"/>
      <c r="Q6" s="1347" t="e">
        <f ca="1">_xll.RData(K6,{"EXPIR_DATE","LAST"},,"FRQ:1S",,L6)</f>
        <v>#NAME?</v>
      </c>
      <c r="R6" s="1307" t="s">
        <v>148</v>
      </c>
      <c r="S6" s="1303"/>
      <c r="T6" s="1352" t="s">
        <v>515</v>
      </c>
      <c r="U6" s="1351" t="e">
        <f ca="1">_xll.ohRepositoryObjectCount(Trigger)</f>
        <v>#NAME?</v>
      </c>
    </row>
    <row r="7" spans="1:24" x14ac:dyDescent="0.2">
      <c r="A7" s="1338" t="s">
        <v>514</v>
      </c>
      <c r="B7" s="1337" t="s">
        <v>127</v>
      </c>
      <c r="C7" s="1337" t="s">
        <v>494</v>
      </c>
      <c r="D7" s="1337" t="s">
        <v>513</v>
      </c>
      <c r="E7" s="1337" t="s">
        <v>493</v>
      </c>
      <c r="F7" s="1337" t="s">
        <v>492</v>
      </c>
      <c r="G7" s="1337" t="s">
        <v>512</v>
      </c>
      <c r="H7" s="1336" t="s">
        <v>490</v>
      </c>
      <c r="J7" s="1350"/>
      <c r="K7" s="1322" t="str">
        <f>Currency&amp;VLOOKUP(Currency,FuturesTable,5,0)&amp;VLOOKUP(Currency,FuturesTable,6,0)&amp;"10Y"</f>
        <v>EURAB6E10Y</v>
      </c>
      <c r="L7" s="1321">
        <v>41932</v>
      </c>
      <c r="M7" s="1349" t="str">
        <f>N7&amp;"/"&amp;O7</f>
        <v>1.06/1.1</v>
      </c>
      <c r="N7" s="1348">
        <v>1.06</v>
      </c>
      <c r="O7" s="1348">
        <v>1.1000000000000001</v>
      </c>
      <c r="P7" s="1348" t="e">
        <f ca="1">_xll.RData(K7&amp;"="&amp;VLOOKUP(Currency,FuturesTable,7,0),{"BID","ASK"},,"FRQ:1S",,N7)</f>
        <v>#NAME?</v>
      </c>
      <c r="Q7" s="1347" t="e">
        <f ca="1">_xll.RData(K7&amp;"="&amp;VLOOKUP(Currency,FuturesTable,7,0),"VALUE_DT1",,"FRQ:1S",,L7)</f>
        <v>#NAME?</v>
      </c>
      <c r="R7" s="1307" t="s">
        <v>148</v>
      </c>
      <c r="S7" s="1303"/>
      <c r="T7" s="1303"/>
      <c r="U7" s="1303"/>
    </row>
    <row r="8" spans="1:24" ht="16.5" x14ac:dyDescent="0.2">
      <c r="A8" s="1338" t="s">
        <v>511</v>
      </c>
      <c r="B8" s="1337" t="s">
        <v>92</v>
      </c>
      <c r="C8" s="1337" t="s">
        <v>510</v>
      </c>
      <c r="D8" s="1337" t="s">
        <v>509</v>
      </c>
      <c r="E8" s="1337" t="s">
        <v>508</v>
      </c>
      <c r="F8" s="1337" t="s">
        <v>121</v>
      </c>
      <c r="G8" s="1337" t="s">
        <v>124</v>
      </c>
      <c r="H8" s="1336" t="s">
        <v>487</v>
      </c>
      <c r="J8" s="1312"/>
      <c r="K8" s="1346" t="s">
        <v>507</v>
      </c>
      <c r="L8" s="1345"/>
      <c r="M8" s="1345"/>
      <c r="N8" s="1345"/>
      <c r="O8" s="1345"/>
      <c r="P8" s="1345"/>
      <c r="Q8" s="1344"/>
      <c r="R8" s="1307" t="s">
        <v>148</v>
      </c>
      <c r="S8" s="1303"/>
      <c r="T8" s="1303"/>
      <c r="U8" s="1303"/>
    </row>
    <row r="9" spans="1:24" x14ac:dyDescent="0.2">
      <c r="A9" s="1338" t="s">
        <v>506</v>
      </c>
      <c r="B9" s="1337" t="s">
        <v>92</v>
      </c>
      <c r="C9" s="1337" t="s">
        <v>494</v>
      </c>
      <c r="D9" s="1337" t="s">
        <v>505</v>
      </c>
      <c r="E9" s="1337" t="s">
        <v>504</v>
      </c>
      <c r="F9" s="1337" t="s">
        <v>503</v>
      </c>
      <c r="G9" s="1337" t="s">
        <v>502</v>
      </c>
      <c r="H9" s="1336" t="s">
        <v>501</v>
      </c>
      <c r="J9" s="1312"/>
      <c r="K9" s="1343" t="s">
        <v>427</v>
      </c>
      <c r="L9" s="1342" t="s">
        <v>500</v>
      </c>
      <c r="M9" s="1342" t="s">
        <v>499</v>
      </c>
      <c r="N9" s="1342"/>
      <c r="O9" s="1342"/>
      <c r="P9" s="1342"/>
      <c r="Q9" s="1341" t="s">
        <v>498</v>
      </c>
      <c r="R9" s="1307" t="s">
        <v>148</v>
      </c>
      <c r="S9" s="1303"/>
      <c r="T9" s="1303"/>
      <c r="U9" s="1303"/>
    </row>
    <row r="10" spans="1:24" x14ac:dyDescent="0.2">
      <c r="A10" s="1338" t="s">
        <v>497</v>
      </c>
      <c r="B10" s="1337" t="s">
        <v>127</v>
      </c>
      <c r="C10" s="1337" t="s">
        <v>494</v>
      </c>
      <c r="D10" s="1337" t="s">
        <v>68</v>
      </c>
      <c r="E10" s="1337" t="s">
        <v>493</v>
      </c>
      <c r="F10" s="1337" t="s">
        <v>98</v>
      </c>
      <c r="G10" s="1337" t="s">
        <v>491</v>
      </c>
      <c r="H10" s="1336" t="s">
        <v>496</v>
      </c>
      <c r="J10" s="1312"/>
      <c r="K10" s="1316" t="str">
        <f>PROPER(Currency)&amp;VLOOKUP(Currency,FuturesTable,8,0)&amp;VLOOKUP(Currency,FuturesTable,2,0)</f>
        <v>Euribor6M</v>
      </c>
      <c r="L10" s="1315" t="e">
        <f ca="1">_xll.qlCalendarAdvance("TARGET",L11,"-1M","f",,Trigger)</f>
        <v>#NAME?</v>
      </c>
      <c r="M10" s="1340" t="e">
        <f ca="1">_xll.qlIndexFixing(FirstIndex,L10,,Trigger)</f>
        <v>#NAME?</v>
      </c>
      <c r="N10" s="1340"/>
      <c r="O10" s="1340"/>
      <c r="P10" s="1340"/>
      <c r="Q10" s="1339" t="e">
        <f ca="1">IF(AND(ISERROR(L10),ISERROR(M10)),_xll.ohRangeRetrieveError(L10)&amp;" "&amp;_xll.ohRangeRetrieveError(M10),IF(ISERROR(L10),_xll.ohRangeRetrieveError(L10),_xll.ohRangeRetrieveError(M10)))</f>
        <v>#NAME?</v>
      </c>
      <c r="R10" s="1307" t="s">
        <v>148</v>
      </c>
      <c r="S10" s="1303"/>
      <c r="T10" s="1303"/>
      <c r="U10" s="1303"/>
    </row>
    <row r="11" spans="1:24" x14ac:dyDescent="0.2">
      <c r="A11" s="1338" t="s">
        <v>495</v>
      </c>
      <c r="B11" s="1337" t="s">
        <v>127</v>
      </c>
      <c r="C11" s="1337" t="s">
        <v>494</v>
      </c>
      <c r="D11" s="1337" t="s">
        <v>68</v>
      </c>
      <c r="E11" s="1337" t="s">
        <v>493</v>
      </c>
      <c r="F11" s="1337" t="s">
        <v>492</v>
      </c>
      <c r="G11" s="1337" t="s">
        <v>491</v>
      </c>
      <c r="H11" s="1336" t="s">
        <v>490</v>
      </c>
      <c r="J11" s="1312"/>
      <c r="K11" s="1311"/>
      <c r="L11" s="1310" t="e">
        <f ca="1">_xll.qlLastFixingQuoteReferenceDate(FirstIndex&amp;"LastFixing_Quote",Trigger)</f>
        <v>#NAME?</v>
      </c>
      <c r="M11" s="1335" t="e">
        <f ca="1">_xll.qlQuoteValue(FirstIndex&amp;"LastFixing_Quote",Trigger)</f>
        <v>#NAME?</v>
      </c>
      <c r="N11" s="1335"/>
      <c r="O11" s="1335"/>
      <c r="P11" s="1335"/>
      <c r="Q11" s="1334" t="e">
        <f ca="1">IF(AND(ISERROR(L11),ISERROR(M11)),_xll.ohRangeRetrieveError(L11)&amp;" "&amp;_xll.ohRangeRetrieveError(M11),IF(ISERROR(L11),_xll.ohRangeRetrieveError(L11),_xll.ohRangeRetrieveError(M11)))</f>
        <v>#NAME?</v>
      </c>
      <c r="R11" s="1307"/>
      <c r="S11" s="1303"/>
      <c r="T11" s="1303"/>
      <c r="U11" s="1303"/>
    </row>
    <row r="12" spans="1:24" ht="12" thickBot="1" x14ac:dyDescent="0.25">
      <c r="A12" s="1333" t="s">
        <v>489</v>
      </c>
      <c r="B12" s="1332"/>
      <c r="C12" s="1331"/>
      <c r="D12" s="1330" t="s">
        <v>488</v>
      </c>
      <c r="E12" s="1330" t="s">
        <v>21</v>
      </c>
      <c r="F12" s="1330" t="s">
        <v>121</v>
      </c>
      <c r="G12" s="1330"/>
      <c r="H12" s="1329" t="s">
        <v>487</v>
      </c>
      <c r="J12" s="1312"/>
      <c r="K12" s="1322" t="str">
        <f>UPPER(Currency)&amp;"STD"</f>
        <v>EURSTD</v>
      </c>
      <c r="L12" s="1321" t="e">
        <f ca="1">_xll.qlTermStructureReferenceDate(K12,Trigger)</f>
        <v>#NAME?</v>
      </c>
      <c r="M12" s="1320" t="e">
        <f ca="1">_xll.qlYieldTSDiscount(K12,L12)</f>
        <v>#NAME?</v>
      </c>
      <c r="N12" s="1320"/>
      <c r="O12" s="1320"/>
      <c r="P12" s="1320"/>
      <c r="Q12" s="1328" t="e">
        <f ca="1">IF(ISERROR(L12),_xll.ohRangeRetrieveError(L12),_xll.ohRangeRetrieveError(M12))</f>
        <v>#NAME?</v>
      </c>
      <c r="R12" s="1307" t="s">
        <v>148</v>
      </c>
      <c r="S12" s="1303"/>
      <c r="T12" s="1303"/>
      <c r="U12" s="1303"/>
    </row>
    <row r="13" spans="1:24" ht="12" thickBot="1" x14ac:dyDescent="0.25">
      <c r="J13" s="1312"/>
      <c r="K13" s="1322" t="str">
        <f>UPPER(Currency)&amp;"ON"</f>
        <v>EURON</v>
      </c>
      <c r="L13" s="1321" t="e">
        <f ca="1">_xll.qlTermStructureReferenceDate(K13,Trigger)</f>
        <v>#NAME?</v>
      </c>
      <c r="M13" s="1320" t="e">
        <f ca="1">_xll.qlYieldTSDiscount(K13,L13)</f>
        <v>#NAME?</v>
      </c>
      <c r="N13" s="1320"/>
      <c r="O13" s="1320"/>
      <c r="P13" s="1320"/>
      <c r="Q13" s="1328" t="e">
        <f ca="1">IF(ISERROR(L13),_xll.ohRangeRetrieveError(L13),_xll.ohRangeRetrieveError(M13))</f>
        <v>#NAME?</v>
      </c>
      <c r="R13" s="1307" t="s">
        <v>148</v>
      </c>
      <c r="S13" s="1303"/>
      <c r="T13" s="1303"/>
      <c r="U13" s="1303"/>
    </row>
    <row r="14" spans="1:24" x14ac:dyDescent="0.2">
      <c r="B14" s="1327" t="b">
        <v>1</v>
      </c>
      <c r="C14" s="1326" t="e">
        <f t="array" aca="1" ref="C14:C17" ca="1">_xll.qlIMMNextDates(_xll.qlSettingsEvaluationDate(Trigger)-1,B14:B17)</f>
        <v>#NAME?</v>
      </c>
      <c r="D14" s="1325" t="e">
        <f t="array" aca="1" ref="D14:D17" ca="1">VLOOKUP(Currency,FuturesTable,4,0)&amp;_xll.qlIMMcode(FuturesDates)</f>
        <v>#NAME?</v>
      </c>
      <c r="J14" s="1312"/>
      <c r="K14" s="1322" t="str">
        <f>UPPER(Currency)&amp;"1M"</f>
        <v>EUR1M</v>
      </c>
      <c r="L14" s="1321" t="e">
        <f ca="1">_xll.qlTermStructureReferenceDate(K14,Trigger)</f>
        <v>#NAME?</v>
      </c>
      <c r="M14" s="1320" t="e">
        <f ca="1">_xll.qlYieldTSDiscount(K14,L14)</f>
        <v>#NAME?</v>
      </c>
      <c r="N14" s="1320"/>
      <c r="O14" s="1320"/>
      <c r="P14" s="1320"/>
      <c r="Q14" s="1319" t="e">
        <f ca="1">IF(ISERROR(L14),_xll.ohRangeRetrieveError(L14),_xll.ohRangeRetrieveError(M14))</f>
        <v>#NAME?</v>
      </c>
      <c r="R14" s="1307" t="s">
        <v>148</v>
      </c>
      <c r="S14" s="1303"/>
      <c r="T14" s="1303"/>
      <c r="U14" s="1303"/>
    </row>
    <row r="15" spans="1:24" x14ac:dyDescent="0.2">
      <c r="B15" s="1324" t="b">
        <v>1</v>
      </c>
      <c r="C15" s="1323" t="e">
        <f ca="1"/>
        <v>#NAME?</v>
      </c>
      <c r="D15" s="1307" t="e">
        <f ca="1"/>
        <v>#NAME?</v>
      </c>
      <c r="J15" s="1312"/>
      <c r="K15" s="1322" t="str">
        <f>UPPER(Currency)&amp;"3M"</f>
        <v>EUR3M</v>
      </c>
      <c r="L15" s="1321" t="e">
        <f ca="1">_xll.qlTermStructureReferenceDate(K15,Trigger)</f>
        <v>#NAME?</v>
      </c>
      <c r="M15" s="1320" t="e">
        <f ca="1">_xll.qlYieldTSDiscount(K15,L15)</f>
        <v>#NAME?</v>
      </c>
      <c r="N15" s="1320"/>
      <c r="O15" s="1320"/>
      <c r="P15" s="1320"/>
      <c r="Q15" s="1319" t="e">
        <f ca="1">IF(ISERROR(L15),_xll.ohRangeRetrieveError(L15),_xll.ohRangeRetrieveError(M15))</f>
        <v>#NAME?</v>
      </c>
      <c r="R15" s="1307" t="s">
        <v>148</v>
      </c>
      <c r="S15" s="1303"/>
      <c r="T15" s="1303"/>
      <c r="U15" s="1303"/>
    </row>
    <row r="16" spans="1:24" x14ac:dyDescent="0.2">
      <c r="B16" s="1324" t="b">
        <v>1</v>
      </c>
      <c r="C16" s="1323" t="e">
        <f ca="1"/>
        <v>#NAME?</v>
      </c>
      <c r="D16" s="1307" t="e">
        <f ca="1"/>
        <v>#NAME?</v>
      </c>
      <c r="J16" s="1312"/>
      <c r="K16" s="1322" t="str">
        <f>UPPER(Currency)&amp;"6M"</f>
        <v>EUR6M</v>
      </c>
      <c r="L16" s="1321" t="e">
        <f ca="1">_xll.qlTermStructureReferenceDate(K16,Trigger)</f>
        <v>#NAME?</v>
      </c>
      <c r="M16" s="1320" t="e">
        <f ca="1">_xll.qlYieldTSDiscount(K16,L16)</f>
        <v>#NAME?</v>
      </c>
      <c r="N16" s="1320"/>
      <c r="O16" s="1320"/>
      <c r="P16" s="1320"/>
      <c r="Q16" s="1319" t="e">
        <f ca="1">IF(ISERROR(L16),_xll.ohRangeRetrieveError(L16),_xll.ohRangeRetrieveError(M16))</f>
        <v>#NAME?</v>
      </c>
      <c r="R16" s="1307" t="s">
        <v>148</v>
      </c>
      <c r="S16" s="1303"/>
      <c r="T16" s="1303"/>
      <c r="U16" s="1303"/>
    </row>
    <row r="17" spans="2:21" ht="12" thickBot="1" x14ac:dyDescent="0.25">
      <c r="B17" s="1318" t="b">
        <v>1</v>
      </c>
      <c r="C17" s="1317" t="e">
        <f ca="1"/>
        <v>#NAME?</v>
      </c>
      <c r="D17" s="1304" t="e">
        <f ca="1"/>
        <v>#NAME?</v>
      </c>
      <c r="J17" s="1312"/>
      <c r="K17" s="1311" t="str">
        <f>UPPER(Currency)&amp;"1Y"</f>
        <v>EUR1Y</v>
      </c>
      <c r="L17" s="1310" t="e">
        <f ca="1">_xll.qlTermStructureReferenceDate(K17,Trigger)</f>
        <v>#NAME?</v>
      </c>
      <c r="M17" s="1309" t="e">
        <f ca="1">_xll.qlYieldTSDiscount(K17,L17)</f>
        <v>#NAME?</v>
      </c>
      <c r="N17" s="1309"/>
      <c r="O17" s="1309"/>
      <c r="P17" s="1309"/>
      <c r="Q17" s="1308" t="e">
        <f ca="1">IF(ISERROR(L17),_xll.ohRangeRetrieveError(L17),_xll.ohRangeRetrieveError(M17))</f>
        <v>#NAME?</v>
      </c>
      <c r="R17" s="1307" t="s">
        <v>148</v>
      </c>
      <c r="S17" s="1303"/>
      <c r="T17" s="1303"/>
      <c r="U17" s="1303"/>
    </row>
    <row r="18" spans="2:21" x14ac:dyDescent="0.2">
      <c r="J18" s="1312"/>
      <c r="K18" s="1316" t="s">
        <v>486</v>
      </c>
      <c r="L18" s="1315" t="e">
        <f ca="1">_xll.qlTermStructureReferenceDate(K18,Trigger)</f>
        <v>#NAME?</v>
      </c>
      <c r="M18" s="1314" t="e">
        <f ca="1">_xll.qlYieldTSDiscount(K18,L18)</f>
        <v>#NAME?</v>
      </c>
      <c r="N18" s="1314"/>
      <c r="O18" s="1314"/>
      <c r="P18" s="1314"/>
      <c r="Q18" s="1313" t="e">
        <f ca="1">IF(ISERROR(L18),_xll.ohRangeRetrieveError(L18),_xll.ohRangeRetrieveError(M18))</f>
        <v>#NAME?</v>
      </c>
      <c r="R18" s="1307" t="s">
        <v>148</v>
      </c>
      <c r="S18" s="1303"/>
      <c r="T18" s="1303"/>
      <c r="U18" s="1303"/>
    </row>
    <row r="19" spans="2:21" x14ac:dyDescent="0.2">
      <c r="J19" s="1312"/>
      <c r="K19" s="1311" t="s">
        <v>485</v>
      </c>
      <c r="L19" s="1310" t="e">
        <f ca="1">_xll.qlTermStructureReferenceDate(K19,Trigger)</f>
        <v>#NAME?</v>
      </c>
      <c r="M19" s="1309" t="e">
        <f ca="1">_xll.qlYieldTSDiscount(K19,L19)</f>
        <v>#NAME?</v>
      </c>
      <c r="N19" s="1309"/>
      <c r="O19" s="1309"/>
      <c r="P19" s="1309"/>
      <c r="Q19" s="1308" t="e">
        <f ca="1">IF(ISERROR(L19),_xll.ohRangeRetrieveError(L19),_xll.ohRangeRetrieveError(M19))</f>
        <v>#NAME?</v>
      </c>
      <c r="R19" s="1307" t="s">
        <v>148</v>
      </c>
      <c r="S19" s="1303"/>
      <c r="T19" s="1303"/>
      <c r="U19" s="1303"/>
    </row>
    <row r="20" spans="2:21" ht="12" thickBot="1" x14ac:dyDescent="0.25">
      <c r="J20" s="1306"/>
      <c r="K20" s="1305"/>
      <c r="L20" s="1305"/>
      <c r="M20" s="1305"/>
      <c r="N20" s="1305"/>
      <c r="O20" s="1305"/>
      <c r="P20" s="1305"/>
      <c r="Q20" s="1305"/>
      <c r="R20" s="1304" t="s">
        <v>148</v>
      </c>
      <c r="S20" s="1303"/>
      <c r="T20" s="1303"/>
      <c r="U20" s="1303"/>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2"/>
      <c r="C2" s="231"/>
      <c r="D2" s="231"/>
      <c r="E2" s="230"/>
    </row>
    <row r="3" spans="1:8" ht="11.25" customHeight="1" x14ac:dyDescent="0.25">
      <c r="B3" s="235"/>
      <c r="C3" s="1058" t="s">
        <v>231</v>
      </c>
      <c r="D3" s="1065" t="s">
        <v>230</v>
      </c>
      <c r="E3" s="294"/>
      <c r="G3" s="1360" t="s">
        <v>529</v>
      </c>
      <c r="H3" s="1363" t="e">
        <f ca="1">_xll.ohTrigger(GeneralSettings!Trigger2)</f>
        <v>#NAME?</v>
      </c>
    </row>
    <row r="4" spans="1:8" ht="11.25" customHeight="1" thickBot="1" x14ac:dyDescent="0.3">
      <c r="B4" s="235"/>
      <c r="C4" s="1055" t="s">
        <v>229</v>
      </c>
      <c r="D4" s="129" t="b">
        <v>1</v>
      </c>
      <c r="E4" s="294"/>
      <c r="G4" s="1361" t="s">
        <v>530</v>
      </c>
      <c r="H4" s="1364" t="e">
        <f ca="1">_xll.ohTrigger(EURSTD!Trigger2,D28)</f>
        <v>#NAME?</v>
      </c>
    </row>
    <row r="5" spans="1:8" ht="11.25" customHeight="1" x14ac:dyDescent="0.2">
      <c r="A5" s="23"/>
      <c r="B5" s="1060"/>
      <c r="C5" s="292" t="s">
        <v>239</v>
      </c>
      <c r="D5" s="1063">
        <v>42357.886481481481</v>
      </c>
      <c r="E5" s="294"/>
    </row>
    <row r="6" spans="1:8" ht="11.25" customHeight="1" x14ac:dyDescent="0.2">
      <c r="A6" s="23"/>
      <c r="B6" s="1060"/>
      <c r="C6" s="1055" t="s">
        <v>227</v>
      </c>
      <c r="D6" s="129" t="b">
        <v>1</v>
      </c>
      <c r="E6" s="294"/>
    </row>
    <row r="7" spans="1:8" ht="11.25" customHeight="1" x14ac:dyDescent="0.2">
      <c r="A7" s="23"/>
      <c r="B7" s="1060"/>
      <c r="C7" s="1055" t="s">
        <v>228</v>
      </c>
      <c r="D7" s="1073"/>
      <c r="E7" s="294"/>
    </row>
    <row r="8" spans="1:8" ht="11.25" customHeight="1" x14ac:dyDescent="0.2">
      <c r="A8" s="23"/>
      <c r="B8" s="1060"/>
      <c r="C8" s="1055" t="s">
        <v>431</v>
      </c>
      <c r="D8" s="1059" t="s">
        <v>225</v>
      </c>
      <c r="E8" s="294"/>
    </row>
    <row r="9" spans="1:8" ht="11.25" customHeight="1" x14ac:dyDescent="0.2">
      <c r="B9" s="1053"/>
      <c r="C9" s="1051" t="s">
        <v>224</v>
      </c>
      <c r="D9" s="1072" t="s">
        <v>223</v>
      </c>
      <c r="E9" s="294"/>
    </row>
    <row r="10" spans="1:8" ht="11.25" customHeight="1" x14ac:dyDescent="0.2">
      <c r="B10" s="1053"/>
      <c r="C10" s="1051" t="s">
        <v>398</v>
      </c>
      <c r="D10" s="1071" t="s">
        <v>430</v>
      </c>
      <c r="E10" s="294"/>
    </row>
    <row r="11" spans="1:8" ht="11.25" customHeight="1" x14ac:dyDescent="0.2">
      <c r="B11" s="235"/>
      <c r="C11" s="231"/>
      <c r="D11" s="231"/>
      <c r="E11" s="294"/>
    </row>
    <row r="12" spans="1:8" ht="11.25" customHeight="1" x14ac:dyDescent="0.2">
      <c r="B12" s="1053"/>
      <c r="C12" s="1058" t="s">
        <v>307</v>
      </c>
      <c r="D12" s="1064" t="e">
        <f ca="1">_xll.qlSettingsEvaluationDate(Trigger)</f>
        <v>#NAME?</v>
      </c>
      <c r="E12" s="294"/>
    </row>
    <row r="13" spans="1:8" x14ac:dyDescent="0.2">
      <c r="B13" s="1053"/>
      <c r="C13" s="1055" t="s">
        <v>305</v>
      </c>
      <c r="D13" s="1062" t="e">
        <f ca="1">_xll.qlCalendarAdvance(Calendar,Evaluationdate,"2D","F",,Trigger)</f>
        <v>#NAME?</v>
      </c>
      <c r="E13" s="294"/>
    </row>
    <row r="14" spans="1:8" x14ac:dyDescent="0.2">
      <c r="B14" s="1053"/>
      <c r="C14" s="292" t="s">
        <v>216</v>
      </c>
      <c r="D14" s="1070" t="s">
        <v>215</v>
      </c>
      <c r="E14" s="294"/>
    </row>
    <row r="15" spans="1:8" x14ac:dyDescent="0.2">
      <c r="B15" s="532"/>
      <c r="C15" s="252"/>
      <c r="D15" s="1050"/>
      <c r="E15" s="293"/>
    </row>
    <row r="17" spans="1:5" x14ac:dyDescent="0.2">
      <c r="B17" s="1047"/>
      <c r="C17" s="1046"/>
      <c r="D17" s="1046"/>
      <c r="E17" s="1045"/>
    </row>
    <row r="18" spans="1:5" x14ac:dyDescent="0.2">
      <c r="B18" s="508"/>
      <c r="C18" s="1041" t="s">
        <v>293</v>
      </c>
      <c r="D18" s="1044" t="e">
        <f ca="1">_xll.qlPiecewiseYieldCurve(D20,D21,Calendar,_xll.ohPack(RateHelpersSTD),,,,D22,D23,D24,Permanent,,ObjectOverwrite)</f>
        <v>#NAME?</v>
      </c>
      <c r="E18" s="1027"/>
    </row>
    <row r="19" spans="1:5" x14ac:dyDescent="0.2">
      <c r="B19" s="508"/>
      <c r="C19" s="1035" t="s">
        <v>59</v>
      </c>
      <c r="D19" s="1042" t="e">
        <f ca="1">_xll.ohRangeRetrieveError(YieldCurve_STD)</f>
        <v>#NAME?</v>
      </c>
      <c r="E19" s="1027"/>
    </row>
    <row r="20" spans="1:5" x14ac:dyDescent="0.2">
      <c r="B20" s="508"/>
      <c r="C20" s="1041" t="s">
        <v>427</v>
      </c>
      <c r="D20" s="1040" t="str">
        <f>"_"&amp;Currency&amp;"STD"</f>
        <v>_EURSTD</v>
      </c>
      <c r="E20" s="1027"/>
    </row>
    <row r="21" spans="1:5" x14ac:dyDescent="0.2">
      <c r="B21" s="508"/>
      <c r="C21" s="1037" t="s">
        <v>299</v>
      </c>
      <c r="D21" s="1039">
        <v>0</v>
      </c>
      <c r="E21" s="1027"/>
    </row>
    <row r="22" spans="1:5" x14ac:dyDescent="0.2">
      <c r="B22" s="508"/>
      <c r="C22" s="1037" t="s">
        <v>294</v>
      </c>
      <c r="D22" s="1038"/>
      <c r="E22" s="1027"/>
    </row>
    <row r="23" spans="1:5" x14ac:dyDescent="0.2">
      <c r="B23" s="508"/>
      <c r="C23" s="1037" t="s">
        <v>292</v>
      </c>
      <c r="D23" s="1036" t="s">
        <v>433</v>
      </c>
      <c r="E23" s="1027"/>
    </row>
    <row r="24" spans="1:5" x14ac:dyDescent="0.2">
      <c r="B24" s="508"/>
      <c r="C24" s="1035" t="s">
        <v>290</v>
      </c>
      <c r="D24" s="1034" t="s">
        <v>286</v>
      </c>
      <c r="E24" s="1027"/>
    </row>
    <row r="25" spans="1:5" x14ac:dyDescent="0.2">
      <c r="B25" s="508"/>
      <c r="C25" s="526"/>
      <c r="D25" s="526"/>
      <c r="E25" s="1027"/>
    </row>
    <row r="26" spans="1:5" x14ac:dyDescent="0.2">
      <c r="B26" s="508"/>
      <c r="C26" s="1033" t="e">
        <f ca="1">_xll.qlTermStructureReferenceDate(YieldCurve_STD)</f>
        <v>#NAME?</v>
      </c>
      <c r="D26" s="1032" t="e">
        <f ca="1">_xll.qlYieldTSDiscount(YieldCurve_STD,C26,,Trigger)</f>
        <v>#NAME?</v>
      </c>
      <c r="E26" s="1027"/>
    </row>
    <row r="27" spans="1:5" x14ac:dyDescent="0.2">
      <c r="A27" s="23"/>
      <c r="B27" s="508"/>
      <c r="C27" s="1031" t="e">
        <f ca="1">_xll.qlTermStructureMaxDate(YieldCurve_STD,Trigger)</f>
        <v>#NAME?</v>
      </c>
      <c r="D27" s="1030" t="e">
        <f ca="1">_xll.qlYieldTSDiscount(YieldCurve_STD,C27,,Trigger)</f>
        <v>#NAME?</v>
      </c>
      <c r="E27" s="1027"/>
    </row>
    <row r="28" spans="1:5" x14ac:dyDescent="0.2">
      <c r="B28" s="508"/>
      <c r="C28" s="1031" t="e">
        <f ca="1">Euribor!$D$13</f>
        <v>#NAME?</v>
      </c>
      <c r="D28" s="1030" t="e">
        <f ca="1">_xll.qlRelinkableHandleLinkTo(C28,D18,Trigger)</f>
        <v>#NAME?</v>
      </c>
      <c r="E28" s="1027"/>
    </row>
    <row r="29" spans="1:5" x14ac:dyDescent="0.2">
      <c r="B29" s="508"/>
      <c r="C29" s="1029" t="s">
        <v>425</v>
      </c>
      <c r="D29" s="1028" t="b">
        <v>0</v>
      </c>
      <c r="E29" s="1027"/>
    </row>
    <row r="30" spans="1:5" x14ac:dyDescent="0.2">
      <c r="B30" s="215"/>
      <c r="C30" s="214"/>
      <c r="D30" s="214"/>
      <c r="E30" s="1026"/>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7" customWidth="1" outlineLevel="1"/>
    <col min="3" max="3" width="9.2851562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8" t="s">
        <v>193</v>
      </c>
      <c r="H1" s="238"/>
      <c r="L1" s="964" t="s">
        <v>383</v>
      </c>
      <c r="M1" s="963"/>
      <c r="N1" s="963"/>
      <c r="O1" s="963"/>
      <c r="P1" s="963"/>
      <c r="Q1" s="963"/>
      <c r="R1" s="963"/>
      <c r="S1" s="963"/>
      <c r="T1" s="962"/>
      <c r="U1" s="957"/>
      <c r="V1" s="961" t="str">
        <f>Currency&amp;$G$1</f>
        <v>EURSTD</v>
      </c>
      <c r="W1" s="959"/>
      <c r="X1" s="959"/>
      <c r="Y1" s="960"/>
      <c r="Z1" s="960"/>
      <c r="AA1" s="959"/>
      <c r="AB1" s="959"/>
      <c r="AC1" s="958" t="s">
        <v>378</v>
      </c>
    </row>
    <row r="2" spans="1:35" ht="21.75" customHeight="1" thickBot="1" x14ac:dyDescent="0.25">
      <c r="A2" s="145" t="s">
        <v>388</v>
      </c>
      <c r="B2" s="145" t="s">
        <v>107</v>
      </c>
      <c r="C2" s="145" t="s">
        <v>402</v>
      </c>
      <c r="D2" s="145"/>
      <c r="E2" s="145"/>
      <c r="F2" s="145"/>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1069" t="e">
        <f t="array" aca="1" ref="AC2:AC89" ca="1">_xll.qlPiecewiseYieldCurveData(YieldCurve_STD,Trigger)</f>
        <v>#NAME?</v>
      </c>
      <c r="AE2" s="1398" t="s">
        <v>397</v>
      </c>
      <c r="AF2" s="1399"/>
      <c r="AH2" s="1067"/>
    </row>
    <row r="3" spans="1:35" ht="11.25" customHeight="1" x14ac:dyDescent="0.25">
      <c r="A3" s="951" t="s">
        <v>391</v>
      </c>
      <c r="B3" s="950" t="s">
        <v>185</v>
      </c>
      <c r="C3" s="949" t="s">
        <v>185</v>
      </c>
      <c r="D3" s="946"/>
      <c r="E3" s="946"/>
      <c r="F3" s="946"/>
      <c r="G3" s="948" t="s">
        <v>303</v>
      </c>
      <c r="H3" s="947" t="str">
        <f t="shared" ref="H3:H11" si="0">Currency&amp;$B3&amp;"D"&amp;$H$1&amp;QuoteSuffix</f>
        <v>EUROND_Quote</v>
      </c>
      <c r="I3" s="946"/>
      <c r="J3" s="945" t="e">
        <f ca="1">_xll.qlDepositRateHelper(,H3,G3,Permanent,Trigger,ObjectOverwrite)</f>
        <v>#NAME?</v>
      </c>
      <c r="K3" s="153"/>
      <c r="L3" s="908" t="str">
        <f t="shared" ref="L3:L11" si="1">A3</f>
        <v>Dp</v>
      </c>
      <c r="M3" s="904" t="e">
        <f t="shared" ref="M3:M11" ca="1" si="2">IF(ISBLANK(J3),"--",J3)</f>
        <v>#NAME?</v>
      </c>
      <c r="N3" s="907" t="str">
        <f ca="1">IFERROR(_xll.qlRateHelperQuoteName(M3,Trigger),"--")</f>
        <v>--</v>
      </c>
      <c r="O3" s="906" t="str">
        <f ca="1">IFERROR(_xll.qlRateHelperQuoteValue($M3,Trigger),"--")</f>
        <v>--</v>
      </c>
      <c r="P3" s="905" t="b">
        <v>1</v>
      </c>
      <c r="Q3" s="904">
        <v>10</v>
      </c>
      <c r="R3" s="904">
        <v>1</v>
      </c>
      <c r="S3" s="903" t="str">
        <f ca="1">IFERROR(_xll.qlRateHelperEarliestDate(M3,Trigger),"--")</f>
        <v>--</v>
      </c>
      <c r="T3" s="903" t="str">
        <f ca="1">IFERROR(_xll.qlRateHelperPillarDate(M3,Trigger),"--")</f>
        <v>--</v>
      </c>
      <c r="U3" s="1068"/>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8" t="e">
        <f ca="1"/>
        <v>#NAME?</v>
      </c>
      <c r="AD3" s="913"/>
      <c r="AE3" s="935" t="s">
        <v>396</v>
      </c>
      <c r="AF3" s="943">
        <v>0</v>
      </c>
      <c r="AH3" s="1360" t="s">
        <v>529</v>
      </c>
      <c r="AI3" s="1363" t="e">
        <f ca="1">_xll.ohTrigger(GeneralSettings_4!Trigger)</f>
        <v>#NAME?</v>
      </c>
    </row>
    <row r="4" spans="1:35" ht="11.25" customHeight="1" thickBot="1" x14ac:dyDescent="0.3">
      <c r="A4" s="896" t="s">
        <v>391</v>
      </c>
      <c r="B4" s="898" t="s">
        <v>184</v>
      </c>
      <c r="C4" s="916" t="s">
        <v>185</v>
      </c>
      <c r="D4" s="914"/>
      <c r="E4" s="914"/>
      <c r="F4" s="914"/>
      <c r="G4" s="897" t="s">
        <v>303</v>
      </c>
      <c r="H4" s="944" t="str">
        <f t="shared" si="0"/>
        <v>EURTND_Quote</v>
      </c>
      <c r="I4" s="914"/>
      <c r="J4" s="47" t="e">
        <f ca="1">_xll.qlFraRateHelper(,H4,"1D",G4,PillarDate,,Permanent,Trigger,ObjectOverwrite)</f>
        <v>#NAME?</v>
      </c>
      <c r="K4" s="23"/>
      <c r="L4" s="894" t="str">
        <f t="shared" si="1"/>
        <v>Dp</v>
      </c>
      <c r="M4" s="890" t="e">
        <f t="shared" ca="1" si="2"/>
        <v>#NAME?</v>
      </c>
      <c r="N4" s="893" t="str">
        <f ca="1">IFERROR(_xll.qlRateHelperQuoteName(M4,Trigger),"--")</f>
        <v>--</v>
      </c>
      <c r="O4" s="892" t="str">
        <f ca="1">IFERROR(_xll.qlRateHelperQuoteValue($M4,Trigger),"--")</f>
        <v>--</v>
      </c>
      <c r="P4" s="891" t="b">
        <v>1</v>
      </c>
      <c r="Q4" s="890">
        <v>10</v>
      </c>
      <c r="R4" s="890">
        <v>1</v>
      </c>
      <c r="S4" s="889" t="str">
        <f ca="1">IFERROR(_xll.qlRateHelperEarliestDate(M4,Trigger),"--")</f>
        <v>--</v>
      </c>
      <c r="T4" s="889" t="str">
        <f ca="1">IFERROR(_xll.qlRateHelperPillarDate(M4,Trigger),"--")</f>
        <v>--</v>
      </c>
      <c r="U4" s="1068"/>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8" t="e">
        <f ca="1"/>
        <v>#NAME?</v>
      </c>
      <c r="AD4" s="913"/>
      <c r="AE4" s="935" t="s">
        <v>395</v>
      </c>
      <c r="AF4" s="943">
        <v>0</v>
      </c>
      <c r="AH4" s="1361" t="s">
        <v>530</v>
      </c>
      <c r="AI4" s="1364" t="e">
        <f ca="1">_xll.ohTrigger(RateHelpers)</f>
        <v>#NAME?</v>
      </c>
    </row>
    <row r="5" spans="1:35" ht="11.25" customHeight="1" x14ac:dyDescent="0.2">
      <c r="A5" s="869" t="s">
        <v>391</v>
      </c>
      <c r="B5" s="871" t="s">
        <v>183</v>
      </c>
      <c r="C5" s="901" t="s">
        <v>185</v>
      </c>
      <c r="D5" s="899"/>
      <c r="E5" s="899"/>
      <c r="F5" s="899"/>
      <c r="G5" s="870" t="s">
        <v>303</v>
      </c>
      <c r="H5" s="918" t="str">
        <f t="shared" si="0"/>
        <v>EURSND_Quote</v>
      </c>
      <c r="I5" s="899"/>
      <c r="J5" s="38" t="e">
        <f ca="1">_xll.qlFraRateHelper(,H5,"2D",G5,PillarDate,,Permanent,Trigger,ObjectOverwrite)</f>
        <v>#NAME?</v>
      </c>
      <c r="K5" s="23"/>
      <c r="L5" s="894" t="str">
        <f t="shared" si="1"/>
        <v>Dp</v>
      </c>
      <c r="M5" s="890" t="e">
        <f t="shared" ca="1" si="2"/>
        <v>#NAME?</v>
      </c>
      <c r="N5" s="893" t="str">
        <f ca="1">IFERROR(_xll.qlRateHelperQuoteName(M5,Trigger),"--")</f>
        <v>--</v>
      </c>
      <c r="O5" s="892" t="str">
        <f ca="1">IFERROR(_xll.qlRateHelperQuoteValue($M5,Trigger),"--")</f>
        <v>--</v>
      </c>
      <c r="P5" s="891" t="b">
        <v>1</v>
      </c>
      <c r="Q5" s="890">
        <v>10</v>
      </c>
      <c r="R5" s="890">
        <v>1</v>
      </c>
      <c r="S5" s="889" t="str">
        <f ca="1">IFERROR(_xll.qlRateHelperEarliestDate(M5,Trigger),"--")</f>
        <v>--</v>
      </c>
      <c r="T5" s="889" t="str">
        <f ca="1">IFERROR(_xll.qlRateHelperPillarDate(M5,Trigger),"--")</f>
        <v>--</v>
      </c>
      <c r="U5" s="1068"/>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8" t="e">
        <f ca="1"/>
        <v>#NAME?</v>
      </c>
      <c r="AD5" s="913"/>
      <c r="AE5" s="935" t="s">
        <v>394</v>
      </c>
      <c r="AF5" s="943">
        <v>5</v>
      </c>
      <c r="AH5" s="1067"/>
    </row>
    <row r="6" spans="1:35" ht="11.25" customHeight="1" x14ac:dyDescent="0.2">
      <c r="A6" s="873" t="s">
        <v>391</v>
      </c>
      <c r="B6" s="875" t="s">
        <v>178</v>
      </c>
      <c r="C6" s="911" t="str">
        <f t="shared" ref="C6:C11" si="4">B6</f>
        <v>SW</v>
      </c>
      <c r="D6" s="909"/>
      <c r="E6" s="909"/>
      <c r="F6" s="909"/>
      <c r="G6" s="874" t="str">
        <f t="shared" ref="G6:G11" si="5">PROPER(Currency)&amp;FamilyName&amp;C6</f>
        <v>EuriborSW</v>
      </c>
      <c r="H6" s="933" t="str">
        <f t="shared" si="0"/>
        <v>EURSWD_Quote</v>
      </c>
      <c r="I6" s="909"/>
      <c r="J6" s="43" t="e">
        <f ca="1">_xll.qlDepositRateHelper(,H6,G6,Permanent,Trigger,ObjectOverwrite)</f>
        <v>#NAME?</v>
      </c>
      <c r="K6" s="23"/>
      <c r="L6" s="894" t="str">
        <f t="shared" si="1"/>
        <v>Dp</v>
      </c>
      <c r="M6" s="890" t="e">
        <f t="shared" ca="1" si="2"/>
        <v>#NAME?</v>
      </c>
      <c r="N6" s="893" t="str">
        <f ca="1">IFERROR(_xll.qlRateHelperQuoteName(M6,Trigger),"--")</f>
        <v>--</v>
      </c>
      <c r="O6" s="892" t="str">
        <f ca="1">IFERROR(_xll.qlRateHelperQuoteValue($M6,Trigger),"--")</f>
        <v>--</v>
      </c>
      <c r="P6" s="891" t="b">
        <v>1</v>
      </c>
      <c r="Q6" s="890">
        <v>10</v>
      </c>
      <c r="R6" s="890">
        <v>1</v>
      </c>
      <c r="S6" s="889" t="str">
        <f ca="1">IFERROR(_xll.qlRateHelperEarliestDate(M6,Trigger),"--")</f>
        <v>--</v>
      </c>
      <c r="T6" s="889" t="str">
        <f ca="1">IFERROR(_xll.qlRateHelperPillarDate(M6,Trigger),"--")</f>
        <v>--</v>
      </c>
      <c r="U6" s="1068"/>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8" t="e">
        <f ca="1"/>
        <v>#NAME?</v>
      </c>
      <c r="AD6" s="913"/>
      <c r="AE6" s="935" t="s">
        <v>393</v>
      </c>
      <c r="AF6" s="934" t="s">
        <v>392</v>
      </c>
      <c r="AH6" s="1067"/>
    </row>
    <row r="7" spans="1:35" ht="11.25" customHeight="1" x14ac:dyDescent="0.2">
      <c r="A7" s="873" t="s">
        <v>391</v>
      </c>
      <c r="B7" s="875" t="s">
        <v>175</v>
      </c>
      <c r="C7" s="911" t="str">
        <f t="shared" si="4"/>
        <v>1M</v>
      </c>
      <c r="D7" s="909"/>
      <c r="E7" s="909"/>
      <c r="F7" s="909"/>
      <c r="G7" s="874" t="str">
        <f t="shared" si="5"/>
        <v>Euribor1M</v>
      </c>
      <c r="H7" s="933" t="str">
        <f t="shared" si="0"/>
        <v>EUR1MD_Quote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U7" s="1068"/>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8" t="e">
        <f ca="1"/>
        <v>#NAME?</v>
      </c>
      <c r="AD7" s="913"/>
      <c r="AH7" s="1067"/>
    </row>
    <row r="8" spans="1:35" ht="11.25" customHeight="1" x14ac:dyDescent="0.2">
      <c r="A8" s="873" t="s">
        <v>391</v>
      </c>
      <c r="B8" s="875" t="s">
        <v>174</v>
      </c>
      <c r="C8" s="911" t="str">
        <f t="shared" si="4"/>
        <v>2M</v>
      </c>
      <c r="D8" s="909"/>
      <c r="E8" s="909"/>
      <c r="F8" s="909"/>
      <c r="G8" s="874" t="str">
        <f t="shared" si="5"/>
        <v>Euribor2M</v>
      </c>
      <c r="H8" s="933" t="str">
        <f t="shared" si="0"/>
        <v>EUR2MD_Quote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U8" s="1068"/>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8" t="e">
        <f ca="1"/>
        <v>#NAME?</v>
      </c>
      <c r="AD8" s="913"/>
      <c r="AH8" s="1067"/>
    </row>
    <row r="9" spans="1:35" ht="11.25" customHeight="1" x14ac:dyDescent="0.2">
      <c r="A9" s="873" t="s">
        <v>391</v>
      </c>
      <c r="B9" s="875" t="s">
        <v>127</v>
      </c>
      <c r="C9" s="911" t="str">
        <f t="shared" si="4"/>
        <v>3M</v>
      </c>
      <c r="D9" s="909"/>
      <c r="E9" s="909"/>
      <c r="F9" s="909"/>
      <c r="G9" s="874" t="str">
        <f t="shared" si="5"/>
        <v>Euribor3M</v>
      </c>
      <c r="H9" s="933" t="str">
        <f t="shared" si="0"/>
        <v>EUR3MD_Quote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U9" s="1068"/>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8" t="e">
        <f ca="1"/>
        <v>#NAME?</v>
      </c>
      <c r="AD9" s="913"/>
      <c r="AH9" s="1067"/>
    </row>
    <row r="10" spans="1:35" ht="11.25" customHeight="1" x14ac:dyDescent="0.2">
      <c r="A10" s="873" t="s">
        <v>391</v>
      </c>
      <c r="B10" s="875" t="s">
        <v>92</v>
      </c>
      <c r="C10" s="911" t="str">
        <f t="shared" si="4"/>
        <v>6M</v>
      </c>
      <c r="D10" s="909"/>
      <c r="E10" s="909"/>
      <c r="F10" s="909"/>
      <c r="G10" s="874" t="str">
        <f t="shared" si="5"/>
        <v>Euribor6M</v>
      </c>
      <c r="H10" s="933" t="str">
        <f t="shared" si="0"/>
        <v>EUR6MD_Quote</v>
      </c>
      <c r="I10" s="909"/>
      <c r="J10" s="43" t="e">
        <f ca="1">_xll.qlDepositRateHelper(,H10,G10,Permanent,Trigger,ObjectOverwrite)</f>
        <v>#NAME?</v>
      </c>
      <c r="K10" s="23" t="s">
        <v>148</v>
      </c>
      <c r="L10" s="894" t="str">
        <f t="shared" si="1"/>
        <v>Dp</v>
      </c>
      <c r="M10" s="890" t="e">
        <f t="shared" ca="1" si="2"/>
        <v>#NAME?</v>
      </c>
      <c r="N10" s="893" t="str">
        <f ca="1">IFERROR(_xll.qlRateHelperQuoteName(M10,Trigger),"--")</f>
        <v>--</v>
      </c>
      <c r="O10" s="892" t="str">
        <f ca="1">IFERROR(_xll.qlRateHelperQuoteValue($M10,Trigger),"--")</f>
        <v>--</v>
      </c>
      <c r="P10" s="891" t="b">
        <v>1</v>
      </c>
      <c r="Q10" s="890">
        <v>10</v>
      </c>
      <c r="R10" s="890">
        <v>1</v>
      </c>
      <c r="S10" s="889" t="str">
        <f ca="1">IFERROR(_xll.qlRateHelperEarliestDate(M10,Trigger),"--")</f>
        <v>--</v>
      </c>
      <c r="T10" s="889" t="str">
        <f ca="1">IFERROR(_xll.qlRateHelperPillarDate(M10,Trigger),"--")</f>
        <v>--</v>
      </c>
      <c r="U10" s="1068"/>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8" t="e">
        <f ca="1"/>
        <v>#NAME?</v>
      </c>
      <c r="AD10" s="913"/>
      <c r="AH10" s="1067"/>
    </row>
    <row r="11" spans="1:35" ht="11.25" customHeight="1" x14ac:dyDescent="0.2">
      <c r="A11" s="869" t="s">
        <v>391</v>
      </c>
      <c r="B11" s="871" t="s">
        <v>58</v>
      </c>
      <c r="C11" s="901" t="str">
        <f t="shared" si="4"/>
        <v>1Y</v>
      </c>
      <c r="D11" s="899"/>
      <c r="E11" s="899"/>
      <c r="F11" s="899"/>
      <c r="G11" s="870" t="str">
        <f t="shared" si="5"/>
        <v>Euribor1Y</v>
      </c>
      <c r="H11" s="918" t="str">
        <f t="shared" si="0"/>
        <v>EUR1YD_Quote</v>
      </c>
      <c r="I11" s="899"/>
      <c r="J11" s="38"/>
      <c r="K11" s="23"/>
      <c r="L11" s="885" t="str">
        <f t="shared" si="1"/>
        <v>Dp</v>
      </c>
      <c r="M11" s="881" t="str">
        <f t="shared" si="2"/>
        <v>--</v>
      </c>
      <c r="N11" s="884" t="str">
        <f ca="1">IFERROR(_xll.qlRateHelperQuoteName(M11,Trigger),"--")</f>
        <v>--</v>
      </c>
      <c r="O11" s="883" t="str">
        <f ca="1">IFERROR(_xll.qlRateHelperQuoteValue($M11,Trigger),"--")</f>
        <v>--</v>
      </c>
      <c r="P11" s="882" t="b">
        <v>0</v>
      </c>
      <c r="Q11" s="881">
        <v>10</v>
      </c>
      <c r="R11" s="881">
        <v>1</v>
      </c>
      <c r="S11" s="880" t="str">
        <f ca="1">IFERROR(_xll.qlRateHelperEarliestDate(M11,Trigger),"--")</f>
        <v>--</v>
      </c>
      <c r="T11" s="880" t="str">
        <f ca="1">IFERROR(_xll.qlRateHelperPillarDate(M11,Trigger),"--")</f>
        <v>--</v>
      </c>
      <c r="U11" s="1068"/>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8" t="e">
        <f ca="1"/>
        <v>#NAME?</v>
      </c>
      <c r="AD11" s="913"/>
      <c r="AH11" s="1067"/>
    </row>
    <row r="12" spans="1:35" ht="11.25" customHeight="1" x14ac:dyDescent="0.2">
      <c r="B12" s="1"/>
      <c r="C12" s="1"/>
      <c r="D12" s="1"/>
      <c r="E12" s="1"/>
      <c r="F12" s="1"/>
      <c r="G12" s="1" t="s">
        <v>92</v>
      </c>
      <c r="H12" s="1"/>
      <c r="K12" s="23"/>
      <c r="L12" s="894" t="str">
        <f t="shared" ref="L12:L29" si="6">A14</f>
        <v>FRA</v>
      </c>
      <c r="M12" s="890" t="str">
        <f t="shared" ref="M12:M29" si="7">IF(ISBLANK(J14),"--",J14)</f>
        <v>--</v>
      </c>
      <c r="N12" s="893" t="str">
        <f ca="1">IFERROR(_xll.qlRateHelperQuoteName(M12,Trigger),"--")</f>
        <v>--</v>
      </c>
      <c r="O12" s="892" t="str">
        <f ca="1">IFERROR(_xll.qlRateHelperQuoteValue($M12,Trigger),"--")</f>
        <v>--</v>
      </c>
      <c r="P12" s="891" t="b">
        <v>0</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8" t="e">
        <f ca="1"/>
        <v>#NAME?</v>
      </c>
      <c r="AD12" s="913"/>
      <c r="AH12" s="1067"/>
    </row>
    <row r="13" spans="1:35" ht="11.25" customHeight="1" x14ac:dyDescent="0.2">
      <c r="A13" s="145" t="s">
        <v>388</v>
      </c>
      <c r="B13" s="145" t="s">
        <v>390</v>
      </c>
      <c r="C13" s="145" t="s">
        <v>389</v>
      </c>
      <c r="D13" s="145"/>
      <c r="E13" s="145"/>
      <c r="F13" s="145"/>
      <c r="G13" s="145" t="s">
        <v>14</v>
      </c>
      <c r="H13" s="145" t="s">
        <v>384</v>
      </c>
      <c r="I13" s="145"/>
      <c r="J13" s="145" t="s">
        <v>383</v>
      </c>
      <c r="K13" s="23"/>
      <c r="L13" s="894" t="str">
        <f t="shared" si="6"/>
        <v>FRA</v>
      </c>
      <c r="M13" s="890" t="str">
        <f t="shared" si="7"/>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8" t="e">
        <f ca="1"/>
        <v>#NAME?</v>
      </c>
      <c r="AD13" s="913"/>
      <c r="AH13" s="1067"/>
    </row>
    <row r="14" spans="1:35" ht="11.25" customHeight="1" x14ac:dyDescent="0.2">
      <c r="A14" s="896" t="s">
        <v>181</v>
      </c>
      <c r="B14" s="917">
        <v>1</v>
      </c>
      <c r="C14" s="916" t="str">
        <f t="shared" ref="C14:C31" si="8">"x"&amp;B14+SUBSTITUTE($G$12,"M","")&amp;"F"</f>
        <v>x7F</v>
      </c>
      <c r="D14" s="914"/>
      <c r="E14" s="914"/>
      <c r="F14" s="914"/>
      <c r="G14" s="897" t="str">
        <f t="shared" ref="G14:G31" si="9">PROPER(Currency)&amp;FamilyName&amp;$G$12</f>
        <v>Euribor6M</v>
      </c>
      <c r="H14" s="915" t="str">
        <f t="shared" ref="H14:H31" si="10">Currency&amp;B14&amp;C14&amp;QuoteSuffix</f>
        <v>EUR1x7F_Quote</v>
      </c>
      <c r="I14" s="914"/>
      <c r="J14" s="47"/>
      <c r="K14" s="23"/>
      <c r="L14" s="894" t="str">
        <f t="shared" si="6"/>
        <v>FRA</v>
      </c>
      <c r="M14" s="890" t="str">
        <f t="shared" si="7"/>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8" t="e">
        <f ca="1"/>
        <v>#NAME?</v>
      </c>
      <c r="AD14" s="913"/>
      <c r="AH14" s="1067"/>
    </row>
    <row r="15" spans="1:35" ht="11.25" customHeight="1" x14ac:dyDescent="0.2">
      <c r="A15" s="873" t="s">
        <v>181</v>
      </c>
      <c r="B15" s="912">
        <v>2</v>
      </c>
      <c r="C15" s="911" t="str">
        <f t="shared" si="8"/>
        <v>x8F</v>
      </c>
      <c r="D15" s="909"/>
      <c r="E15" s="909"/>
      <c r="F15" s="909"/>
      <c r="G15" s="874" t="str">
        <f t="shared" si="9"/>
        <v>Euribor6M</v>
      </c>
      <c r="H15" s="910" t="str">
        <f t="shared" si="10"/>
        <v>EUR2x8F_Quote</v>
      </c>
      <c r="I15" s="909"/>
      <c r="J15" s="43"/>
      <c r="K15" s="23"/>
      <c r="L15" s="894" t="str">
        <f t="shared" si="6"/>
        <v>FRA</v>
      </c>
      <c r="M15" s="890" t="str">
        <f t="shared" si="7"/>
        <v>--</v>
      </c>
      <c r="N15" s="893" t="str">
        <f ca="1">IFERROR(_xll.qlRateHelperQuoteName(M15,Trigger),"--")</f>
        <v>--</v>
      </c>
      <c r="O15" s="892" t="str">
        <f ca="1">IFERROR(_xll.qlRateHelperQuoteValue($M15,Trigger),"--")</f>
        <v>--</v>
      </c>
      <c r="P15" s="891" t="b">
        <v>0</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8" t="e">
        <f ca="1"/>
        <v>#NAME?</v>
      </c>
      <c r="AD15" s="913"/>
      <c r="AH15" s="1067"/>
    </row>
    <row r="16" spans="1:35" ht="11.25" customHeight="1" x14ac:dyDescent="0.2">
      <c r="A16" s="873" t="s">
        <v>181</v>
      </c>
      <c r="B16" s="912">
        <v>3</v>
      </c>
      <c r="C16" s="911" t="str">
        <f t="shared" si="8"/>
        <v>x9F</v>
      </c>
      <c r="D16" s="909"/>
      <c r="E16" s="909"/>
      <c r="F16" s="909"/>
      <c r="G16" s="874" t="str">
        <f t="shared" si="9"/>
        <v>Euribor6M</v>
      </c>
      <c r="H16" s="910" t="str">
        <f t="shared" si="10"/>
        <v>EUR3x9F_Quote</v>
      </c>
      <c r="I16" s="909"/>
      <c r="J16" s="43"/>
      <c r="K16" s="23"/>
      <c r="L16" s="894" t="str">
        <f t="shared" si="6"/>
        <v>FRA</v>
      </c>
      <c r="M16" s="890" t="str">
        <f t="shared" si="7"/>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8" t="e">
        <f ca="1"/>
        <v>#NAME?</v>
      </c>
      <c r="AD16" s="913"/>
      <c r="AH16" s="1067"/>
    </row>
    <row r="17" spans="1:34" ht="11.25" customHeight="1" x14ac:dyDescent="0.2">
      <c r="A17" s="873" t="s">
        <v>181</v>
      </c>
      <c r="B17" s="912">
        <v>4</v>
      </c>
      <c r="C17" s="911" t="str">
        <f t="shared" si="8"/>
        <v>x10F</v>
      </c>
      <c r="D17" s="909"/>
      <c r="E17" s="909"/>
      <c r="F17" s="909"/>
      <c r="G17" s="874" t="str">
        <f t="shared" si="9"/>
        <v>Euribor6M</v>
      </c>
      <c r="H17" s="910" t="str">
        <f t="shared" si="10"/>
        <v>EUR4x10F_Quote</v>
      </c>
      <c r="I17" s="909"/>
      <c r="J17" s="43"/>
      <c r="K17" s="23"/>
      <c r="L17" s="894" t="str">
        <f t="shared" si="6"/>
        <v>FRA</v>
      </c>
      <c r="M17" s="890" t="e">
        <f t="shared" ca="1" si="7"/>
        <v>#NAME?</v>
      </c>
      <c r="N17" s="893" t="str">
        <f ca="1">IFERROR(_xll.qlRateHelperQuoteName(M17,Trigger),"--")</f>
        <v>--</v>
      </c>
      <c r="O17" s="892" t="str">
        <f ca="1">IFERROR(_xll.qlRateHelperQuoteValue($M17,Trigger),"--")</f>
        <v>--</v>
      </c>
      <c r="P17" s="891" t="b">
        <v>1</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8" t="e">
        <f ca="1"/>
        <v>#NAME?</v>
      </c>
      <c r="AD17" s="913"/>
      <c r="AH17" s="1067"/>
    </row>
    <row r="18" spans="1:34" ht="11.25" customHeight="1" x14ac:dyDescent="0.2">
      <c r="A18" s="873" t="s">
        <v>181</v>
      </c>
      <c r="B18" s="912">
        <v>5</v>
      </c>
      <c r="C18" s="911" t="str">
        <f t="shared" si="8"/>
        <v>x11F</v>
      </c>
      <c r="D18" s="909"/>
      <c r="E18" s="909"/>
      <c r="F18" s="909"/>
      <c r="G18" s="874" t="str">
        <f t="shared" si="9"/>
        <v>Euribor6M</v>
      </c>
      <c r="H18" s="910" t="str">
        <f t="shared" si="10"/>
        <v>EUR5x11F_Quote</v>
      </c>
      <c r="I18" s="909"/>
      <c r="J18" s="43"/>
      <c r="K18" s="23"/>
      <c r="L18" s="894" t="str">
        <f t="shared" si="6"/>
        <v>FRA</v>
      </c>
      <c r="M18" s="890" t="e">
        <f t="shared" ca="1" si="7"/>
        <v>#NAME?</v>
      </c>
      <c r="N18" s="893" t="str">
        <f ca="1">IFERROR(_xll.qlRateHelperQuoteName(M18,Trigger),"--")</f>
        <v>--</v>
      </c>
      <c r="O18" s="892" t="str">
        <f ca="1">IFERROR(_xll.qlRateHelperQuoteValue($M18,Trigger),"--")</f>
        <v>--</v>
      </c>
      <c r="P18" s="891" t="b">
        <v>1</v>
      </c>
      <c r="Q18" s="890">
        <v>10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8" t="e">
        <f ca="1"/>
        <v>#NAME?</v>
      </c>
      <c r="AD18" s="913"/>
      <c r="AH18" s="1067"/>
    </row>
    <row r="19" spans="1:34" ht="11.25" customHeight="1" x14ac:dyDescent="0.2">
      <c r="A19" s="873" t="s">
        <v>181</v>
      </c>
      <c r="B19" s="912">
        <v>6</v>
      </c>
      <c r="C19" s="911" t="str">
        <f t="shared" si="8"/>
        <v>x12F</v>
      </c>
      <c r="D19" s="909"/>
      <c r="E19" s="909"/>
      <c r="F19" s="909"/>
      <c r="G19" s="874" t="str">
        <f t="shared" si="9"/>
        <v>Euribor6M</v>
      </c>
      <c r="H19" s="910" t="str">
        <f t="shared" si="10"/>
        <v>EUR6x12F_Quote</v>
      </c>
      <c r="I19" s="909"/>
      <c r="J19" s="43" t="e">
        <f ca="1">_xll.qlFraRateHelper(,H19,B19&amp;"M",G19,PillarDate,,Permanent,Trigger,ObjectOverwrite)</f>
        <v>#NAME?</v>
      </c>
      <c r="K19" s="23"/>
      <c r="L19" s="894" t="str">
        <f t="shared" si="6"/>
        <v>FRA</v>
      </c>
      <c r="M19" s="890" t="e">
        <f t="shared" ca="1" si="7"/>
        <v>#NAME?</v>
      </c>
      <c r="N19" s="893" t="str">
        <f ca="1">IFERROR(_xll.qlRateHelperQuoteName(M19,Trigger),"--")</f>
        <v>--</v>
      </c>
      <c r="O19" s="892" t="str">
        <f ca="1">IFERROR(_xll.qlRateHelperQuoteValue($M19,Trigger),"--")</f>
        <v>--</v>
      </c>
      <c r="P19" s="891" t="b">
        <v>1</v>
      </c>
      <c r="Q19" s="890">
        <v>10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8" t="e">
        <f ca="1"/>
        <v>#NAME?</v>
      </c>
      <c r="AD19" s="913"/>
      <c r="AH19" s="1067"/>
    </row>
    <row r="20" spans="1:34" ht="11.25" customHeight="1" x14ac:dyDescent="0.2">
      <c r="A20" s="873" t="s">
        <v>181</v>
      </c>
      <c r="B20" s="912">
        <v>7</v>
      </c>
      <c r="C20" s="911" t="str">
        <f t="shared" si="8"/>
        <v>x13F</v>
      </c>
      <c r="D20" s="909"/>
      <c r="E20" s="909"/>
      <c r="F20" s="909"/>
      <c r="G20" s="874" t="str">
        <f t="shared" si="9"/>
        <v>Euribor6M</v>
      </c>
      <c r="H20" s="910" t="str">
        <f t="shared" si="10"/>
        <v>EUR7x13F_Quote</v>
      </c>
      <c r="I20" s="909"/>
      <c r="J20" s="43" t="e">
        <f ca="1">_xll.qlFraRateHelper(,H20,B20&amp;"M",G20,PillarDate,,Permanent,Trigger,ObjectOverwrite)</f>
        <v>#NAME?</v>
      </c>
      <c r="K20" s="23"/>
      <c r="L20" s="894" t="str">
        <f t="shared" si="6"/>
        <v>FRA</v>
      </c>
      <c r="M20" s="890" t="e">
        <f t="shared" ca="1" si="7"/>
        <v>#NAME?</v>
      </c>
      <c r="N20" s="893" t="str">
        <f ca="1">IFERROR(_xll.qlRateHelperQuoteName(M20,Trigger),"--")</f>
        <v>--</v>
      </c>
      <c r="O20" s="892" t="str">
        <f ca="1">IFERROR(_xll.qlRateHelperQuoteValue($M20,Trigger),"--")</f>
        <v>--</v>
      </c>
      <c r="P20" s="891" t="b">
        <v>1</v>
      </c>
      <c r="Q20" s="890">
        <v>10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8" t="e">
        <f ca="1"/>
        <v>#NAME?</v>
      </c>
      <c r="AD20" s="913"/>
      <c r="AH20" s="1067"/>
    </row>
    <row r="21" spans="1:34" ht="11.25" customHeight="1" x14ac:dyDescent="0.2">
      <c r="A21" s="873" t="s">
        <v>181</v>
      </c>
      <c r="B21" s="912">
        <v>8</v>
      </c>
      <c r="C21" s="911" t="str">
        <f t="shared" si="8"/>
        <v>x14F</v>
      </c>
      <c r="D21" s="909"/>
      <c r="E21" s="909"/>
      <c r="F21" s="909"/>
      <c r="G21" s="874" t="str">
        <f t="shared" si="9"/>
        <v>Euribor6M</v>
      </c>
      <c r="H21" s="910" t="str">
        <f t="shared" si="10"/>
        <v>EUR8x14F_Quote</v>
      </c>
      <c r="I21" s="909"/>
      <c r="J21" s="43" t="e">
        <f ca="1">_xll.qlFraRateHelper(,H21,B21&amp;"M",G21,PillarDate,,Permanent,Trigger,ObjectOverwrite)</f>
        <v>#NAME?</v>
      </c>
      <c r="K21" s="23"/>
      <c r="L21" s="894" t="str">
        <f t="shared" si="6"/>
        <v>FRA</v>
      </c>
      <c r="M21" s="890" t="e">
        <f t="shared" ca="1" si="7"/>
        <v>#NAME?</v>
      </c>
      <c r="N21" s="893" t="str">
        <f ca="1">IFERROR(_xll.qlRateHelperQuoteName(M21,Trigger),"--")</f>
        <v>--</v>
      </c>
      <c r="O21" s="892" t="str">
        <f ca="1">IFERROR(_xll.qlRateHelperQuoteValue($M21,Trigger),"--")</f>
        <v>--</v>
      </c>
      <c r="P21" s="891" t="b">
        <v>1</v>
      </c>
      <c r="Q21" s="890">
        <v>10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8" t="e">
        <f ca="1"/>
        <v>#NAME?</v>
      </c>
      <c r="AD21" s="913"/>
      <c r="AH21" s="1067"/>
    </row>
    <row r="22" spans="1:34" ht="11.25" customHeight="1" x14ac:dyDescent="0.2">
      <c r="A22" s="873" t="s">
        <v>181</v>
      </c>
      <c r="B22" s="912">
        <v>9</v>
      </c>
      <c r="C22" s="911" t="str">
        <f t="shared" si="8"/>
        <v>x15F</v>
      </c>
      <c r="D22" s="909"/>
      <c r="E22" s="909"/>
      <c r="F22" s="909"/>
      <c r="G22" s="874" t="str">
        <f t="shared" si="9"/>
        <v>Euribor6M</v>
      </c>
      <c r="H22" s="910" t="str">
        <f t="shared" si="10"/>
        <v>EUR9x15F_Quote</v>
      </c>
      <c r="I22" s="909"/>
      <c r="J22" s="43" t="e">
        <f ca="1">_xll.qlFraRateHelper(,H22,B22&amp;"M",G22,PillarDate,,Permanent,Trigger,ObjectOverwrite)</f>
        <v>#NAME?</v>
      </c>
      <c r="K22" s="23"/>
      <c r="L22" s="894" t="str">
        <f t="shared" si="6"/>
        <v>FRA</v>
      </c>
      <c r="M22" s="890" t="e">
        <f t="shared" ca="1" si="7"/>
        <v>#NAME?</v>
      </c>
      <c r="N22" s="893" t="str">
        <f ca="1">IFERROR(_xll.qlRateHelperQuoteName(M22,Trigger),"--")</f>
        <v>--</v>
      </c>
      <c r="O22" s="892" t="str">
        <f ca="1">IFERROR(_xll.qlRateHelperQuoteValue($M22,Trigger),"--")</f>
        <v>--</v>
      </c>
      <c r="P22" s="891" t="b">
        <v>1</v>
      </c>
      <c r="Q22" s="890">
        <v>10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8" t="e">
        <f ca="1"/>
        <v>#NAME?</v>
      </c>
      <c r="AD22" s="913"/>
      <c r="AH22" s="1067"/>
    </row>
    <row r="23" spans="1:34" ht="11.25" customHeight="1" x14ac:dyDescent="0.2">
      <c r="A23" s="873" t="s">
        <v>181</v>
      </c>
      <c r="B23" s="912">
        <v>10</v>
      </c>
      <c r="C23" s="911" t="str">
        <f t="shared" si="8"/>
        <v>x16F</v>
      </c>
      <c r="D23" s="909"/>
      <c r="E23" s="909"/>
      <c r="F23" s="909"/>
      <c r="G23" s="874" t="str">
        <f t="shared" si="9"/>
        <v>Euribor6M</v>
      </c>
      <c r="H23" s="910" t="str">
        <f t="shared" si="10"/>
        <v>EUR10x16F_Quote</v>
      </c>
      <c r="I23" s="909"/>
      <c r="J23" s="43" t="e">
        <f ca="1">_xll.qlFraRateHelper(,H23,B23&amp;"M",G23,PillarDate,,Permanent,Trigger,ObjectOverwrite)</f>
        <v>#NAME?</v>
      </c>
      <c r="K23" s="23"/>
      <c r="L23" s="894" t="str">
        <f t="shared" si="6"/>
        <v>FRA</v>
      </c>
      <c r="M23" s="890" t="e">
        <f t="shared" ca="1" si="7"/>
        <v>#NAME?</v>
      </c>
      <c r="N23" s="893" t="str">
        <f ca="1">IFERROR(_xll.qlRateHelperQuoteName(M23,Trigger),"--")</f>
        <v>--</v>
      </c>
      <c r="O23" s="892" t="str">
        <f ca="1">IFERROR(_xll.qlRateHelperQuoteValue($M23,Trigger),"--")</f>
        <v>--</v>
      </c>
      <c r="P23" s="891" t="b">
        <v>1</v>
      </c>
      <c r="Q23" s="890">
        <v>10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8" t="e">
        <f ca="1"/>
        <v>#NAME?</v>
      </c>
      <c r="AD23" s="913"/>
      <c r="AH23" s="1067"/>
    </row>
    <row r="24" spans="1:34" ht="11.25" customHeight="1" x14ac:dyDescent="0.2">
      <c r="A24" s="873" t="s">
        <v>181</v>
      </c>
      <c r="B24" s="912">
        <v>11</v>
      </c>
      <c r="C24" s="911" t="str">
        <f t="shared" si="8"/>
        <v>x17F</v>
      </c>
      <c r="D24" s="909"/>
      <c r="E24" s="909"/>
      <c r="F24" s="909"/>
      <c r="G24" s="874" t="str">
        <f t="shared" si="9"/>
        <v>Euribor6M</v>
      </c>
      <c r="H24" s="910" t="str">
        <f t="shared" si="10"/>
        <v>EUR11x17F_Quote</v>
      </c>
      <c r="I24" s="909"/>
      <c r="J24" s="43" t="e">
        <f ca="1">_xll.qlFraRateHelper(,H24,B24&amp;"M",G24,PillarDate,,Permanent,Trigger,ObjectOverwrite)</f>
        <v>#NAME?</v>
      </c>
      <c r="K24" s="23"/>
      <c r="L24" s="894" t="str">
        <f t="shared" si="6"/>
        <v>FRA</v>
      </c>
      <c r="M24" s="890" t="str">
        <f t="shared" si="7"/>
        <v>--</v>
      </c>
      <c r="N24" s="893" t="str">
        <f ca="1">IFERROR(_xll.qlRateHelperQuoteName(M24,Trigger),"--")</f>
        <v>--</v>
      </c>
      <c r="O24" s="892" t="str">
        <f ca="1">IFERROR(_xll.qlRateHelperQuoteValue($M24,Trigger),"--")</f>
        <v>--</v>
      </c>
      <c r="P24" s="891" t="b">
        <v>0</v>
      </c>
      <c r="Q24" s="890">
        <v>10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8" t="e">
        <f ca="1"/>
        <v>#NAME?</v>
      </c>
      <c r="AD24" s="913"/>
      <c r="AH24" s="1067"/>
    </row>
    <row r="25" spans="1:34" ht="11.25" customHeight="1" x14ac:dyDescent="0.2">
      <c r="A25" s="873" t="s">
        <v>181</v>
      </c>
      <c r="B25" s="912">
        <v>12</v>
      </c>
      <c r="C25" s="911" t="str">
        <f t="shared" si="8"/>
        <v>x18F</v>
      </c>
      <c r="D25" s="909"/>
      <c r="E25" s="909"/>
      <c r="F25" s="909"/>
      <c r="G25" s="874" t="str">
        <f t="shared" si="9"/>
        <v>Euribor6M</v>
      </c>
      <c r="H25" s="910" t="str">
        <f t="shared" si="10"/>
        <v>EUR12x18F_Quote</v>
      </c>
      <c r="I25" s="909"/>
      <c r="J25" s="43" t="e">
        <f ca="1">_xll.qlFraRateHelper(,H25,B25&amp;"M",G25,PillarDate,,Permanent,Trigger,ObjectOverwrite)</f>
        <v>#NAME?</v>
      </c>
      <c r="K25" s="23"/>
      <c r="L25" s="894" t="str">
        <f t="shared" si="6"/>
        <v>FRA</v>
      </c>
      <c r="M25" s="890" t="str">
        <f t="shared" si="7"/>
        <v>--</v>
      </c>
      <c r="N25" s="893" t="str">
        <f ca="1">IFERROR(_xll.qlRateHelperQuoteName(M25,Trigger),"--")</f>
        <v>--</v>
      </c>
      <c r="O25" s="892" t="str">
        <f ca="1">IFERROR(_xll.qlRateHelperQuoteValue($M25,Trigger),"--")</f>
        <v>--</v>
      </c>
      <c r="P25" s="891" t="b">
        <v>0</v>
      </c>
      <c r="Q25" s="890">
        <v>10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8" t="e">
        <f ca="1"/>
        <v>#NAME?</v>
      </c>
      <c r="AD25" s="913"/>
      <c r="AH25" s="1067"/>
    </row>
    <row r="26" spans="1:34" ht="11.25" customHeight="1" x14ac:dyDescent="0.2">
      <c r="A26" s="873" t="s">
        <v>181</v>
      </c>
      <c r="B26" s="912">
        <v>13</v>
      </c>
      <c r="C26" s="911" t="str">
        <f t="shared" si="8"/>
        <v>x19F</v>
      </c>
      <c r="D26" s="909"/>
      <c r="E26" s="909"/>
      <c r="F26" s="909"/>
      <c r="G26" s="874" t="str">
        <f t="shared" si="9"/>
        <v>Euribor6M</v>
      </c>
      <c r="H26" s="910" t="str">
        <f t="shared" si="10"/>
        <v>EUR13x19F_Quote</v>
      </c>
      <c r="I26" s="909"/>
      <c r="J26" s="43"/>
      <c r="K26" s="23"/>
      <c r="L26" s="894" t="str">
        <f t="shared" si="6"/>
        <v>FRA</v>
      </c>
      <c r="M26" s="890" t="e">
        <f t="shared" ca="1" si="7"/>
        <v>#NAME?</v>
      </c>
      <c r="N26" s="893" t="str">
        <f ca="1">IFERROR(_xll.qlRateHelperQuoteName(M26,Trigger),"--")</f>
        <v>--</v>
      </c>
      <c r="O26" s="892" t="str">
        <f ca="1">IFERROR(_xll.qlRateHelperQuoteValue($M26,Trigger),"--")</f>
        <v>--</v>
      </c>
      <c r="P26" s="891" t="b">
        <v>1</v>
      </c>
      <c r="Q26" s="890">
        <v>10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8" t="e">
        <f ca="1"/>
        <v>#NAME?</v>
      </c>
      <c r="AD26" s="913"/>
      <c r="AH26" s="1067"/>
    </row>
    <row r="27" spans="1:34" ht="11.25" customHeight="1" x14ac:dyDescent="0.2">
      <c r="A27" s="873" t="s">
        <v>181</v>
      </c>
      <c r="B27" s="912">
        <v>14</v>
      </c>
      <c r="C27" s="911" t="str">
        <f t="shared" si="8"/>
        <v>x20F</v>
      </c>
      <c r="D27" s="909"/>
      <c r="E27" s="909"/>
      <c r="F27" s="909"/>
      <c r="G27" s="874" t="str">
        <f t="shared" si="9"/>
        <v>Euribor6M</v>
      </c>
      <c r="H27" s="910" t="str">
        <f t="shared" si="10"/>
        <v>EUR14x20F_Quote</v>
      </c>
      <c r="I27" s="909"/>
      <c r="J27" s="43"/>
      <c r="K27" s="23"/>
      <c r="L27" s="894" t="str">
        <f t="shared" si="6"/>
        <v>FRA</v>
      </c>
      <c r="M27" s="890" t="str">
        <f t="shared" si="7"/>
        <v>--</v>
      </c>
      <c r="N27" s="893" t="str">
        <f ca="1">IFERROR(_xll.qlRateHelperQuoteName(M27,Trigger),"--")</f>
        <v>--</v>
      </c>
      <c r="O27" s="892" t="str">
        <f ca="1">IFERROR(_xll.qlRateHelperQuoteValue($M27,Trigger),"--")</f>
        <v>--</v>
      </c>
      <c r="P27" s="891" t="b">
        <v>0</v>
      </c>
      <c r="Q27" s="890">
        <v>10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8" t="e">
        <f ca="1"/>
        <v>#NAME?</v>
      </c>
      <c r="AD27" s="913"/>
      <c r="AH27" s="1067"/>
    </row>
    <row r="28" spans="1:34" ht="11.25" customHeight="1" x14ac:dyDescent="0.2">
      <c r="A28" s="873" t="s">
        <v>181</v>
      </c>
      <c r="B28" s="912">
        <v>15</v>
      </c>
      <c r="C28" s="911" t="str">
        <f t="shared" si="8"/>
        <v>x21F</v>
      </c>
      <c r="D28" s="909"/>
      <c r="E28" s="909"/>
      <c r="F28" s="909"/>
      <c r="G28" s="874" t="str">
        <f t="shared" si="9"/>
        <v>Euribor6M</v>
      </c>
      <c r="H28" s="910" t="str">
        <f t="shared" si="10"/>
        <v>EUR15x21F_Quote</v>
      </c>
      <c r="I28" s="909"/>
      <c r="J28" s="43" t="e">
        <f ca="1">_xll.qlFraRateHelper(,H28,B28&amp;"M",G28,PillarDate,,Permanent,Trigger,ObjectOverwrite)</f>
        <v>#NAME?</v>
      </c>
      <c r="K28" s="23"/>
      <c r="L28" s="894" t="str">
        <f t="shared" si="6"/>
        <v>FRA</v>
      </c>
      <c r="M28" s="890" t="str">
        <f t="shared" si="7"/>
        <v>--</v>
      </c>
      <c r="N28" s="893" t="str">
        <f ca="1">IFERROR(_xll.qlRateHelperQuoteName(M28,Trigger),"--")</f>
        <v>--</v>
      </c>
      <c r="O28" s="892" t="str">
        <f ca="1">IFERROR(_xll.qlRateHelperQuoteValue($M28,Trigger),"--")</f>
        <v>--</v>
      </c>
      <c r="P28" s="891" t="b">
        <v>0</v>
      </c>
      <c r="Q28" s="890">
        <v>10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8" t="e">
        <f ca="1"/>
        <v>#NAME?</v>
      </c>
      <c r="AD28" s="913"/>
      <c r="AH28" s="1067"/>
    </row>
    <row r="29" spans="1:34" ht="11.25" customHeight="1" x14ac:dyDescent="0.2">
      <c r="A29" s="873" t="s">
        <v>181</v>
      </c>
      <c r="B29" s="912">
        <v>16</v>
      </c>
      <c r="C29" s="911" t="str">
        <f t="shared" si="8"/>
        <v>x22F</v>
      </c>
      <c r="D29" s="909"/>
      <c r="E29" s="909"/>
      <c r="F29" s="909"/>
      <c r="G29" s="874" t="str">
        <f t="shared" si="9"/>
        <v>Euribor6M</v>
      </c>
      <c r="H29" s="910" t="str">
        <f t="shared" si="10"/>
        <v>EUR16x22F_Quote</v>
      </c>
      <c r="I29" s="909"/>
      <c r="J29" s="43"/>
      <c r="K29" s="23"/>
      <c r="L29" s="894" t="str">
        <f t="shared" si="6"/>
        <v>FRA</v>
      </c>
      <c r="M29" s="890" t="str">
        <f t="shared" si="7"/>
        <v>--</v>
      </c>
      <c r="N29" s="893" t="str">
        <f ca="1">IFERROR(_xll.qlRateHelperQuoteName(M29,Trigger),"--")</f>
        <v>--</v>
      </c>
      <c r="O29" s="892" t="str">
        <f ca="1">IFERROR(_xll.qlRateHelperQuoteValue($M29,Trigger),"--")</f>
        <v>--</v>
      </c>
      <c r="P29" s="891" t="b">
        <v>0</v>
      </c>
      <c r="Q29" s="890">
        <v>10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8" t="e">
        <f ca="1"/>
        <v>#NAME?</v>
      </c>
      <c r="AD29" s="913"/>
      <c r="AH29" s="1067"/>
    </row>
    <row r="30" spans="1:34" ht="11.25" customHeight="1" x14ac:dyDescent="0.2">
      <c r="A30" s="873" t="s">
        <v>181</v>
      </c>
      <c r="B30" s="912">
        <v>17</v>
      </c>
      <c r="C30" s="911" t="str">
        <f t="shared" si="8"/>
        <v>x23F</v>
      </c>
      <c r="D30" s="909"/>
      <c r="E30" s="909"/>
      <c r="F30" s="909"/>
      <c r="G30" s="874" t="str">
        <f t="shared" si="9"/>
        <v>Euribor6M</v>
      </c>
      <c r="H30" s="910" t="str">
        <f t="shared" si="10"/>
        <v>EUR17x23F_Quote</v>
      </c>
      <c r="I30" s="909"/>
      <c r="J30" s="43"/>
      <c r="K30" s="23"/>
      <c r="L30" s="908" t="str">
        <f t="shared" ref="L30:L51" si="11">A34</f>
        <v>FUT</v>
      </c>
      <c r="M30" s="904" t="str">
        <f t="shared" ref="M30:M51" si="12">IF(ISBLANK(J34),"--",J34)</f>
        <v>--</v>
      </c>
      <c r="N30" s="907" t="str">
        <f ca="1">IFERROR(_xll.qlRateHelperQuoteName(M30,Trigger),"--")</f>
        <v>--</v>
      </c>
      <c r="O30" s="1016" t="str">
        <f ca="1">IFERROR(_xll.qlRateHelperQuoteValue($M30,Trigger),"--")</f>
        <v>--</v>
      </c>
      <c r="P30" s="905" t="b">
        <v>0</v>
      </c>
      <c r="Q30" s="904">
        <v>10</v>
      </c>
      <c r="R30" s="904">
        <v>1</v>
      </c>
      <c r="S30" s="903" t="str">
        <f ca="1">IFERROR(_xll.qlRateHelperEarliestDate(M30,Trigger),"--")</f>
        <v>--</v>
      </c>
      <c r="T30" s="903"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8" t="e">
        <f ca="1"/>
        <v>#NAME?</v>
      </c>
      <c r="AD30" s="913"/>
      <c r="AH30" s="1067"/>
    </row>
    <row r="31" spans="1:34" ht="11.25" customHeight="1" x14ac:dyDescent="0.2">
      <c r="A31" s="869" t="s">
        <v>181</v>
      </c>
      <c r="B31" s="902">
        <v>18</v>
      </c>
      <c r="C31" s="901" t="str">
        <f t="shared" si="8"/>
        <v>x24F</v>
      </c>
      <c r="D31" s="899"/>
      <c r="E31" s="899"/>
      <c r="F31" s="899"/>
      <c r="G31" s="870" t="str">
        <f t="shared" si="9"/>
        <v>Euribor6M</v>
      </c>
      <c r="H31" s="900" t="str">
        <f t="shared" si="10"/>
        <v>EUR18x24F_Quote</v>
      </c>
      <c r="I31" s="899"/>
      <c r="J31" s="38"/>
      <c r="K31" s="23"/>
      <c r="L31" s="894" t="str">
        <f t="shared" si="11"/>
        <v>FUT</v>
      </c>
      <c r="M31" s="890" t="str">
        <f t="shared" si="12"/>
        <v>--</v>
      </c>
      <c r="N31" s="893" t="str">
        <f ca="1">IFERROR(_xll.qlRateHelperQuoteName(M31,Trigger),"--")</f>
        <v>--</v>
      </c>
      <c r="O31" s="1015" t="str">
        <f ca="1">IFERROR(_xll.qlRateHelperQuoteValue($M31,Trigger),"--")</f>
        <v>--</v>
      </c>
      <c r="P31" s="891" t="b">
        <v>0</v>
      </c>
      <c r="Q31" s="890">
        <v>10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8" t="e">
        <f ca="1"/>
        <v>#NAME?</v>
      </c>
      <c r="AD31" s="913"/>
      <c r="AH31" s="1067"/>
    </row>
    <row r="32" spans="1:34" ht="11.25" customHeight="1" x14ac:dyDescent="0.2">
      <c r="B32" s="1"/>
      <c r="C32" s="1"/>
      <c r="D32" s="1"/>
      <c r="E32" s="1"/>
      <c r="F32" s="1"/>
      <c r="G32" s="1" t="s">
        <v>127</v>
      </c>
      <c r="H32" s="1" t="s">
        <v>415</v>
      </c>
      <c r="K32" s="23"/>
      <c r="L32" s="894" t="str">
        <f t="shared" si="11"/>
        <v>FUT</v>
      </c>
      <c r="M32" s="890" t="str">
        <f t="shared" si="12"/>
        <v>--</v>
      </c>
      <c r="N32" s="893" t="str">
        <f ca="1">IFERROR(_xll.qlRateHelperQuoteName(M32,Trigger),"--")</f>
        <v>--</v>
      </c>
      <c r="O32" s="1015" t="str">
        <f ca="1">IFERROR(_xll.qlRateHelperQuoteValue($M32,Trigger),"--")</f>
        <v>--</v>
      </c>
      <c r="P32" s="891" t="b">
        <v>0</v>
      </c>
      <c r="Q32" s="890">
        <v>10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8" t="e">
        <f ca="1"/>
        <v>#NAME?</v>
      </c>
      <c r="AD32" s="913"/>
    </row>
    <row r="33" spans="1:30" ht="11.25" customHeight="1" x14ac:dyDescent="0.2">
      <c r="A33" s="145" t="s">
        <v>388</v>
      </c>
      <c r="B33" s="145" t="s">
        <v>414</v>
      </c>
      <c r="C33" s="145" t="s">
        <v>144</v>
      </c>
      <c r="D33" s="145"/>
      <c r="E33" s="145"/>
      <c r="F33" s="145"/>
      <c r="G33" s="145" t="s">
        <v>14</v>
      </c>
      <c r="H33" s="145" t="s">
        <v>384</v>
      </c>
      <c r="I33" s="145" t="s">
        <v>413</v>
      </c>
      <c r="J33" s="145" t="s">
        <v>383</v>
      </c>
      <c r="K33" s="23"/>
      <c r="L33" s="894" t="str">
        <f t="shared" si="11"/>
        <v>FUT</v>
      </c>
      <c r="M33" s="890" t="str">
        <f t="shared" si="12"/>
        <v>--</v>
      </c>
      <c r="N33" s="893" t="str">
        <f ca="1">IFERROR(_xll.qlRateHelperQuoteName(M33,Trigger),"--")</f>
        <v>--</v>
      </c>
      <c r="O33" s="1015" t="str">
        <f ca="1">IFERROR(_xll.qlRateHelperQuoteValue($M33,Trigger),"--")</f>
        <v>--</v>
      </c>
      <c r="P33" s="891" t="b">
        <v>0</v>
      </c>
      <c r="Q33" s="890">
        <v>10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8" t="e">
        <f ca="1"/>
        <v>#NAME?</v>
      </c>
      <c r="AD33" s="913"/>
    </row>
    <row r="34" spans="1:30" ht="11.25" customHeight="1" x14ac:dyDescent="0.2">
      <c r="A34" s="896" t="s">
        <v>128</v>
      </c>
      <c r="B34" s="917" t="b">
        <v>0</v>
      </c>
      <c r="C34" s="916" t="e">
        <f ca="1">_xll.qlIMMNextCode(Evaluationdate-1,B34,Trigger)</f>
        <v>#NAME?</v>
      </c>
      <c r="D34" s="914"/>
      <c r="E34" s="914"/>
      <c r="F34" s="914"/>
      <c r="G34" s="897" t="str">
        <f t="shared" ref="G34:G55" si="13">PROPER(Currency)&amp;FamilyName&amp;$G$32</f>
        <v>Euribor3M</v>
      </c>
      <c r="H34" s="915" t="e">
        <f t="shared" ref="H34:H55" ca="1" si="14">Currency&amp;"FUT"&amp;$G$32&amp;$C34&amp;QuoteSuffix</f>
        <v>#NAME?</v>
      </c>
      <c r="I34" s="915" t="e">
        <f t="shared" ref="I34:I55" ca="1" si="15">Currency&amp;"FUT"&amp;$G$32&amp;$C34&amp;"ConvAdj"&amp;QuoteSuffix</f>
        <v>#NAME?</v>
      </c>
      <c r="J34" s="47"/>
      <c r="K34" s="23"/>
      <c r="L34" s="894" t="str">
        <f t="shared" si="11"/>
        <v>FUT</v>
      </c>
      <c r="M34" s="890" t="str">
        <f t="shared" si="12"/>
        <v>--</v>
      </c>
      <c r="N34" s="893" t="str">
        <f ca="1">IFERROR(_xll.qlRateHelperQuoteName(M34,Trigger),"--")</f>
        <v>--</v>
      </c>
      <c r="O34" s="1015" t="str">
        <f ca="1">IFERROR(_xll.qlRateHelperQuoteValue($M34,Trigger),"--")</f>
        <v>--</v>
      </c>
      <c r="P34" s="891" t="b">
        <v>0</v>
      </c>
      <c r="Q34" s="890">
        <v>10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8" t="e">
        <f ca="1"/>
        <v>#NAME?</v>
      </c>
      <c r="AD34" s="913"/>
    </row>
    <row r="35" spans="1:30" ht="11.25" customHeight="1" x14ac:dyDescent="0.2">
      <c r="A35" s="873" t="s">
        <v>128</v>
      </c>
      <c r="B35" s="912" t="b">
        <v>0</v>
      </c>
      <c r="C35" s="911" t="e">
        <f ca="1">_xll.qlIMMNextCode(C34,B35,Trigger)</f>
        <v>#NAME?</v>
      </c>
      <c r="D35" s="909"/>
      <c r="E35" s="909"/>
      <c r="F35" s="909"/>
      <c r="G35" s="874" t="str">
        <f t="shared" si="13"/>
        <v>Euribor3M</v>
      </c>
      <c r="H35" s="910" t="e">
        <f t="shared" ca="1" si="14"/>
        <v>#NAME?</v>
      </c>
      <c r="I35" s="910" t="e">
        <f t="shared" ca="1" si="15"/>
        <v>#NAME?</v>
      </c>
      <c r="J35" s="43"/>
      <c r="K35" s="23"/>
      <c r="L35" s="894" t="str">
        <f t="shared" si="11"/>
        <v>FUT</v>
      </c>
      <c r="M35" s="890" t="str">
        <f t="shared" si="12"/>
        <v>--</v>
      </c>
      <c r="N35" s="893" t="str">
        <f ca="1">IFERROR(_xll.qlRateHelperQuoteName(M35,Trigger),"--")</f>
        <v>--</v>
      </c>
      <c r="O35" s="1015" t="str">
        <f ca="1">IFERROR(_xll.qlRateHelperQuoteValue($M35,Trigger),"--")</f>
        <v>--</v>
      </c>
      <c r="P35" s="891" t="b">
        <v>0</v>
      </c>
      <c r="Q35" s="890">
        <v>10</v>
      </c>
      <c r="R35" s="890">
        <v>1</v>
      </c>
      <c r="S35" s="889" t="str">
        <f ca="1">IFERROR(_xll.qlRateHelperEarliestDate(M35,Trigger),"--")</f>
        <v>--</v>
      </c>
      <c r="T35" s="889" t="str">
        <f ca="1">IFERROR(_xll.qlRateHelperPillarDate(M35,Trigger),"--")</f>
        <v>--</v>
      </c>
      <c r="V35" s="4" t="str">
        <f t="shared" ref="V35:V66" ca="1" si="16">IFERROR(INDEX($L$3:$L$89,MATCH(X35,$N$3:$N$89,0),1),"")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8" t="e">
        <f ca="1"/>
        <v>#NAME?</v>
      </c>
      <c r="AD35" s="913"/>
    </row>
    <row r="36" spans="1:30" ht="11.25" customHeight="1" x14ac:dyDescent="0.2">
      <c r="A36" s="873" t="s">
        <v>128</v>
      </c>
      <c r="B36" s="912" t="b">
        <v>0</v>
      </c>
      <c r="C36" s="911" t="e">
        <f ca="1">_xll.qlIMMNextCode(C35,B36,Trigger)</f>
        <v>#NAME?</v>
      </c>
      <c r="D36" s="909"/>
      <c r="E36" s="909"/>
      <c r="F36" s="909"/>
      <c r="G36" s="874" t="str">
        <f t="shared" si="13"/>
        <v>Euribor3M</v>
      </c>
      <c r="H36" s="910" t="e">
        <f t="shared" ca="1" si="14"/>
        <v>#NAME?</v>
      </c>
      <c r="I36" s="910" t="e">
        <f t="shared" ca="1" si="15"/>
        <v>#NAME?</v>
      </c>
      <c r="J36" s="43"/>
      <c r="K36" s="23"/>
      <c r="L36" s="894" t="str">
        <f t="shared" si="11"/>
        <v>FUT</v>
      </c>
      <c r="M36" s="890" t="str">
        <f t="shared" si="12"/>
        <v>--</v>
      </c>
      <c r="N36" s="893" t="str">
        <f ca="1">IFERROR(_xll.qlRateHelperQuoteName(M36,Trigger),"--")</f>
        <v>--</v>
      </c>
      <c r="O36" s="1015" t="str">
        <f ca="1">IFERROR(_xll.qlRateHelperQuoteValue($M36,Trigger),"--")</f>
        <v>--</v>
      </c>
      <c r="P36" s="891" t="b">
        <v>0</v>
      </c>
      <c r="Q36" s="890">
        <v>10</v>
      </c>
      <c r="R36" s="890">
        <v>1</v>
      </c>
      <c r="S36" s="889" t="str">
        <f ca="1">IFERROR(_xll.qlRateHelperEarliestDate(M36,Trigger),"--")</f>
        <v>--</v>
      </c>
      <c r="T36" s="889" t="str">
        <f ca="1">IFERROR(_xll.qlRateHelperPillarDate(M36,Trigger),"--")</f>
        <v>--</v>
      </c>
      <c r="V36" s="4" t="str">
        <f t="shared" ca="1" si="16"/>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8" t="e">
        <f ca="1"/>
        <v>#NAME?</v>
      </c>
      <c r="AD36" s="913"/>
    </row>
    <row r="37" spans="1:30" ht="11.25" customHeight="1" x14ac:dyDescent="0.2">
      <c r="A37" s="873" t="s">
        <v>128</v>
      </c>
      <c r="B37" s="912" t="b">
        <v>0</v>
      </c>
      <c r="C37" s="911" t="e">
        <f ca="1">_xll.qlIMMNextCode(C36,B37,Trigger)</f>
        <v>#NAME?</v>
      </c>
      <c r="D37" s="909"/>
      <c r="E37" s="909"/>
      <c r="F37" s="909"/>
      <c r="G37" s="874" t="str">
        <f t="shared" si="13"/>
        <v>Euribor3M</v>
      </c>
      <c r="H37" s="910" t="e">
        <f t="shared" ca="1" si="14"/>
        <v>#NAME?</v>
      </c>
      <c r="I37" s="910" t="e">
        <f t="shared" ca="1" si="15"/>
        <v>#NAME?</v>
      </c>
      <c r="J37" s="43"/>
      <c r="K37" s="23"/>
      <c r="L37" s="894" t="str">
        <f t="shared" si="11"/>
        <v>FUT</v>
      </c>
      <c r="M37" s="890" t="str">
        <f t="shared" si="12"/>
        <v>--</v>
      </c>
      <c r="N37" s="893" t="str">
        <f ca="1">IFERROR(_xll.qlRateHelperQuoteName(M37,Trigger),"--")</f>
        <v>--</v>
      </c>
      <c r="O37" s="1015" t="str">
        <f ca="1">IFERROR(_xll.qlRateHelperQuoteValue($M37,Trigger),"--")</f>
        <v>--</v>
      </c>
      <c r="P37" s="891" t="b">
        <v>0</v>
      </c>
      <c r="Q37" s="890">
        <v>10</v>
      </c>
      <c r="R37" s="890">
        <v>1</v>
      </c>
      <c r="S37" s="889" t="str">
        <f ca="1">IFERROR(_xll.qlRateHelperEarliestDate(M37,Trigger),"--")</f>
        <v>--</v>
      </c>
      <c r="T37" s="889" t="str">
        <f ca="1">IFERROR(_xll.qlRateHelperPillarDate(M37,Trigger),"--")</f>
        <v>--</v>
      </c>
      <c r="V37" s="4" t="str">
        <f t="shared" ca="1" si="16"/>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8" t="e">
        <f ca="1"/>
        <v>#NAME?</v>
      </c>
      <c r="AD37" s="913"/>
    </row>
    <row r="38" spans="1:30" ht="11.25" customHeight="1" x14ac:dyDescent="0.2">
      <c r="A38" s="869" t="s">
        <v>128</v>
      </c>
      <c r="B38" s="902" t="b">
        <v>0</v>
      </c>
      <c r="C38" s="901" t="e">
        <f ca="1">_xll.qlIMMNextCode(C37,B38,Trigger)</f>
        <v>#NAME?</v>
      </c>
      <c r="D38" s="899"/>
      <c r="E38" s="899"/>
      <c r="F38" s="899"/>
      <c r="G38" s="870" t="str">
        <f t="shared" si="13"/>
        <v>Euribor3M</v>
      </c>
      <c r="H38" s="900" t="e">
        <f t="shared" ca="1" si="14"/>
        <v>#NAME?</v>
      </c>
      <c r="I38" s="900" t="e">
        <f t="shared" ca="1" si="15"/>
        <v>#NAME?</v>
      </c>
      <c r="J38" s="38"/>
      <c r="K38" s="23"/>
      <c r="L38" s="894" t="str">
        <f t="shared" si="11"/>
        <v>FUT</v>
      </c>
      <c r="M38" s="890" t="str">
        <f t="shared" si="12"/>
        <v>--</v>
      </c>
      <c r="N38" s="893" t="str">
        <f ca="1">IFERROR(_xll.qlRateHelperQuoteName(M38,Trigger),"--")</f>
        <v>--</v>
      </c>
      <c r="O38" s="1015" t="str">
        <f ca="1">IFERROR(_xll.qlRateHelperQuoteValue($M38,Trigger),"--")</f>
        <v>--</v>
      </c>
      <c r="P38" s="891" t="b">
        <v>0</v>
      </c>
      <c r="Q38" s="890">
        <v>10</v>
      </c>
      <c r="R38" s="890">
        <v>1</v>
      </c>
      <c r="S38" s="889" t="str">
        <f ca="1">IFERROR(_xll.qlRateHelperEarliestDate(M38,Trigger),"--")</f>
        <v>--</v>
      </c>
      <c r="T38" s="889" t="str">
        <f ca="1">IFERROR(_xll.qlRateHelperPillarDate(M38,Trigger),"--")</f>
        <v>--</v>
      </c>
      <c r="V38" s="4" t="str">
        <f t="shared" ca="1" si="16"/>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8" t="e">
        <f ca="1"/>
        <v>#NAME?</v>
      </c>
      <c r="AD38" s="913"/>
    </row>
    <row r="39" spans="1:30" ht="11.25" customHeight="1" x14ac:dyDescent="0.2">
      <c r="A39" s="873" t="s">
        <v>128</v>
      </c>
      <c r="B39" s="912" t="b">
        <v>1</v>
      </c>
      <c r="C39" s="911" t="e">
        <f ca="1">_xll.qlIMMNextCode(C38,B39,Trigger)</f>
        <v>#NAME?</v>
      </c>
      <c r="D39" s="909"/>
      <c r="E39" s="909"/>
      <c r="F39" s="909"/>
      <c r="G39" s="874" t="str">
        <f t="shared" si="13"/>
        <v>Euribor3M</v>
      </c>
      <c r="H39" s="910" t="e">
        <f t="shared" ca="1" si="14"/>
        <v>#NAME?</v>
      </c>
      <c r="I39" s="910" t="e">
        <f t="shared" ca="1" si="15"/>
        <v>#NAME?</v>
      </c>
      <c r="J39" s="43"/>
      <c r="L39" s="894" t="str">
        <f t="shared" si="11"/>
        <v>FUT</v>
      </c>
      <c r="M39" s="890" t="str">
        <f t="shared" si="12"/>
        <v>--</v>
      </c>
      <c r="N39" s="893" t="str">
        <f ca="1">IFERROR(_xll.qlRateHelperQuoteName(M39,Trigger),"--")</f>
        <v>--</v>
      </c>
      <c r="O39" s="1015" t="str">
        <f ca="1">IFERROR(_xll.qlRateHelperQuoteValue($M39,Trigger),"--")</f>
        <v>--</v>
      </c>
      <c r="P39" s="891" t="b">
        <v>0</v>
      </c>
      <c r="Q39" s="890">
        <v>10</v>
      </c>
      <c r="R39" s="890">
        <v>1</v>
      </c>
      <c r="S39" s="889" t="str">
        <f ca="1">IFERROR(_xll.qlRateHelperEarliestDate(M39,Trigger),"--")</f>
        <v>--</v>
      </c>
      <c r="T39" s="889" t="str">
        <f ca="1">IFERROR(_xll.qlRateHelperPillarDate(M39,Trigger),"--")</f>
        <v>--</v>
      </c>
      <c r="V39" s="4" t="str">
        <f t="shared" ca="1" si="16"/>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8" t="e">
        <f ca="1"/>
        <v>#NAME?</v>
      </c>
      <c r="AD39" s="913"/>
    </row>
    <row r="40" spans="1:30" ht="11.25" customHeight="1" x14ac:dyDescent="0.2">
      <c r="A40" s="873" t="s">
        <v>128</v>
      </c>
      <c r="B40" s="912" t="b">
        <v>1</v>
      </c>
      <c r="C40" s="911" t="e">
        <f ca="1">_xll.qlIMMNextCode(C39,B40,Trigger)</f>
        <v>#NAME?</v>
      </c>
      <c r="D40" s="909"/>
      <c r="E40" s="909"/>
      <c r="F40" s="909"/>
      <c r="G40" s="874" t="str">
        <f t="shared" si="13"/>
        <v>Euribor3M</v>
      </c>
      <c r="H40" s="910" t="e">
        <f t="shared" ca="1" si="14"/>
        <v>#NAME?</v>
      </c>
      <c r="I40" s="910" t="e">
        <f t="shared" ca="1" si="15"/>
        <v>#NAME?</v>
      </c>
      <c r="J40" s="43"/>
      <c r="L40" s="894" t="str">
        <f t="shared" si="11"/>
        <v>FUT</v>
      </c>
      <c r="M40" s="890" t="str">
        <f t="shared" si="12"/>
        <v>--</v>
      </c>
      <c r="N40" s="893" t="str">
        <f ca="1">IFERROR(_xll.qlRateHelperQuoteName(M40,Trigger),"--")</f>
        <v>--</v>
      </c>
      <c r="O40" s="1015" t="str">
        <f ca="1">IFERROR(_xll.qlRateHelperQuoteValue($M40,Trigger),"--")</f>
        <v>--</v>
      </c>
      <c r="P40" s="891" t="b">
        <v>0</v>
      </c>
      <c r="Q40" s="890">
        <v>10</v>
      </c>
      <c r="R40" s="890">
        <v>1</v>
      </c>
      <c r="S40" s="889" t="str">
        <f ca="1">IFERROR(_xll.qlRateHelperEarliestDate(M40,Trigger),"--")</f>
        <v>--</v>
      </c>
      <c r="T40" s="889" t="str">
        <f ca="1">IFERROR(_xll.qlRateHelperPillarDate(M40,Trigger),"--")</f>
        <v>--</v>
      </c>
      <c r="V40" s="4" t="str">
        <f t="shared" ca="1" si="16"/>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8" t="e">
        <f ca="1"/>
        <v>#NAME?</v>
      </c>
      <c r="AD40" s="913"/>
    </row>
    <row r="41" spans="1:30" ht="11.25" customHeight="1" x14ac:dyDescent="0.2">
      <c r="A41" s="873" t="s">
        <v>128</v>
      </c>
      <c r="B41" s="912" t="b">
        <v>1</v>
      </c>
      <c r="C41" s="911" t="e">
        <f ca="1">_xll.qlIMMNextCode(C40,B41,Trigger)</f>
        <v>#NAME?</v>
      </c>
      <c r="D41" s="909"/>
      <c r="E41" s="909"/>
      <c r="F41" s="909"/>
      <c r="G41" s="874" t="str">
        <f t="shared" si="13"/>
        <v>Euribor3M</v>
      </c>
      <c r="H41" s="910" t="e">
        <f t="shared" ca="1" si="14"/>
        <v>#NAME?</v>
      </c>
      <c r="I41" s="910" t="e">
        <f t="shared" ca="1" si="15"/>
        <v>#NAME?</v>
      </c>
      <c r="J41" s="43"/>
      <c r="L41" s="894" t="str">
        <f t="shared" si="11"/>
        <v>FUT</v>
      </c>
      <c r="M41" s="890" t="str">
        <f t="shared" si="12"/>
        <v>--</v>
      </c>
      <c r="N41" s="893" t="str">
        <f ca="1">IFERROR(_xll.qlRateHelperQuoteName(M41,Trigger),"--")</f>
        <v>--</v>
      </c>
      <c r="O41" s="1015" t="str">
        <f ca="1">IFERROR(_xll.qlRateHelperQuoteValue($M41,Trigger),"--")</f>
        <v>--</v>
      </c>
      <c r="P41" s="891" t="b">
        <v>0</v>
      </c>
      <c r="Q41" s="890">
        <v>10</v>
      </c>
      <c r="R41" s="890">
        <v>1</v>
      </c>
      <c r="S41" s="889" t="str">
        <f ca="1">IFERROR(_xll.qlRateHelperEarliestDate(M41,Trigger),"--")</f>
        <v>--</v>
      </c>
      <c r="T41" s="889" t="str">
        <f ca="1">IFERROR(_xll.qlRateHelperPillarDate(M41,Trigger),"--")</f>
        <v>--</v>
      </c>
      <c r="V41" s="4" t="str">
        <f t="shared" ca="1" si="16"/>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8" t="e">
        <f ca="1"/>
        <v>#NAME?</v>
      </c>
      <c r="AD41" s="913"/>
    </row>
    <row r="42" spans="1:30" ht="11.25" customHeight="1" x14ac:dyDescent="0.2">
      <c r="A42" s="873" t="s">
        <v>128</v>
      </c>
      <c r="B42" s="912" t="b">
        <v>1</v>
      </c>
      <c r="C42" s="911" t="e">
        <f ca="1">_xll.qlIMMNextCode(C41,B42,Trigger)</f>
        <v>#NAME?</v>
      </c>
      <c r="D42" s="909"/>
      <c r="E42" s="909"/>
      <c r="F42" s="909"/>
      <c r="G42" s="874" t="str">
        <f t="shared" si="13"/>
        <v>Euribor3M</v>
      </c>
      <c r="H42" s="910" t="e">
        <f t="shared" ca="1" si="14"/>
        <v>#NAME?</v>
      </c>
      <c r="I42" s="910" t="e">
        <f t="shared" ca="1" si="15"/>
        <v>#NAME?</v>
      </c>
      <c r="J42" s="43"/>
      <c r="L42" s="894" t="str">
        <f t="shared" si="11"/>
        <v>FUT</v>
      </c>
      <c r="M42" s="890" t="str">
        <f t="shared" si="12"/>
        <v>--</v>
      </c>
      <c r="N42" s="893" t="str">
        <f ca="1">IFERROR(_xll.qlRateHelperQuoteName(M42,Trigger),"--")</f>
        <v>--</v>
      </c>
      <c r="O42" s="1015" t="str">
        <f ca="1">IFERROR(_xll.qlRateHelperQuoteValue($M42,Trigger),"--")</f>
        <v>--</v>
      </c>
      <c r="P42" s="891" t="b">
        <v>0</v>
      </c>
      <c r="Q42" s="890">
        <v>10</v>
      </c>
      <c r="R42" s="890">
        <v>1</v>
      </c>
      <c r="S42" s="889" t="str">
        <f ca="1">IFERROR(_xll.qlRateHelperEarliestDate(M42,Trigger),"--")</f>
        <v>--</v>
      </c>
      <c r="T42" s="889" t="str">
        <f ca="1">IFERROR(_xll.qlRateHelperPillarDate(M42,Trigger),"--")</f>
        <v>--</v>
      </c>
      <c r="V42" s="4" t="str">
        <f t="shared" ca="1" si="16"/>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8" t="e">
        <f ca="1"/>
        <v>#NAME?</v>
      </c>
      <c r="AD42" s="913"/>
    </row>
    <row r="43" spans="1:30" ht="11.25" customHeight="1" x14ac:dyDescent="0.2">
      <c r="A43" s="873" t="s">
        <v>128</v>
      </c>
      <c r="B43" s="912" t="b">
        <v>1</v>
      </c>
      <c r="C43" s="911" t="e">
        <f ca="1">_xll.qlIMMNextCode(C42,B43,Trigger)</f>
        <v>#NAME?</v>
      </c>
      <c r="D43" s="909"/>
      <c r="E43" s="909"/>
      <c r="F43" s="909"/>
      <c r="G43" s="874" t="str">
        <f t="shared" si="13"/>
        <v>Euribor3M</v>
      </c>
      <c r="H43" s="910" t="e">
        <f t="shared" ca="1" si="14"/>
        <v>#NAME?</v>
      </c>
      <c r="I43" s="910" t="e">
        <f t="shared" ca="1" si="15"/>
        <v>#NAME?</v>
      </c>
      <c r="J43" s="43"/>
      <c r="L43" s="894" t="str">
        <f t="shared" si="11"/>
        <v>FUT</v>
      </c>
      <c r="M43" s="890" t="str">
        <f t="shared" si="12"/>
        <v>--</v>
      </c>
      <c r="N43" s="893" t="str">
        <f ca="1">IFERROR(_xll.qlRateHelperQuoteName(M43,Trigger),"--")</f>
        <v>--</v>
      </c>
      <c r="O43" s="1015" t="str">
        <f ca="1">IFERROR(_xll.qlRateHelperQuoteValue($M43,Trigger),"--")</f>
        <v>--</v>
      </c>
      <c r="P43" s="891" t="b">
        <v>0</v>
      </c>
      <c r="Q43" s="890">
        <v>10</v>
      </c>
      <c r="R43" s="890">
        <v>1</v>
      </c>
      <c r="S43" s="889" t="str">
        <f ca="1">IFERROR(_xll.qlRateHelperEarliestDate(M43,Trigger),"--")</f>
        <v>--</v>
      </c>
      <c r="T43" s="889" t="str">
        <f ca="1">IFERROR(_xll.qlRateHelperPillarDate(M43,Trigger),"--")</f>
        <v>--</v>
      </c>
      <c r="V43" s="4" t="str">
        <f t="shared" ca="1" si="16"/>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8" t="e">
        <f ca="1"/>
        <v>#NAME?</v>
      </c>
      <c r="AD43" s="913"/>
    </row>
    <row r="44" spans="1:30" ht="11.25" customHeight="1" x14ac:dyDescent="0.2">
      <c r="A44" s="873" t="s">
        <v>128</v>
      </c>
      <c r="B44" s="912" t="b">
        <v>1</v>
      </c>
      <c r="C44" s="911" t="e">
        <f ca="1">_xll.qlIMMNextCode(C43,B44,Trigger)</f>
        <v>#NAME?</v>
      </c>
      <c r="D44" s="909"/>
      <c r="E44" s="909"/>
      <c r="F44" s="909"/>
      <c r="G44" s="874" t="str">
        <f t="shared" si="13"/>
        <v>Euribor3M</v>
      </c>
      <c r="H44" s="910" t="e">
        <f t="shared" ca="1" si="14"/>
        <v>#NAME?</v>
      </c>
      <c r="I44" s="910" t="e">
        <f t="shared" ca="1" si="15"/>
        <v>#NAME?</v>
      </c>
      <c r="J44" s="43"/>
      <c r="L44" s="894" t="str">
        <f t="shared" si="11"/>
        <v>FUT</v>
      </c>
      <c r="M44" s="890" t="str">
        <f t="shared" si="12"/>
        <v>--</v>
      </c>
      <c r="N44" s="893" t="str">
        <f ca="1">IFERROR(_xll.qlRateHelperQuoteName(M44,Trigger),"--")</f>
        <v>--</v>
      </c>
      <c r="O44" s="1015" t="str">
        <f ca="1">IFERROR(_xll.qlRateHelperQuoteValue($M44,Trigger),"--")</f>
        <v>--</v>
      </c>
      <c r="P44" s="891" t="b">
        <v>0</v>
      </c>
      <c r="Q44" s="890">
        <v>10</v>
      </c>
      <c r="R44" s="890">
        <v>1</v>
      </c>
      <c r="S44" s="889" t="str">
        <f ca="1">IFERROR(_xll.qlRateHelperEarliestDate(M44,Trigger),"--")</f>
        <v>--</v>
      </c>
      <c r="T44" s="889" t="str">
        <f ca="1">IFERROR(_xll.qlRateHelperPillarDate(M44,Trigger),"--")</f>
        <v>--</v>
      </c>
      <c r="V44" s="4" t="str">
        <f t="shared" ca="1" si="16"/>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8" t="e">
        <f ca="1"/>
        <v>#NAME?</v>
      </c>
      <c r="AD44" s="913"/>
    </row>
    <row r="45" spans="1:30" ht="11.25" customHeight="1" x14ac:dyDescent="0.2">
      <c r="A45" s="873" t="s">
        <v>128</v>
      </c>
      <c r="B45" s="912" t="b">
        <v>1</v>
      </c>
      <c r="C45" s="911" t="e">
        <f ca="1">_xll.qlIMMNextCode(C44,B45,Trigger)</f>
        <v>#NAME?</v>
      </c>
      <c r="D45" s="909"/>
      <c r="E45" s="909"/>
      <c r="F45" s="909"/>
      <c r="G45" s="874" t="str">
        <f t="shared" si="13"/>
        <v>Euribor3M</v>
      </c>
      <c r="H45" s="910" t="e">
        <f t="shared" ca="1" si="14"/>
        <v>#NAME?</v>
      </c>
      <c r="I45" s="910" t="e">
        <f t="shared" ca="1" si="15"/>
        <v>#NAME?</v>
      </c>
      <c r="J45" s="43"/>
      <c r="L45" s="894" t="str">
        <f t="shared" si="11"/>
        <v>FUT</v>
      </c>
      <c r="M45" s="890" t="str">
        <f t="shared" si="12"/>
        <v>--</v>
      </c>
      <c r="N45" s="893" t="str">
        <f ca="1">IFERROR(_xll.qlRateHelperQuoteName(M45,Trigger),"--")</f>
        <v>--</v>
      </c>
      <c r="O45" s="1015" t="str">
        <f ca="1">IFERROR(_xll.qlRateHelperQuoteValue($M45,Trigger),"--")</f>
        <v>--</v>
      </c>
      <c r="P45" s="891" t="b">
        <v>0</v>
      </c>
      <c r="Q45" s="890">
        <v>10</v>
      </c>
      <c r="R45" s="890">
        <v>1</v>
      </c>
      <c r="S45" s="889" t="str">
        <f ca="1">IFERROR(_xll.qlRateHelperEarliestDate(M45,Trigger),"--")</f>
        <v>--</v>
      </c>
      <c r="T45" s="889" t="str">
        <f ca="1">IFERROR(_xll.qlRateHelperPillarDate(M45,Trigger),"--")</f>
        <v>--</v>
      </c>
      <c r="V45" s="4" t="str">
        <f t="shared" ca="1" si="16"/>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8" t="e">
        <f ca="1"/>
        <v>#NAME?</v>
      </c>
      <c r="AD45" s="913"/>
    </row>
    <row r="46" spans="1:30" ht="11.25" customHeight="1" x14ac:dyDescent="0.2">
      <c r="A46" s="873" t="s">
        <v>128</v>
      </c>
      <c r="B46" s="912" t="b">
        <v>1</v>
      </c>
      <c r="C46" s="911" t="e">
        <f ca="1">_xll.qlIMMNextCode(C45,B46,Trigger)</f>
        <v>#NAME?</v>
      </c>
      <c r="D46" s="909"/>
      <c r="E46" s="909"/>
      <c r="F46" s="909"/>
      <c r="G46" s="874" t="str">
        <f t="shared" si="13"/>
        <v>Euribor3M</v>
      </c>
      <c r="H46" s="910" t="e">
        <f t="shared" ca="1" si="14"/>
        <v>#NAME?</v>
      </c>
      <c r="I46" s="910" t="e">
        <f t="shared" ca="1" si="15"/>
        <v>#NAME?</v>
      </c>
      <c r="J46" s="43"/>
      <c r="L46" s="894" t="str">
        <f t="shared" si="11"/>
        <v>FUT</v>
      </c>
      <c r="M46" s="890" t="str">
        <f t="shared" si="12"/>
        <v>--</v>
      </c>
      <c r="N46" s="893" t="str">
        <f ca="1">IFERROR(_xll.qlRateHelperQuoteName(M46,Trigger),"--")</f>
        <v>--</v>
      </c>
      <c r="O46" s="1015" t="str">
        <f ca="1">IFERROR(_xll.qlRateHelperQuoteValue($M46,Trigger),"--")</f>
        <v>--</v>
      </c>
      <c r="P46" s="891" t="b">
        <v>0</v>
      </c>
      <c r="Q46" s="890">
        <v>10</v>
      </c>
      <c r="R46" s="890">
        <v>1</v>
      </c>
      <c r="S46" s="889" t="str">
        <f ca="1">IFERROR(_xll.qlRateHelperEarliestDate(M46,Trigger),"--")</f>
        <v>--</v>
      </c>
      <c r="T46" s="889" t="str">
        <f ca="1">IFERROR(_xll.qlRateHelperPillarDate(M46,Trigger),"--")</f>
        <v>--</v>
      </c>
      <c r="V46" s="4" t="str">
        <f t="shared" ca="1" si="16"/>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8" t="e">
        <f ca="1"/>
        <v>#NAME?</v>
      </c>
      <c r="AD46" s="913"/>
    </row>
    <row r="47" spans="1:30" ht="11.25" customHeight="1" x14ac:dyDescent="0.2">
      <c r="A47" s="873" t="s">
        <v>128</v>
      </c>
      <c r="B47" s="912" t="b">
        <v>1</v>
      </c>
      <c r="C47" s="911" t="e">
        <f ca="1">_xll.qlIMMNextCode(C46,B47,Trigger)</f>
        <v>#NAME?</v>
      </c>
      <c r="D47" s="909"/>
      <c r="E47" s="909"/>
      <c r="F47" s="909"/>
      <c r="G47" s="874" t="str">
        <f t="shared" si="13"/>
        <v>Euribor3M</v>
      </c>
      <c r="H47" s="910" t="e">
        <f t="shared" ca="1" si="14"/>
        <v>#NAME?</v>
      </c>
      <c r="I47" s="910" t="e">
        <f t="shared" ca="1" si="15"/>
        <v>#NAME?</v>
      </c>
      <c r="J47" s="43"/>
      <c r="L47" s="894" t="str">
        <f t="shared" si="11"/>
        <v>FUT</v>
      </c>
      <c r="M47" s="890" t="str">
        <f t="shared" si="12"/>
        <v>--</v>
      </c>
      <c r="N47" s="893" t="str">
        <f ca="1">IFERROR(_xll.qlRateHelperQuoteName(M47,Trigger),"--")</f>
        <v>--</v>
      </c>
      <c r="O47" s="1015" t="str">
        <f ca="1">IFERROR(_xll.qlRateHelperQuoteValue($M47,Trigger),"--")</f>
        <v>--</v>
      </c>
      <c r="P47" s="891" t="b">
        <v>0</v>
      </c>
      <c r="Q47" s="890">
        <v>10</v>
      </c>
      <c r="R47" s="890">
        <v>1</v>
      </c>
      <c r="S47" s="889" t="str">
        <f ca="1">IFERROR(_xll.qlRateHelperEarliestDate(M47,Trigger),"--")</f>
        <v>--</v>
      </c>
      <c r="T47" s="889" t="str">
        <f ca="1">IFERROR(_xll.qlRateHelperPillarDate(M47,Trigger),"--")</f>
        <v>--</v>
      </c>
      <c r="V47" s="4" t="str">
        <f t="shared" ca="1" si="16"/>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8" t="e">
        <f ca="1"/>
        <v>#NAME?</v>
      </c>
      <c r="AD47" s="913"/>
    </row>
    <row r="48" spans="1:30" ht="11.25" customHeight="1" x14ac:dyDescent="0.2">
      <c r="A48" s="873" t="s">
        <v>128</v>
      </c>
      <c r="B48" s="912" t="b">
        <v>1</v>
      </c>
      <c r="C48" s="911" t="e">
        <f ca="1">_xll.qlIMMNextCode(C47,B48,Trigger)</f>
        <v>#NAME?</v>
      </c>
      <c r="D48" s="909"/>
      <c r="E48" s="909"/>
      <c r="F48" s="909"/>
      <c r="G48" s="874" t="str">
        <f t="shared" si="13"/>
        <v>Euribor3M</v>
      </c>
      <c r="H48" s="910" t="e">
        <f t="shared" ca="1" si="14"/>
        <v>#NAME?</v>
      </c>
      <c r="I48" s="910" t="e">
        <f t="shared" ca="1" si="15"/>
        <v>#NAME?</v>
      </c>
      <c r="J48" s="43"/>
      <c r="L48" s="894" t="str">
        <f t="shared" si="11"/>
        <v>FUT</v>
      </c>
      <c r="M48" s="890" t="str">
        <f t="shared" si="12"/>
        <v>--</v>
      </c>
      <c r="N48" s="893" t="str">
        <f ca="1">IFERROR(_xll.qlRateHelperQuoteName(M48,Trigger),"--")</f>
        <v>--</v>
      </c>
      <c r="O48" s="1015" t="str">
        <f ca="1">IFERROR(_xll.qlRateHelperQuoteValue($M48,Trigger),"--")</f>
        <v>--</v>
      </c>
      <c r="P48" s="891" t="b">
        <v>0</v>
      </c>
      <c r="Q48" s="890">
        <v>10</v>
      </c>
      <c r="R48" s="890">
        <v>1</v>
      </c>
      <c r="S48" s="889" t="str">
        <f ca="1">IFERROR(_xll.qlRateHelperEarliestDate(M48,Trigger),"--")</f>
        <v>--</v>
      </c>
      <c r="T48" s="889" t="str">
        <f ca="1">IFERROR(_xll.qlRateHelperPillarDate(M48,Trigger),"--")</f>
        <v>--</v>
      </c>
      <c r="V48" s="4" t="str">
        <f t="shared" ca="1" si="16"/>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8" t="e">
        <f ca="1"/>
        <v>#NAME?</v>
      </c>
      <c r="AD48" s="913"/>
    </row>
    <row r="49" spans="1:30" ht="11.25" customHeight="1" x14ac:dyDescent="0.2">
      <c r="A49" s="873" t="s">
        <v>128</v>
      </c>
      <c r="B49" s="912" t="b">
        <v>1</v>
      </c>
      <c r="C49" s="911" t="e">
        <f ca="1">_xll.qlIMMNextCode(C48,B49,Trigger)</f>
        <v>#NAME?</v>
      </c>
      <c r="D49" s="909"/>
      <c r="E49" s="909"/>
      <c r="F49" s="909"/>
      <c r="G49" s="874" t="str">
        <f t="shared" si="13"/>
        <v>Euribor3M</v>
      </c>
      <c r="H49" s="910" t="e">
        <f t="shared" ca="1" si="14"/>
        <v>#NAME?</v>
      </c>
      <c r="I49" s="910" t="e">
        <f t="shared" ca="1" si="15"/>
        <v>#NAME?</v>
      </c>
      <c r="J49" s="43"/>
      <c r="L49" s="894" t="str">
        <f t="shared" si="11"/>
        <v>FUT</v>
      </c>
      <c r="M49" s="890" t="str">
        <f t="shared" si="12"/>
        <v>--</v>
      </c>
      <c r="N49" s="893" t="str">
        <f ca="1">IFERROR(_xll.qlRateHelperQuoteName(M49,Trigger),"--")</f>
        <v>--</v>
      </c>
      <c r="O49" s="1015" t="str">
        <f ca="1">IFERROR(_xll.qlRateHelperQuoteValue($M49,Trigger),"--")</f>
        <v>--</v>
      </c>
      <c r="P49" s="891" t="b">
        <v>0</v>
      </c>
      <c r="Q49" s="890">
        <v>10</v>
      </c>
      <c r="R49" s="890">
        <v>1</v>
      </c>
      <c r="S49" s="889" t="str">
        <f ca="1">IFERROR(_xll.qlRateHelperEarliestDate(M49,Trigger),"--")</f>
        <v>--</v>
      </c>
      <c r="T49" s="889" t="str">
        <f ca="1">IFERROR(_xll.qlRateHelperPillarDate(M49,Trigger),"--")</f>
        <v>--</v>
      </c>
      <c r="V49" s="4" t="str">
        <f t="shared" ca="1" si="16"/>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8" t="e">
        <f ca="1"/>
        <v>#NAME?</v>
      </c>
      <c r="AD49" s="913"/>
    </row>
    <row r="50" spans="1:30" ht="11.25" customHeight="1" x14ac:dyDescent="0.2">
      <c r="A50" s="873" t="s">
        <v>128</v>
      </c>
      <c r="B50" s="912" t="b">
        <v>1</v>
      </c>
      <c r="C50" s="911" t="e">
        <f ca="1">_xll.qlIMMNextCode(C49,B50,Trigger)</f>
        <v>#NAME?</v>
      </c>
      <c r="D50" s="909"/>
      <c r="E50" s="909"/>
      <c r="F50" s="909"/>
      <c r="G50" s="874" t="str">
        <f t="shared" si="13"/>
        <v>Euribor3M</v>
      </c>
      <c r="H50" s="910" t="e">
        <f t="shared" ca="1" si="14"/>
        <v>#NAME?</v>
      </c>
      <c r="I50" s="910" t="e">
        <f t="shared" ca="1" si="15"/>
        <v>#NAME?</v>
      </c>
      <c r="J50" s="43"/>
      <c r="L50" s="894" t="str">
        <f t="shared" si="11"/>
        <v>FUT</v>
      </c>
      <c r="M50" s="890" t="str">
        <f t="shared" si="12"/>
        <v>--</v>
      </c>
      <c r="N50" s="893" t="str">
        <f ca="1">IFERROR(_xll.qlRateHelperQuoteName(M50,Trigger),"--")</f>
        <v>--</v>
      </c>
      <c r="O50" s="1015" t="str">
        <f ca="1">IFERROR(_xll.qlRateHelperQuoteValue($M50,Trigger),"--")</f>
        <v>--</v>
      </c>
      <c r="P50" s="891" t="b">
        <v>0</v>
      </c>
      <c r="Q50" s="890">
        <v>10</v>
      </c>
      <c r="R50" s="890">
        <v>1</v>
      </c>
      <c r="S50" s="889" t="str">
        <f ca="1">IFERROR(_xll.qlRateHelperEarliestDate(M50,Trigger),"--")</f>
        <v>--</v>
      </c>
      <c r="T50" s="889" t="str">
        <f ca="1">IFERROR(_xll.qlRateHelperPillarDate(M50,Trigger),"--")</f>
        <v>--</v>
      </c>
      <c r="V50" s="4" t="str">
        <f t="shared" ca="1" si="16"/>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8" t="e">
        <f ca="1"/>
        <v>#NAME?</v>
      </c>
      <c r="AD50" s="913"/>
    </row>
    <row r="51" spans="1:30" ht="11.25" customHeight="1" x14ac:dyDescent="0.2">
      <c r="A51" s="873" t="s">
        <v>128</v>
      </c>
      <c r="B51" s="912" t="b">
        <v>1</v>
      </c>
      <c r="C51" s="911" t="e">
        <f ca="1">_xll.qlIMMNextCode(C50,B51,Trigger)</f>
        <v>#NAME?</v>
      </c>
      <c r="D51" s="909"/>
      <c r="E51" s="909"/>
      <c r="F51" s="909"/>
      <c r="G51" s="874" t="str">
        <f t="shared" si="13"/>
        <v>Euribor3M</v>
      </c>
      <c r="H51" s="910" t="e">
        <f t="shared" ca="1" si="14"/>
        <v>#NAME?</v>
      </c>
      <c r="I51" s="910" t="e">
        <f t="shared" ca="1" si="15"/>
        <v>#NAME?</v>
      </c>
      <c r="J51" s="43"/>
      <c r="L51" s="885" t="str">
        <f t="shared" si="11"/>
        <v>FUT</v>
      </c>
      <c r="M51" s="881" t="str">
        <f t="shared" si="12"/>
        <v>--</v>
      </c>
      <c r="N51" s="884" t="str">
        <f ca="1">IFERROR(_xll.qlRateHelperQuoteName(M51,Trigger),"--")</f>
        <v>--</v>
      </c>
      <c r="O51" s="1014" t="str">
        <f ca="1">IFERROR(_xll.qlRateHelperQuoteValue($M51,Trigger),"--")</f>
        <v>--</v>
      </c>
      <c r="P51" s="882" t="b">
        <v>0</v>
      </c>
      <c r="Q51" s="881">
        <v>10</v>
      </c>
      <c r="R51" s="881">
        <v>1</v>
      </c>
      <c r="S51" s="880" t="str">
        <f ca="1">IFERROR(_xll.qlRateHelperEarliestDate(M51,Trigger),"--")</f>
        <v>--</v>
      </c>
      <c r="T51" s="880" t="str">
        <f ca="1">IFERROR(_xll.qlRateHelperPillarDate(M51,Trigger),"--")</f>
        <v>--</v>
      </c>
      <c r="V51" s="4" t="str">
        <f t="shared" ca="1" si="16"/>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8" t="e">
        <f ca="1"/>
        <v>#NAME?</v>
      </c>
      <c r="AD51" s="913"/>
    </row>
    <row r="52" spans="1:30" ht="11.25" customHeight="1" x14ac:dyDescent="0.2">
      <c r="A52" s="873" t="s">
        <v>128</v>
      </c>
      <c r="B52" s="912" t="b">
        <v>1</v>
      </c>
      <c r="C52" s="911" t="e">
        <f ca="1">_xll.qlIMMNextCode(C51,B52,Trigger)</f>
        <v>#NAME?</v>
      </c>
      <c r="D52" s="909"/>
      <c r="E52" s="909"/>
      <c r="F52" s="909"/>
      <c r="G52" s="874" t="str">
        <f t="shared" si="13"/>
        <v>Euribor3M</v>
      </c>
      <c r="H52" s="910" t="e">
        <f t="shared" ca="1" si="14"/>
        <v>#NAME?</v>
      </c>
      <c r="I52" s="910" t="e">
        <f t="shared" ca="1" si="15"/>
        <v>#NAME?</v>
      </c>
      <c r="J52" s="43"/>
      <c r="L52" s="1012" t="str">
        <f t="shared" ref="L52:L89" si="17">A58</f>
        <v>Sw</v>
      </c>
      <c r="M52" s="1066" t="str">
        <f t="shared" ref="M52:M89" si="18">IF(ISBLANK(J58),"--",J58)</f>
        <v>--</v>
      </c>
      <c r="N52" s="1011" t="str">
        <f ca="1">IFERROR(_xll.qlRateHelperQuoteName(M52,Trigger),"--")</f>
        <v>--</v>
      </c>
      <c r="O52" s="1010" t="str">
        <f ca="1">IFERROR(_xll.qlRateHelperQuoteValue($M52,Trigger),"--")</f>
        <v>--</v>
      </c>
      <c r="P52" s="970" t="b">
        <v>0</v>
      </c>
      <c r="Q52" s="1066">
        <v>50</v>
      </c>
      <c r="R52" s="1066">
        <v>1</v>
      </c>
      <c r="S52" s="1009" t="str">
        <f ca="1">IFERROR(_xll.qlRateHelperEarliestDate(M52,Trigger),"--")</f>
        <v>--</v>
      </c>
      <c r="T52" s="1009" t="str">
        <f ca="1">IFERROR(_xll.qlRateHelperPillarDate(M52,Trigger),"--")</f>
        <v>--</v>
      </c>
      <c r="V52" s="4" t="str">
        <f t="shared" ca="1" si="16"/>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8" t="e">
        <f ca="1"/>
        <v>#NAME?</v>
      </c>
      <c r="AD52" s="913"/>
    </row>
    <row r="53" spans="1:30" ht="11.25" customHeight="1" x14ac:dyDescent="0.2">
      <c r="A53" s="873" t="s">
        <v>128</v>
      </c>
      <c r="B53" s="912" t="b">
        <v>1</v>
      </c>
      <c r="C53" s="911" t="e">
        <f ca="1">_xll.qlIMMNextCode(C52,B53,Trigger)</f>
        <v>#NAME?</v>
      </c>
      <c r="D53" s="909"/>
      <c r="E53" s="909"/>
      <c r="F53" s="909"/>
      <c r="G53" s="874" t="str">
        <f t="shared" si="13"/>
        <v>Euribor3M</v>
      </c>
      <c r="H53" s="910" t="e">
        <f t="shared" ca="1" si="14"/>
        <v>#NAME?</v>
      </c>
      <c r="I53" s="910" t="e">
        <f t="shared" ca="1" si="15"/>
        <v>#NAME?</v>
      </c>
      <c r="J53" s="43"/>
      <c r="L53" s="1004" t="str">
        <f t="shared" si="17"/>
        <v>Sw</v>
      </c>
      <c r="M53" s="1013" t="str">
        <f t="shared" si="18"/>
        <v>--</v>
      </c>
      <c r="N53" s="1003" t="str">
        <f ca="1">IFERROR(_xll.qlRateHelperQuoteName(M53,Trigger),"--")</f>
        <v>--</v>
      </c>
      <c r="O53" s="1002" t="str">
        <f ca="1">IFERROR(_xll.qlRateHelperQuoteValue($M53,Trigger),"--")</f>
        <v>--</v>
      </c>
      <c r="P53" s="969" t="b">
        <v>0</v>
      </c>
      <c r="Q53" s="1013">
        <v>50</v>
      </c>
      <c r="R53" s="1013">
        <v>1</v>
      </c>
      <c r="S53" s="1001" t="str">
        <f ca="1">IFERROR(_xll.qlRateHelperEarliestDate(M53,Trigger),"--")</f>
        <v>--</v>
      </c>
      <c r="T53" s="1001" t="str">
        <f ca="1">IFERROR(_xll.qlRateHelperPillarDate(M53,Trigger),"--")</f>
        <v>--</v>
      </c>
      <c r="V53" s="4" t="str">
        <f t="shared" ca="1" si="16"/>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8" t="e">
        <f ca="1"/>
        <v>#NAME?</v>
      </c>
      <c r="AD53" s="913"/>
    </row>
    <row r="54" spans="1:30" ht="11.25" customHeight="1" x14ac:dyDescent="0.2">
      <c r="A54" s="873" t="s">
        <v>128</v>
      </c>
      <c r="B54" s="912" t="b">
        <v>1</v>
      </c>
      <c r="C54" s="911" t="e">
        <f ca="1">_xll.qlIMMNextCode(C53,B54,Trigger)</f>
        <v>#NAME?</v>
      </c>
      <c r="D54" s="909"/>
      <c r="E54" s="909"/>
      <c r="F54" s="909"/>
      <c r="G54" s="874" t="str">
        <f t="shared" si="13"/>
        <v>Euribor3M</v>
      </c>
      <c r="H54" s="910" t="e">
        <f t="shared" ca="1" si="14"/>
        <v>#NAME?</v>
      </c>
      <c r="I54" s="910" t="e">
        <f t="shared" ca="1" si="15"/>
        <v>#NAME?</v>
      </c>
      <c r="J54" s="43"/>
      <c r="L54" s="1004" t="str">
        <f t="shared" si="17"/>
        <v>Sw</v>
      </c>
      <c r="M54" s="1013" t="str">
        <f t="shared" si="18"/>
        <v>--</v>
      </c>
      <c r="N54" s="1003" t="str">
        <f ca="1">IFERROR(_xll.qlRateHelperQuoteName(M54,Trigger),"--")</f>
        <v>--</v>
      </c>
      <c r="O54" s="1002" t="str">
        <f ca="1">IFERROR(_xll.qlRateHelperQuoteValue($M54,Trigger),"--")</f>
        <v>--</v>
      </c>
      <c r="P54" s="969" t="b">
        <v>0</v>
      </c>
      <c r="Q54" s="1013">
        <v>50</v>
      </c>
      <c r="R54" s="1013">
        <v>1</v>
      </c>
      <c r="S54" s="1001" t="str">
        <f ca="1">IFERROR(_xll.qlRateHelperEarliestDate(M54,Trigger),"--")</f>
        <v>--</v>
      </c>
      <c r="T54" s="1001" t="str">
        <f ca="1">IFERROR(_xll.qlRateHelperPillarDate(M54,Trigger),"--")</f>
        <v>--</v>
      </c>
      <c r="V54" s="4" t="str">
        <f t="shared" ca="1" si="16"/>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8" t="e">
        <f ca="1"/>
        <v>#NAME?</v>
      </c>
      <c r="AD54" s="913"/>
    </row>
    <row r="55" spans="1:30" ht="11.25" customHeight="1" x14ac:dyDescent="0.2">
      <c r="A55" s="869" t="s">
        <v>128</v>
      </c>
      <c r="B55" s="902" t="b">
        <v>1</v>
      </c>
      <c r="C55" s="901" t="e">
        <f ca="1">_xll.qlIMMNextCode(C54,B55,Trigger)</f>
        <v>#NAME?</v>
      </c>
      <c r="D55" s="899"/>
      <c r="E55" s="899"/>
      <c r="F55" s="899"/>
      <c r="G55" s="870" t="str">
        <f t="shared" si="13"/>
        <v>Euribor3M</v>
      </c>
      <c r="H55" s="900" t="e">
        <f t="shared" ca="1" si="14"/>
        <v>#NAME?</v>
      </c>
      <c r="I55" s="900" t="e">
        <f t="shared" ca="1" si="15"/>
        <v>#NAME?</v>
      </c>
      <c r="J55" s="38"/>
      <c r="L55" s="1004" t="str">
        <f t="shared" si="17"/>
        <v>Sw</v>
      </c>
      <c r="M55" s="1013" t="str">
        <f t="shared" si="18"/>
        <v>--</v>
      </c>
      <c r="N55" s="1003" t="str">
        <f ca="1">IFERROR(_xll.qlRateHelperQuoteName(M55,Trigger),"--")</f>
        <v>--</v>
      </c>
      <c r="O55" s="1002" t="str">
        <f ca="1">IFERROR(_xll.qlRateHelperQuoteValue($M55,Trigger),"--")</f>
        <v>--</v>
      </c>
      <c r="P55" s="969" t="b">
        <v>0</v>
      </c>
      <c r="Q55" s="1013">
        <v>50</v>
      </c>
      <c r="R55" s="1013">
        <v>1</v>
      </c>
      <c r="S55" s="1001" t="str">
        <f ca="1">IFERROR(_xll.qlRateHelperEarliestDate(M55,Trigger),"--")</f>
        <v>--</v>
      </c>
      <c r="T55" s="1001" t="str">
        <f ca="1">IFERROR(_xll.qlRateHelperPillarDate(M55,Trigger),"--")</f>
        <v>--</v>
      </c>
      <c r="V55" s="4" t="str">
        <f t="shared" ca="1" si="16"/>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8" t="e">
        <f ca="1"/>
        <v>#NAME?</v>
      </c>
      <c r="AD55" s="913"/>
    </row>
    <row r="56" spans="1:30" ht="11.25" customHeight="1" x14ac:dyDescent="0.2">
      <c r="G56" s="238" t="s">
        <v>21</v>
      </c>
      <c r="H56" s="238" t="s">
        <v>66</v>
      </c>
      <c r="L56" s="1004" t="str">
        <f t="shared" si="17"/>
        <v>Sw</v>
      </c>
      <c r="M56" s="1013" t="e">
        <f t="shared" ca="1" si="18"/>
        <v>#NAME?</v>
      </c>
      <c r="N56" s="1003" t="str">
        <f ca="1">IFERROR(_xll.qlRateHelperQuoteName(M56,Trigger),"--")</f>
        <v>--</v>
      </c>
      <c r="O56" s="1002" t="str">
        <f ca="1">IFERROR(_xll.qlRateHelperQuoteValue($M56,Trigger),"--")</f>
        <v>--</v>
      </c>
      <c r="P56" s="969" t="b">
        <v>1</v>
      </c>
      <c r="Q56" s="1013">
        <v>50</v>
      </c>
      <c r="R56" s="1013">
        <v>1</v>
      </c>
      <c r="S56" s="1001" t="str">
        <f ca="1">IFERROR(_xll.qlRateHelperEarliestDate(M56,Trigger),"--")</f>
        <v>--</v>
      </c>
      <c r="T56" s="1001" t="str">
        <f ca="1">IFERROR(_xll.qlRateHelperPillarDate(M56,Trigger),"--")</f>
        <v>--</v>
      </c>
      <c r="V56" s="4" t="str">
        <f t="shared" ca="1" si="16"/>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8" t="e">
        <f ca="1"/>
        <v>#NAME?</v>
      </c>
      <c r="AD56" s="913"/>
    </row>
    <row r="57" spans="1:30" ht="11.25" customHeight="1" x14ac:dyDescent="0.2">
      <c r="A57" s="145" t="s">
        <v>388</v>
      </c>
      <c r="B57" s="145" t="s">
        <v>107</v>
      </c>
      <c r="C57" s="145" t="s">
        <v>387</v>
      </c>
      <c r="D57" s="145" t="s">
        <v>330</v>
      </c>
      <c r="E57" s="145" t="s">
        <v>386</v>
      </c>
      <c r="F57" s="145" t="s">
        <v>385</v>
      </c>
      <c r="G57" s="145" t="s">
        <v>14</v>
      </c>
      <c r="H57" s="145" t="s">
        <v>384</v>
      </c>
      <c r="I57" s="145" t="s">
        <v>62</v>
      </c>
      <c r="J57" s="145" t="s">
        <v>383</v>
      </c>
      <c r="L57" s="1004" t="str">
        <f t="shared" si="17"/>
        <v>Sw</v>
      </c>
      <c r="M57" s="1013" t="e">
        <f t="shared" ca="1" si="18"/>
        <v>#NAME?</v>
      </c>
      <c r="N57" s="1003" t="str">
        <f ca="1">IFERROR(_xll.qlRateHelperQuoteName(M57,Trigger),"--")</f>
        <v>--</v>
      </c>
      <c r="O57" s="1002" t="str">
        <f ca="1">IFERROR(_xll.qlRateHelperQuoteValue($M57,Trigger),"--")</f>
        <v>--</v>
      </c>
      <c r="P57" s="969" t="b">
        <v>1</v>
      </c>
      <c r="Q57" s="1013">
        <v>50</v>
      </c>
      <c r="R57" s="1013">
        <v>1</v>
      </c>
      <c r="S57" s="1001" t="str">
        <f ca="1">IFERROR(_xll.qlRateHelperEarliestDate(M57,Trigger),"--")</f>
        <v>--</v>
      </c>
      <c r="T57" s="1001" t="str">
        <f ca="1">IFERROR(_xll.qlRateHelperPillarDate(M57,Trigger),"--")</f>
        <v>--</v>
      </c>
      <c r="V57" s="4" t="str">
        <f t="shared" ca="1" si="16"/>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8" t="e">
        <f ca="1"/>
        <v>#NAME?</v>
      </c>
      <c r="AD57" s="913"/>
    </row>
    <row r="58" spans="1:30" ht="11.25" customHeight="1" x14ac:dyDescent="0.2">
      <c r="A58" s="896" t="s">
        <v>404</v>
      </c>
      <c r="B58" s="898" t="s">
        <v>58</v>
      </c>
      <c r="C58" s="897" t="s">
        <v>324</v>
      </c>
      <c r="D58" s="874" t="s">
        <v>323</v>
      </c>
      <c r="E58" s="874" t="s">
        <v>322</v>
      </c>
      <c r="F58" s="874" t="s">
        <v>221</v>
      </c>
      <c r="G58" s="874" t="str">
        <f t="shared" ref="G58:G95" si="19">PROPER(Currency)&amp;FamilyName&amp;SUBSTITUTE($H$56,"E","M")</f>
        <v>Euribor6M</v>
      </c>
      <c r="H58" s="873" t="str">
        <f t="shared" ref="H58:H95" si="20">Currency&amp;$G$56&amp;$H$56&amp;$B58&amp;"_Quote"</f>
        <v>EURAB6E1Y_Quote</v>
      </c>
      <c r="I58" s="895">
        <v>0</v>
      </c>
      <c r="J58" s="47"/>
      <c r="L58" s="1004" t="str">
        <f t="shared" si="17"/>
        <v>Sw</v>
      </c>
      <c r="M58" s="1013" t="e">
        <f t="shared" ca="1" si="18"/>
        <v>#NAME?</v>
      </c>
      <c r="N58" s="1003" t="str">
        <f ca="1">IFERROR(_xll.qlRateHelperQuoteName(M58,Trigger),"--")</f>
        <v>--</v>
      </c>
      <c r="O58" s="1002" t="str">
        <f ca="1">IFERROR(_xll.qlRateHelperQuoteValue($M58,Trigger),"--")</f>
        <v>--</v>
      </c>
      <c r="P58" s="969" t="b">
        <v>1</v>
      </c>
      <c r="Q58" s="1013">
        <v>50</v>
      </c>
      <c r="R58" s="1013">
        <v>1</v>
      </c>
      <c r="S58" s="1001" t="str">
        <f ca="1">IFERROR(_xll.qlRateHelperEarliestDate(M58,Trigger),"--")</f>
        <v>--</v>
      </c>
      <c r="T58" s="1001" t="str">
        <f ca="1">IFERROR(_xll.qlRateHelperPillarDate(M58,Trigger),"--")</f>
        <v>--</v>
      </c>
      <c r="V58" s="4" t="str">
        <f t="shared" ca="1" si="16"/>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8" t="e">
        <f ca="1"/>
        <v>#NAME?</v>
      </c>
      <c r="AD58" s="913"/>
    </row>
    <row r="59" spans="1:30" ht="11.25" customHeight="1" x14ac:dyDescent="0.2">
      <c r="A59" s="873" t="s">
        <v>404</v>
      </c>
      <c r="B59" s="875" t="s">
        <v>57</v>
      </c>
      <c r="C59" s="874" t="s">
        <v>324</v>
      </c>
      <c r="D59" s="874" t="s">
        <v>323</v>
      </c>
      <c r="E59" s="874" t="s">
        <v>322</v>
      </c>
      <c r="F59" s="874" t="s">
        <v>221</v>
      </c>
      <c r="G59" s="874" t="str">
        <f t="shared" si="19"/>
        <v>Euribor6M</v>
      </c>
      <c r="H59" s="873" t="str">
        <f t="shared" si="20"/>
        <v>EURAB6E15M_Quote</v>
      </c>
      <c r="I59" s="876">
        <v>0</v>
      </c>
      <c r="J59" s="43"/>
      <c r="L59" s="1004" t="str">
        <f t="shared" si="17"/>
        <v>Sw</v>
      </c>
      <c r="M59" s="1013" t="e">
        <f t="shared" ca="1" si="18"/>
        <v>#NAME?</v>
      </c>
      <c r="N59" s="1003" t="str">
        <f ca="1">IFERROR(_xll.qlRateHelperQuoteName(M59,Trigger),"--")</f>
        <v>--</v>
      </c>
      <c r="O59" s="1002" t="str">
        <f ca="1">IFERROR(_xll.qlRateHelperQuoteValue($M59,Trigger),"--")</f>
        <v>--</v>
      </c>
      <c r="P59" s="969" t="b">
        <v>1</v>
      </c>
      <c r="Q59" s="1013">
        <v>50</v>
      </c>
      <c r="R59" s="1013">
        <v>1</v>
      </c>
      <c r="S59" s="1001" t="str">
        <f ca="1">IFERROR(_xll.qlRateHelperEarliestDate(M59,Trigger),"--")</f>
        <v>--</v>
      </c>
      <c r="T59" s="1001" t="str">
        <f ca="1">IFERROR(_xll.qlRateHelperPillarDate(M59,Trigger),"--")</f>
        <v>--</v>
      </c>
      <c r="V59" s="4" t="str">
        <f t="shared" ca="1" si="16"/>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8" t="e">
        <f ca="1"/>
        <v>#NAME?</v>
      </c>
      <c r="AD59" s="913"/>
    </row>
    <row r="60" spans="1:30" ht="11.25" customHeight="1" x14ac:dyDescent="0.2">
      <c r="A60" s="873" t="s">
        <v>404</v>
      </c>
      <c r="B60" s="875" t="s">
        <v>56</v>
      </c>
      <c r="C60" s="874" t="s">
        <v>324</v>
      </c>
      <c r="D60" s="874" t="s">
        <v>323</v>
      </c>
      <c r="E60" s="874" t="s">
        <v>322</v>
      </c>
      <c r="F60" s="874" t="s">
        <v>221</v>
      </c>
      <c r="G60" s="874" t="str">
        <f t="shared" si="19"/>
        <v>Euribor6M</v>
      </c>
      <c r="H60" s="873" t="str">
        <f t="shared" si="20"/>
        <v>EURAB6E18M_Quote</v>
      </c>
      <c r="I60" s="876">
        <v>0</v>
      </c>
      <c r="J60" s="43"/>
      <c r="L60" s="1004" t="str">
        <f t="shared" si="17"/>
        <v>Sw</v>
      </c>
      <c r="M60" s="1013" t="e">
        <f t="shared" ca="1" si="18"/>
        <v>#NAME?</v>
      </c>
      <c r="N60" s="1003" t="str">
        <f ca="1">IFERROR(_xll.qlRateHelperQuoteName(M60,Trigger),"--")</f>
        <v>--</v>
      </c>
      <c r="O60" s="1002" t="str">
        <f ca="1">IFERROR(_xll.qlRateHelperQuoteValue($M60,Trigger),"--")</f>
        <v>--</v>
      </c>
      <c r="P60" s="969" t="b">
        <v>1</v>
      </c>
      <c r="Q60" s="1013">
        <v>50</v>
      </c>
      <c r="R60" s="1013">
        <v>1</v>
      </c>
      <c r="S60" s="1001" t="str">
        <f ca="1">IFERROR(_xll.qlRateHelperEarliestDate(M60,Trigger),"--")</f>
        <v>--</v>
      </c>
      <c r="T60" s="1001" t="str">
        <f ca="1">IFERROR(_xll.qlRateHelperPillarDate(M60,Trigger),"--")</f>
        <v>--</v>
      </c>
      <c r="V60" s="4" t="str">
        <f t="shared" ca="1" si="16"/>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8" t="e">
        <f ca="1"/>
        <v>#NAME?</v>
      </c>
      <c r="AD60" s="913"/>
    </row>
    <row r="61" spans="1:30" ht="11.25" customHeight="1" x14ac:dyDescent="0.2">
      <c r="A61" s="873" t="s">
        <v>404</v>
      </c>
      <c r="B61" s="875" t="s">
        <v>55</v>
      </c>
      <c r="C61" s="874" t="s">
        <v>324</v>
      </c>
      <c r="D61" s="874" t="s">
        <v>323</v>
      </c>
      <c r="E61" s="874" t="s">
        <v>322</v>
      </c>
      <c r="F61" s="874" t="s">
        <v>221</v>
      </c>
      <c r="G61" s="874" t="str">
        <f t="shared" si="19"/>
        <v>Euribor6M</v>
      </c>
      <c r="H61" s="873" t="str">
        <f t="shared" si="20"/>
        <v>EURAB6E21M_Quote</v>
      </c>
      <c r="I61" s="876">
        <v>0</v>
      </c>
      <c r="J61" s="43"/>
      <c r="L61" s="1004" t="str">
        <f t="shared" si="17"/>
        <v>Sw</v>
      </c>
      <c r="M61" s="1013" t="e">
        <f t="shared" ca="1" si="18"/>
        <v>#NAME?</v>
      </c>
      <c r="N61" s="1003" t="str">
        <f ca="1">IFERROR(_xll.qlRateHelperQuoteName(M61,Trigger),"--")</f>
        <v>--</v>
      </c>
      <c r="O61" s="1002" t="str">
        <f ca="1">IFERROR(_xll.qlRateHelperQuoteValue($M61,Trigger),"--")</f>
        <v>--</v>
      </c>
      <c r="P61" s="969" t="b">
        <v>1</v>
      </c>
      <c r="Q61" s="1013">
        <v>50</v>
      </c>
      <c r="R61" s="1013">
        <v>1</v>
      </c>
      <c r="S61" s="1001" t="str">
        <f ca="1">IFERROR(_xll.qlRateHelperEarliestDate(M61,Trigger),"--")</f>
        <v>--</v>
      </c>
      <c r="T61" s="1001" t="str">
        <f ca="1">IFERROR(_xll.qlRateHelperPillarDate(M61,Trigger),"--")</f>
        <v>--</v>
      </c>
      <c r="V61" s="4" t="str">
        <f t="shared" ca="1" si="16"/>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8" t="e">
        <f ca="1"/>
        <v>#NAME?</v>
      </c>
      <c r="AD61" s="913"/>
    </row>
    <row r="62" spans="1:30" ht="11.25" customHeight="1" x14ac:dyDescent="0.2">
      <c r="A62" s="873" t="s">
        <v>404</v>
      </c>
      <c r="B62" s="875" t="s">
        <v>54</v>
      </c>
      <c r="C62" s="874" t="s">
        <v>324</v>
      </c>
      <c r="D62" s="874" t="s">
        <v>323</v>
      </c>
      <c r="E62" s="874" t="s">
        <v>322</v>
      </c>
      <c r="F62" s="874" t="s">
        <v>221</v>
      </c>
      <c r="G62" s="874" t="str">
        <f t="shared" si="19"/>
        <v>Euribor6M</v>
      </c>
      <c r="H62" s="873" t="str">
        <f t="shared" si="20"/>
        <v>EURAB6E2Y_Quote</v>
      </c>
      <c r="I62" s="876">
        <v>0</v>
      </c>
      <c r="J62" s="43" t="e">
        <f ca="1">_xll.qlSwapRateHelper2(,H62,,B62,Calendar,D62,E62,F62,G62,I62,C62,Discounting,PillarDate,,Permanent,Trigger,ObjectOverwrite)</f>
        <v>#NAME?</v>
      </c>
      <c r="L62" s="1004" t="str">
        <f t="shared" si="17"/>
        <v>Sw</v>
      </c>
      <c r="M62" s="1013" t="e">
        <f t="shared" ca="1" si="18"/>
        <v>#NAME?</v>
      </c>
      <c r="N62" s="1003" t="str">
        <f ca="1">IFERROR(_xll.qlRateHelperQuoteName(M62,Trigger),"--")</f>
        <v>--</v>
      </c>
      <c r="O62" s="1002" t="str">
        <f ca="1">IFERROR(_xll.qlRateHelperQuoteValue($M62,Trigger),"--")</f>
        <v>--</v>
      </c>
      <c r="P62" s="969" t="b">
        <v>1</v>
      </c>
      <c r="Q62" s="1013">
        <v>50</v>
      </c>
      <c r="R62" s="1013">
        <v>1</v>
      </c>
      <c r="S62" s="1001" t="str">
        <f ca="1">IFERROR(_xll.qlRateHelperEarliestDate(M62,Trigger),"--")</f>
        <v>--</v>
      </c>
      <c r="T62" s="1001" t="str">
        <f ca="1">IFERROR(_xll.qlRateHelperPillarDate(M62,Trigger),"--")</f>
        <v>--</v>
      </c>
      <c r="V62" s="4" t="str">
        <f t="shared" ca="1" si="16"/>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8" t="e">
        <f ca="1"/>
        <v>#NAME?</v>
      </c>
      <c r="AD62" s="913"/>
    </row>
    <row r="63" spans="1:30" ht="11.25" customHeight="1" x14ac:dyDescent="0.2">
      <c r="A63" s="873" t="s">
        <v>404</v>
      </c>
      <c r="B63" s="875" t="s">
        <v>53</v>
      </c>
      <c r="C63" s="874" t="s">
        <v>324</v>
      </c>
      <c r="D63" s="874" t="s">
        <v>323</v>
      </c>
      <c r="E63" s="874" t="s">
        <v>322</v>
      </c>
      <c r="F63" s="874" t="s">
        <v>221</v>
      </c>
      <c r="G63" s="874" t="str">
        <f t="shared" si="19"/>
        <v>Euribor6M</v>
      </c>
      <c r="H63" s="873" t="str">
        <f t="shared" si="20"/>
        <v>EURAB6E3Y_Quote</v>
      </c>
      <c r="I63" s="876">
        <v>0</v>
      </c>
      <c r="J63" s="43" t="e">
        <f ca="1">_xll.qlSwapRateHelper2(,H63,,B63,Calendar,D63,E63,F63,G63,I63,C63,Discounting,PillarDate,,Permanent,Trigger,ObjectOverwrite)</f>
        <v>#NAME?</v>
      </c>
      <c r="L63" s="1004" t="str">
        <f t="shared" si="17"/>
        <v>Sw</v>
      </c>
      <c r="M63" s="1013" t="e">
        <f t="shared" ca="1" si="18"/>
        <v>#NAME?</v>
      </c>
      <c r="N63" s="1003" t="str">
        <f ca="1">IFERROR(_xll.qlRateHelperQuoteName(M63,Trigger),"--")</f>
        <v>--</v>
      </c>
      <c r="O63" s="1002" t="str">
        <f ca="1">IFERROR(_xll.qlRateHelperQuoteValue($M63,Trigger),"--")</f>
        <v>--</v>
      </c>
      <c r="P63" s="969" t="b">
        <v>1</v>
      </c>
      <c r="Q63" s="1013">
        <v>50</v>
      </c>
      <c r="R63" s="1013">
        <v>1</v>
      </c>
      <c r="S63" s="1001" t="str">
        <f ca="1">IFERROR(_xll.qlRateHelperEarliestDate(M63,Trigger),"--")</f>
        <v>--</v>
      </c>
      <c r="T63" s="1001" t="str">
        <f ca="1">IFERROR(_xll.qlRateHelperPillarDate(M63,Trigger),"--")</f>
        <v>--</v>
      </c>
      <c r="V63" s="4" t="str">
        <f t="shared" ca="1" si="16"/>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8" t="e">
        <f ca="1"/>
        <v>#NAME?</v>
      </c>
      <c r="AD63" s="913"/>
    </row>
    <row r="64" spans="1:30" ht="11.25" customHeight="1" x14ac:dyDescent="0.2">
      <c r="A64" s="873" t="s">
        <v>404</v>
      </c>
      <c r="B64" s="875" t="s">
        <v>52</v>
      </c>
      <c r="C64" s="874" t="s">
        <v>324</v>
      </c>
      <c r="D64" s="874" t="s">
        <v>323</v>
      </c>
      <c r="E64" s="874" t="s">
        <v>322</v>
      </c>
      <c r="F64" s="874" t="s">
        <v>221</v>
      </c>
      <c r="G64" s="874" t="str">
        <f t="shared" si="19"/>
        <v>Euribor6M</v>
      </c>
      <c r="H64" s="873" t="str">
        <f t="shared" si="20"/>
        <v>EURAB6E4Y_Quote</v>
      </c>
      <c r="I64" s="876">
        <v>0</v>
      </c>
      <c r="J64" s="43" t="e">
        <f ca="1">_xll.qlSwapRateHelper2(,H64,,B64,Calendar,D64,E64,F64,G64,I64,C64,Discounting,PillarDate,,Permanent,Trigger,ObjectOverwrite)</f>
        <v>#NAME?</v>
      </c>
      <c r="L64" s="1004" t="str">
        <f t="shared" si="17"/>
        <v>Sw</v>
      </c>
      <c r="M64" s="1013" t="e">
        <f t="shared" ca="1" si="18"/>
        <v>#NAME?</v>
      </c>
      <c r="N64" s="1003" t="str">
        <f ca="1">IFERROR(_xll.qlRateHelperQuoteName(M64,Trigger),"--")</f>
        <v>--</v>
      </c>
      <c r="O64" s="1002" t="str">
        <f ca="1">IFERROR(_xll.qlRateHelperQuoteValue($M64,Trigger),"--")</f>
        <v>--</v>
      </c>
      <c r="P64" s="969" t="b">
        <v>1</v>
      </c>
      <c r="Q64" s="1013">
        <v>50</v>
      </c>
      <c r="R64" s="1013">
        <v>1</v>
      </c>
      <c r="S64" s="1001" t="str">
        <f ca="1">IFERROR(_xll.qlRateHelperEarliestDate(M64,Trigger),"--")</f>
        <v>--</v>
      </c>
      <c r="T64" s="1001" t="str">
        <f ca="1">IFERROR(_xll.qlRateHelperPillarDate(M64,Trigger),"--")</f>
        <v>--</v>
      </c>
      <c r="V64" s="4" t="str">
        <f t="shared" ca="1" si="16"/>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8" t="e">
        <f ca="1"/>
        <v>#NAME?</v>
      </c>
      <c r="AD64" s="913"/>
    </row>
    <row r="65" spans="1:30" ht="11.25" customHeight="1" x14ac:dyDescent="0.2">
      <c r="A65" s="873" t="s">
        <v>404</v>
      </c>
      <c r="B65" s="875" t="s">
        <v>51</v>
      </c>
      <c r="C65" s="874" t="s">
        <v>324</v>
      </c>
      <c r="D65" s="874" t="s">
        <v>323</v>
      </c>
      <c r="E65" s="874" t="s">
        <v>322</v>
      </c>
      <c r="F65" s="874" t="s">
        <v>221</v>
      </c>
      <c r="G65" s="874" t="str">
        <f t="shared" si="19"/>
        <v>Euribor6M</v>
      </c>
      <c r="H65" s="873" t="str">
        <f t="shared" si="20"/>
        <v>EURAB6E5Y_Quote</v>
      </c>
      <c r="I65" s="876">
        <v>0</v>
      </c>
      <c r="J65" s="43" t="e">
        <f ca="1">_xll.qlSwapRateHelper2(,H65,,B65,Calendar,D65,E65,F65,G65,I65,C65,Discounting,PillarDate,,Permanent,Trigger,ObjectOverwrite)</f>
        <v>#NAME?</v>
      </c>
      <c r="L65" s="1004" t="str">
        <f t="shared" si="17"/>
        <v>Sw</v>
      </c>
      <c r="M65" s="969" t="e">
        <f t="shared" ca="1" si="18"/>
        <v>#NAME?</v>
      </c>
      <c r="N65" s="1003" t="str">
        <f ca="1">IFERROR(_xll.qlRateHelperQuoteName(M65,Trigger),"--")</f>
        <v>--</v>
      </c>
      <c r="O65" s="1002" t="str">
        <f ca="1">IFERROR(_xll.qlRateHelperQuoteValue($M65,Trigger),"--")</f>
        <v>--</v>
      </c>
      <c r="P65" s="969" t="b">
        <v>1</v>
      </c>
      <c r="Q65" s="969">
        <v>50</v>
      </c>
      <c r="R65" s="969">
        <v>1</v>
      </c>
      <c r="S65" s="1001" t="str">
        <f ca="1">IFERROR(_xll.qlRateHelperEarliestDate(M65,Trigger),"--")</f>
        <v>--</v>
      </c>
      <c r="T65" s="1001" t="str">
        <f ca="1">IFERROR(_xll.qlRateHelperPillarDate(M65,Trigger),"--")</f>
        <v>--</v>
      </c>
      <c r="V65" s="4" t="str">
        <f t="shared" ca="1" si="16"/>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8" t="e">
        <f ca="1"/>
        <v>#NAME?</v>
      </c>
      <c r="AD65" s="913"/>
    </row>
    <row r="66" spans="1:30" ht="11.25" customHeight="1" x14ac:dyDescent="0.2">
      <c r="A66" s="873" t="s">
        <v>404</v>
      </c>
      <c r="B66" s="875" t="s">
        <v>50</v>
      </c>
      <c r="C66" s="874" t="s">
        <v>324</v>
      </c>
      <c r="D66" s="874" t="s">
        <v>323</v>
      </c>
      <c r="E66" s="874" t="s">
        <v>322</v>
      </c>
      <c r="F66" s="874" t="s">
        <v>221</v>
      </c>
      <c r="G66" s="874" t="str">
        <f t="shared" si="19"/>
        <v>Euribor6M</v>
      </c>
      <c r="H66" s="873" t="str">
        <f t="shared" si="20"/>
        <v>EURAB6E6Y_Quote</v>
      </c>
      <c r="I66" s="876">
        <v>0</v>
      </c>
      <c r="J66" s="43" t="e">
        <f ca="1">_xll.qlSwapRateHelper2(,H66,,B66,Calendar,D66,E66,F66,G66,I66,C66,Discounting,PillarDate,,Permanent,Trigger,ObjectOverwrite)</f>
        <v>#NAME?</v>
      </c>
      <c r="L66" s="1004" t="str">
        <f t="shared" si="17"/>
        <v>Sw</v>
      </c>
      <c r="M66" s="969" t="e">
        <f t="shared" ca="1" si="18"/>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6"/>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8" t="e">
        <f ca="1"/>
        <v>#NAME?</v>
      </c>
      <c r="AD66" s="913"/>
    </row>
    <row r="67" spans="1:30" ht="11.25" customHeight="1" x14ac:dyDescent="0.2">
      <c r="A67" s="873" t="s">
        <v>404</v>
      </c>
      <c r="B67" s="875" t="s">
        <v>49</v>
      </c>
      <c r="C67" s="874" t="s">
        <v>324</v>
      </c>
      <c r="D67" s="874" t="s">
        <v>323</v>
      </c>
      <c r="E67" s="874" t="s">
        <v>322</v>
      </c>
      <c r="F67" s="874" t="s">
        <v>221</v>
      </c>
      <c r="G67" s="874" t="str">
        <f t="shared" si="19"/>
        <v>Euribor6M</v>
      </c>
      <c r="H67" s="873" t="str">
        <f t="shared" si="20"/>
        <v>EURAB6E7Y_Quote</v>
      </c>
      <c r="I67" s="876">
        <v>0</v>
      </c>
      <c r="J67" s="43" t="e">
        <f ca="1">_xll.qlSwapRateHelper2(,H67,,B67,Calendar,D67,E67,F67,G67,I67,C67,Discounting,PillarDate,,Permanent,Trigger,ObjectOverwrite)</f>
        <v>#NAME?</v>
      </c>
      <c r="L67" s="1004" t="str">
        <f t="shared" si="17"/>
        <v>Sw</v>
      </c>
      <c r="M67" s="969" t="e">
        <f t="shared" ca="1" si="18"/>
        <v>#NAME?</v>
      </c>
      <c r="N67" s="1003" t="str">
        <f ca="1">IFERROR(_xll.qlRateHelperQuoteName(M67,Trigger),"--")</f>
        <v>--</v>
      </c>
      <c r="O67" s="1002" t="str">
        <f ca="1">IFERROR(_xll.qlRateHelperQuoteValue($M67,Trigger),"--")</f>
        <v>--</v>
      </c>
      <c r="P67" s="969" t="b">
        <v>1</v>
      </c>
      <c r="Q67" s="969">
        <v>50</v>
      </c>
      <c r="R67" s="969">
        <v>1</v>
      </c>
      <c r="S67" s="1001" t="str">
        <f ca="1">IFERROR(_xll.qlRateHelperEarliestDate(M67,Trigger),"--")</f>
        <v>--</v>
      </c>
      <c r="T67" s="1001" t="str">
        <f ca="1">IFERROR(_xll.qlRateHelperPillarDate(M67,Trigger),"--")</f>
        <v>--</v>
      </c>
      <c r="V67" s="4" t="str">
        <f t="shared" ref="V67:V89" ca="1" si="21">IFERROR(INDEX($L$3:$L$89,MATCH(X67,$N$3:$N$89,0),1),"")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8" t="e">
        <f ca="1"/>
        <v>#NAME?</v>
      </c>
      <c r="AD67" s="913"/>
    </row>
    <row r="68" spans="1:30" ht="11.25" customHeight="1" x14ac:dyDescent="0.2">
      <c r="A68" s="873" t="s">
        <v>404</v>
      </c>
      <c r="B68" s="875" t="s">
        <v>48</v>
      </c>
      <c r="C68" s="874" t="s">
        <v>324</v>
      </c>
      <c r="D68" s="874" t="s">
        <v>323</v>
      </c>
      <c r="E68" s="874" t="s">
        <v>322</v>
      </c>
      <c r="F68" s="874" t="s">
        <v>221</v>
      </c>
      <c r="G68" s="874" t="str">
        <f t="shared" si="19"/>
        <v>Euribor6M</v>
      </c>
      <c r="H68" s="873" t="str">
        <f t="shared" si="20"/>
        <v>EURAB6E8Y_Quote</v>
      </c>
      <c r="I68" s="876">
        <v>0</v>
      </c>
      <c r="J68" s="43" t="e">
        <f ca="1">_xll.qlSwapRateHelper2(,H68,,B68,Calendar,D68,E68,F68,G68,I68,C68,Discounting,PillarDate,,Permanent,Trigger,ObjectOverwrite)</f>
        <v>#NAME?</v>
      </c>
      <c r="L68" s="1004" t="str">
        <f t="shared" si="17"/>
        <v>Sw</v>
      </c>
      <c r="M68" s="969" t="e">
        <f t="shared" ca="1" si="18"/>
        <v>#NAME?</v>
      </c>
      <c r="N68" s="1003" t="str">
        <f ca="1">IFERROR(_xll.qlRateHelperQuoteName(M68,Trigger),"--")</f>
        <v>--</v>
      </c>
      <c r="O68" s="1002" t="str">
        <f ca="1">IFERROR(_xll.qlRateHelperQuoteValue($M68,Trigger),"--")</f>
        <v>--</v>
      </c>
      <c r="P68" s="969" t="b">
        <v>1</v>
      </c>
      <c r="Q68" s="969">
        <v>50</v>
      </c>
      <c r="R68" s="969">
        <v>1</v>
      </c>
      <c r="S68" s="1001" t="str">
        <f ca="1">IFERROR(_xll.qlRateHelperEarliestDate(M68,Trigger),"--")</f>
        <v>--</v>
      </c>
      <c r="T68" s="1001" t="str">
        <f ca="1">IFERROR(_xll.qlRateHelperPillarDate(M68,Trigger),"--")</f>
        <v>--</v>
      </c>
      <c r="V68" s="4" t="str">
        <f t="shared" ca="1" si="21"/>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8" t="e">
        <f ca="1"/>
        <v>#NAME?</v>
      </c>
      <c r="AD68" s="913"/>
    </row>
    <row r="69" spans="1:30" ht="11.25" customHeight="1" x14ac:dyDescent="0.2">
      <c r="A69" s="873" t="s">
        <v>404</v>
      </c>
      <c r="B69" s="875" t="s">
        <v>47</v>
      </c>
      <c r="C69" s="874" t="s">
        <v>324</v>
      </c>
      <c r="D69" s="874" t="s">
        <v>323</v>
      </c>
      <c r="E69" s="874" t="s">
        <v>322</v>
      </c>
      <c r="F69" s="874" t="s">
        <v>221</v>
      </c>
      <c r="G69" s="874" t="str">
        <f t="shared" si="19"/>
        <v>Euribor6M</v>
      </c>
      <c r="H69" s="873" t="str">
        <f t="shared" si="20"/>
        <v>EURAB6E9Y_Quote</v>
      </c>
      <c r="I69" s="876">
        <v>0</v>
      </c>
      <c r="J69" s="43" t="e">
        <f ca="1">_xll.qlSwapRateHelper2(,H69,,B69,Calendar,D69,E69,F69,G69,I69,C69,Discounting,PillarDate,,Permanent,Trigger,ObjectOverwrite)</f>
        <v>#NAME?</v>
      </c>
      <c r="L69" s="1004" t="str">
        <f t="shared" si="17"/>
        <v>Sw</v>
      </c>
      <c r="M69" s="969" t="e">
        <f t="shared" ca="1" si="18"/>
        <v>#NAME?</v>
      </c>
      <c r="N69" s="1003" t="str">
        <f ca="1">IFERROR(_xll.qlRateHelperQuoteName(M69,Trigger),"--")</f>
        <v>--</v>
      </c>
      <c r="O69" s="1002" t="str">
        <f ca="1">IFERROR(_xll.qlRateHelperQuoteValue($M69,Trigger),"--")</f>
        <v>--</v>
      </c>
      <c r="P69" s="969" t="b">
        <v>1</v>
      </c>
      <c r="Q69" s="969">
        <v>50</v>
      </c>
      <c r="R69" s="969">
        <v>1</v>
      </c>
      <c r="S69" s="1001" t="str">
        <f ca="1">IFERROR(_xll.qlRateHelperEarliestDate(M69,Trigger),"--")</f>
        <v>--</v>
      </c>
      <c r="T69" s="1001" t="str">
        <f ca="1">IFERROR(_xll.qlRateHelperPillarDate(M69,Trigger),"--")</f>
        <v>--</v>
      </c>
      <c r="V69" s="4" t="str">
        <f t="shared" ca="1" si="21"/>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8" t="e">
        <f ca="1"/>
        <v>#NAME?</v>
      </c>
      <c r="AD69" s="913"/>
    </row>
    <row r="70" spans="1:30" ht="11.25" customHeight="1" x14ac:dyDescent="0.2">
      <c r="A70" s="873" t="s">
        <v>404</v>
      </c>
      <c r="B70" s="875" t="s">
        <v>46</v>
      </c>
      <c r="C70" s="874" t="s">
        <v>324</v>
      </c>
      <c r="D70" s="874" t="s">
        <v>323</v>
      </c>
      <c r="E70" s="874" t="s">
        <v>322</v>
      </c>
      <c r="F70" s="874" t="s">
        <v>221</v>
      </c>
      <c r="G70" s="874" t="str">
        <f t="shared" si="19"/>
        <v>Euribor6M</v>
      </c>
      <c r="H70" s="873" t="str">
        <f t="shared" si="20"/>
        <v>EURAB6E10Y_Quote</v>
      </c>
      <c r="I70" s="876">
        <v>0</v>
      </c>
      <c r="J70" s="43" t="e">
        <f ca="1">_xll.qlSwapRateHelper2(,H70,,B70,Calendar,D70,E70,F70,G70,I70,C70,Discounting,PillarDate,,Permanent,Trigger,ObjectOverwrite)</f>
        <v>#NAME?</v>
      </c>
      <c r="L70" s="1004" t="str">
        <f t="shared" si="17"/>
        <v>Sw</v>
      </c>
      <c r="M70" s="969" t="e">
        <f t="shared" ca="1" si="18"/>
        <v>#NAME?</v>
      </c>
      <c r="N70" s="1003" t="str">
        <f ca="1">IFERROR(_xll.qlRateHelperQuoteName(M70,Trigger),"--")</f>
        <v>--</v>
      </c>
      <c r="O70" s="1002" t="str">
        <f ca="1">IFERROR(_xll.qlRateHelperQuoteValue($M70,Trigger),"--")</f>
        <v>--</v>
      </c>
      <c r="P70" s="969" t="b">
        <v>1</v>
      </c>
      <c r="Q70" s="969">
        <v>50</v>
      </c>
      <c r="R70" s="969">
        <v>1</v>
      </c>
      <c r="S70" s="1001" t="str">
        <f ca="1">IFERROR(_xll.qlRateHelperEarliestDate(M70,Trigger),"--")</f>
        <v>--</v>
      </c>
      <c r="T70" s="1001" t="str">
        <f ca="1">IFERROR(_xll.qlRateHelperPillarDate(M70,Trigger),"--")</f>
        <v>--</v>
      </c>
      <c r="V70" s="4" t="str">
        <f t="shared" ca="1" si="21"/>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8" t="e">
        <f ca="1"/>
        <v>#NAME?</v>
      </c>
      <c r="AD70" s="913"/>
    </row>
    <row r="71" spans="1:30" ht="11.25" customHeight="1" x14ac:dyDescent="0.2">
      <c r="A71" s="873" t="s">
        <v>404</v>
      </c>
      <c r="B71" s="875" t="s">
        <v>45</v>
      </c>
      <c r="C71" s="874" t="s">
        <v>324</v>
      </c>
      <c r="D71" s="874" t="s">
        <v>323</v>
      </c>
      <c r="E71" s="874" t="s">
        <v>322</v>
      </c>
      <c r="F71" s="874" t="s">
        <v>221</v>
      </c>
      <c r="G71" s="874" t="str">
        <f t="shared" si="19"/>
        <v>Euribor6M</v>
      </c>
      <c r="H71" s="873" t="str">
        <f t="shared" si="20"/>
        <v>EURAB6E11Y_Quote</v>
      </c>
      <c r="I71" s="876">
        <v>0</v>
      </c>
      <c r="J71" s="43" t="e">
        <f ca="1">_xll.qlSwapRateHelper2(,H71,,B71,Calendar,D71,E71,F71,G71,I71,C71,Discounting,PillarDate,,Permanent,Trigger,ObjectOverwrite)</f>
        <v>#NAME?</v>
      </c>
      <c r="L71" s="1004" t="str">
        <f t="shared" si="17"/>
        <v>Sw</v>
      </c>
      <c r="M71" s="969" t="e">
        <f t="shared" ca="1" si="18"/>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1"/>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8" t="e">
        <f ca="1"/>
        <v>#NAME?</v>
      </c>
      <c r="AD71" s="913"/>
    </row>
    <row r="72" spans="1:30" ht="11.25" customHeight="1" x14ac:dyDescent="0.2">
      <c r="A72" s="873" t="s">
        <v>404</v>
      </c>
      <c r="B72" s="875" t="s">
        <v>44</v>
      </c>
      <c r="C72" s="874" t="s">
        <v>324</v>
      </c>
      <c r="D72" s="874" t="s">
        <v>323</v>
      </c>
      <c r="E72" s="874" t="s">
        <v>322</v>
      </c>
      <c r="F72" s="874" t="s">
        <v>221</v>
      </c>
      <c r="G72" s="874" t="str">
        <f t="shared" si="19"/>
        <v>Euribor6M</v>
      </c>
      <c r="H72" s="873" t="str">
        <f t="shared" si="20"/>
        <v>EURAB6E12Y_Quote</v>
      </c>
      <c r="I72" s="876">
        <v>0</v>
      </c>
      <c r="J72" s="43" t="e">
        <f ca="1">_xll.qlSwapRateHelper2(,H72,,B72,Calendar,D72,E72,F72,G72,I72,C72,Discounting,PillarDate,,Permanent,Trigger,ObjectOverwrite)</f>
        <v>#NAME?</v>
      </c>
      <c r="L72" s="1004" t="str">
        <f t="shared" si="17"/>
        <v>Sw</v>
      </c>
      <c r="M72" s="969" t="e">
        <f t="shared" ca="1" si="18"/>
        <v>#NAME?</v>
      </c>
      <c r="N72" s="1003" t="str">
        <f ca="1">IFERROR(_xll.qlRateHelperQuoteName(M72,Trigger),"--")</f>
        <v>--</v>
      </c>
      <c r="O72" s="1002" t="str">
        <f ca="1">IFERROR(_xll.qlRateHelperQuoteValue($M72,Trigger),"--")</f>
        <v>--</v>
      </c>
      <c r="P72" s="969" t="b">
        <v>1</v>
      </c>
      <c r="Q72" s="969">
        <v>50</v>
      </c>
      <c r="R72" s="969">
        <v>1</v>
      </c>
      <c r="S72" s="1001" t="str">
        <f ca="1">IFERROR(_xll.qlRateHelperEarliestDate(M72,Trigger),"--")</f>
        <v>--</v>
      </c>
      <c r="T72" s="1001" t="str">
        <f ca="1">IFERROR(_xll.qlRateHelperPillarDate(M72,Trigger),"--")</f>
        <v>--</v>
      </c>
      <c r="V72" s="4" t="str">
        <f t="shared" ca="1" si="21"/>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8" t="e">
        <f ca="1"/>
        <v>#NAME?</v>
      </c>
      <c r="AD72" s="913"/>
    </row>
    <row r="73" spans="1:30" ht="11.25" customHeight="1" x14ac:dyDescent="0.2">
      <c r="A73" s="873" t="s">
        <v>404</v>
      </c>
      <c r="B73" s="875" t="s">
        <v>43</v>
      </c>
      <c r="C73" s="874" t="s">
        <v>324</v>
      </c>
      <c r="D73" s="874" t="s">
        <v>323</v>
      </c>
      <c r="E73" s="874" t="s">
        <v>322</v>
      </c>
      <c r="F73" s="874" t="s">
        <v>221</v>
      </c>
      <c r="G73" s="874" t="str">
        <f t="shared" si="19"/>
        <v>Euribor6M</v>
      </c>
      <c r="H73" s="873" t="str">
        <f t="shared" si="20"/>
        <v>EURAB6E13Y_Quote</v>
      </c>
      <c r="I73" s="876">
        <v>0</v>
      </c>
      <c r="J73" s="43" t="e">
        <f ca="1">_xll.qlSwapRateHelper2(,H73,,B73,Calendar,D73,E73,F73,G73,I73,C73,Discounting,PillarDate,,Permanent,Trigger,ObjectOverwrite)</f>
        <v>#NAME?</v>
      </c>
      <c r="L73" s="1004" t="str">
        <f t="shared" si="17"/>
        <v>Sw</v>
      </c>
      <c r="M73" s="969" t="e">
        <f t="shared" ca="1" si="18"/>
        <v>#NAME?</v>
      </c>
      <c r="N73" s="1003" t="str">
        <f ca="1">IFERROR(_xll.qlRateHelperQuoteName(M73,Trigger),"--")</f>
        <v>--</v>
      </c>
      <c r="O73" s="1002" t="str">
        <f ca="1">IFERROR(_xll.qlRateHelperQuoteValue($M73,Trigger),"--")</f>
        <v>--</v>
      </c>
      <c r="P73" s="969" t="b">
        <v>1</v>
      </c>
      <c r="Q73" s="969">
        <v>50</v>
      </c>
      <c r="R73" s="969">
        <v>1</v>
      </c>
      <c r="S73" s="1001" t="str">
        <f ca="1">IFERROR(_xll.qlRateHelperEarliestDate(M73,Trigger),"--")</f>
        <v>--</v>
      </c>
      <c r="T73" s="1001" t="str">
        <f ca="1">IFERROR(_xll.qlRateHelperPillarDate(M73,Trigger),"--")</f>
        <v>--</v>
      </c>
      <c r="V73" s="4" t="str">
        <f t="shared" ca="1" si="21"/>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8" t="e">
        <f ca="1"/>
        <v>#NAME?</v>
      </c>
      <c r="AD73" s="913"/>
    </row>
    <row r="74" spans="1:30" ht="11.25" customHeight="1" x14ac:dyDescent="0.2">
      <c r="A74" s="873" t="s">
        <v>404</v>
      </c>
      <c r="B74" s="875" t="s">
        <v>42</v>
      </c>
      <c r="C74" s="874" t="s">
        <v>324</v>
      </c>
      <c r="D74" s="874" t="s">
        <v>323</v>
      </c>
      <c r="E74" s="874" t="s">
        <v>322</v>
      </c>
      <c r="F74" s="874" t="s">
        <v>221</v>
      </c>
      <c r="G74" s="874" t="str">
        <f t="shared" si="19"/>
        <v>Euribor6M</v>
      </c>
      <c r="H74" s="873" t="str">
        <f t="shared" si="20"/>
        <v>EURAB6E14Y_Quote</v>
      </c>
      <c r="I74" s="876">
        <v>0</v>
      </c>
      <c r="J74" s="43" t="e">
        <f ca="1">_xll.qlSwapRateHelper2(,H74,,B74,Calendar,D74,E74,F74,G74,I74,C74,Discounting,PillarDate,,Permanent,Trigger,ObjectOverwrite)</f>
        <v>#NAME?</v>
      </c>
      <c r="L74" s="1004" t="str">
        <f t="shared" si="17"/>
        <v>Sw</v>
      </c>
      <c r="M74" s="969" t="e">
        <f t="shared" ca="1" si="18"/>
        <v>#NAME?</v>
      </c>
      <c r="N74" s="1003" t="str">
        <f ca="1">IFERROR(_xll.qlRateHelperQuoteName(M74,Trigger),"--")</f>
        <v>--</v>
      </c>
      <c r="O74" s="1002" t="str">
        <f ca="1">IFERROR(_xll.qlRateHelperQuoteValue($M74,Trigger),"--")</f>
        <v>--</v>
      </c>
      <c r="P74" s="969" t="b">
        <v>1</v>
      </c>
      <c r="Q74" s="969">
        <v>50</v>
      </c>
      <c r="R74" s="969">
        <v>1</v>
      </c>
      <c r="S74" s="1001" t="str">
        <f ca="1">IFERROR(_xll.qlRateHelperEarliestDate(M74,Trigger),"--")</f>
        <v>--</v>
      </c>
      <c r="T74" s="1001" t="str">
        <f ca="1">IFERROR(_xll.qlRateHelperPillarDate(M74,Trigger),"--")</f>
        <v>--</v>
      </c>
      <c r="V74" s="4" t="str">
        <f t="shared" ca="1" si="21"/>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8" t="e">
        <f ca="1"/>
        <v>#NAME?</v>
      </c>
      <c r="AD74" s="913"/>
    </row>
    <row r="75" spans="1:30" ht="11.25" customHeight="1" x14ac:dyDescent="0.2">
      <c r="A75" s="873" t="s">
        <v>404</v>
      </c>
      <c r="B75" s="875" t="s">
        <v>41</v>
      </c>
      <c r="C75" s="874" t="s">
        <v>324</v>
      </c>
      <c r="D75" s="874" t="s">
        <v>323</v>
      </c>
      <c r="E75" s="874" t="s">
        <v>322</v>
      </c>
      <c r="F75" s="874" t="s">
        <v>221</v>
      </c>
      <c r="G75" s="874" t="str">
        <f t="shared" si="19"/>
        <v>Euribor6M</v>
      </c>
      <c r="H75" s="873" t="str">
        <f t="shared" si="20"/>
        <v>EURAB6E15Y_Quote</v>
      </c>
      <c r="I75" s="876">
        <v>0</v>
      </c>
      <c r="J75" s="43" t="e">
        <f ca="1">_xll.qlSwapRateHelper2(,H75,,B75,Calendar,D75,E75,F75,G75,I75,C75,Discounting,PillarDate,,Permanent,Trigger,ObjectOverwrite)</f>
        <v>#NAME?</v>
      </c>
      <c r="L75" s="1004" t="str">
        <f t="shared" si="17"/>
        <v>Sw</v>
      </c>
      <c r="M75" s="969" t="e">
        <f t="shared" ca="1" si="18"/>
        <v>#NAME?</v>
      </c>
      <c r="N75" s="1003" t="str">
        <f ca="1">IFERROR(_xll.qlRateHelperQuoteName(M75,Trigger),"--")</f>
        <v>--</v>
      </c>
      <c r="O75" s="1002" t="str">
        <f ca="1">IFERROR(_xll.qlRateHelperQuoteValue($M75,Trigger),"--")</f>
        <v>--</v>
      </c>
      <c r="P75" s="969" t="b">
        <v>1</v>
      </c>
      <c r="Q75" s="969">
        <v>50</v>
      </c>
      <c r="R75" s="969">
        <v>1</v>
      </c>
      <c r="S75" s="1001" t="str">
        <f ca="1">IFERROR(_xll.qlRateHelperEarliestDate(M75,Trigger),"--")</f>
        <v>--</v>
      </c>
      <c r="T75" s="1001" t="str">
        <f ca="1">IFERROR(_xll.qlRateHelperPillarDate(M75,Trigger),"--")</f>
        <v>--</v>
      </c>
      <c r="V75" s="4" t="str">
        <f t="shared" ca="1" si="21"/>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8" t="e">
        <f ca="1"/>
        <v>#NAME?</v>
      </c>
      <c r="AD75" s="913"/>
    </row>
    <row r="76" spans="1:30" ht="11.25" customHeight="1" x14ac:dyDescent="0.2">
      <c r="A76" s="873" t="s">
        <v>404</v>
      </c>
      <c r="B76" s="875" t="s">
        <v>40</v>
      </c>
      <c r="C76" s="874" t="s">
        <v>324</v>
      </c>
      <c r="D76" s="874" t="s">
        <v>323</v>
      </c>
      <c r="E76" s="874" t="s">
        <v>322</v>
      </c>
      <c r="F76" s="874" t="s">
        <v>221</v>
      </c>
      <c r="G76" s="874" t="str">
        <f t="shared" si="19"/>
        <v>Euribor6M</v>
      </c>
      <c r="H76" s="873" t="str">
        <f t="shared" si="20"/>
        <v>EURAB6E16Y_Quote</v>
      </c>
      <c r="I76" s="876">
        <v>0</v>
      </c>
      <c r="J76" s="43" t="e">
        <f ca="1">_xll.qlSwapRateHelper2(,H76,,B76,Calendar,D76,E76,F76,G76,I76,C76,Discounting,PillarDate,,Permanent,Trigger,ObjectOverwrite)</f>
        <v>#NAME?</v>
      </c>
      <c r="L76" s="1004" t="str">
        <f t="shared" si="17"/>
        <v>Sw</v>
      </c>
      <c r="M76" s="969" t="e">
        <f t="shared" ca="1" si="18"/>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1"/>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8" t="e">
        <f ca="1"/>
        <v>#NAME?</v>
      </c>
      <c r="AD76" s="913"/>
    </row>
    <row r="77" spans="1:30" ht="11.25" customHeight="1" x14ac:dyDescent="0.2">
      <c r="A77" s="873" t="s">
        <v>404</v>
      </c>
      <c r="B77" s="875" t="s">
        <v>39</v>
      </c>
      <c r="C77" s="874" t="s">
        <v>324</v>
      </c>
      <c r="D77" s="874" t="s">
        <v>323</v>
      </c>
      <c r="E77" s="874" t="s">
        <v>322</v>
      </c>
      <c r="F77" s="874" t="s">
        <v>221</v>
      </c>
      <c r="G77" s="874" t="str">
        <f t="shared" si="19"/>
        <v>Euribor6M</v>
      </c>
      <c r="H77" s="873" t="str">
        <f t="shared" si="20"/>
        <v>EURAB6E17Y_Quote</v>
      </c>
      <c r="I77" s="876">
        <v>0</v>
      </c>
      <c r="J77" s="43" t="e">
        <f ca="1">_xll.qlSwapRateHelper2(,H77,,B77,Calendar,D77,E77,F77,G77,I77,C77,Discounting,PillarDate,,Permanent,Trigger,ObjectOverwrite)</f>
        <v>#NAME?</v>
      </c>
      <c r="L77" s="1004" t="str">
        <f t="shared" si="17"/>
        <v>Sw</v>
      </c>
      <c r="M77" s="969" t="e">
        <f t="shared" ca="1" si="18"/>
        <v>#NAME?</v>
      </c>
      <c r="N77" s="1003" t="str">
        <f ca="1">IFERROR(_xll.qlRateHelperQuoteName(M77,Trigger),"--")</f>
        <v>--</v>
      </c>
      <c r="O77" s="1002" t="str">
        <f ca="1">IFERROR(_xll.qlRateHelperQuoteValue($M77,Trigger),"--")</f>
        <v>--</v>
      </c>
      <c r="P77" s="969" t="b">
        <v>1</v>
      </c>
      <c r="Q77" s="969">
        <v>50</v>
      </c>
      <c r="R77" s="969">
        <v>1</v>
      </c>
      <c r="S77" s="1001" t="str">
        <f ca="1">IFERROR(_xll.qlRateHelperEarliestDate(M77,Trigger),"--")</f>
        <v>--</v>
      </c>
      <c r="T77" s="1001" t="str">
        <f ca="1">IFERROR(_xll.qlRateHelperPillarDate(M77,Trigger),"--")</f>
        <v>--</v>
      </c>
      <c r="V77" s="4" t="str">
        <f t="shared" ca="1" si="21"/>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8" t="e">
        <f ca="1"/>
        <v>#NAME?</v>
      </c>
      <c r="AD77" s="913"/>
    </row>
    <row r="78" spans="1:30" ht="11.25" customHeight="1" x14ac:dyDescent="0.2">
      <c r="A78" s="873" t="s">
        <v>404</v>
      </c>
      <c r="B78" s="875" t="s">
        <v>38</v>
      </c>
      <c r="C78" s="874" t="s">
        <v>324</v>
      </c>
      <c r="D78" s="874" t="s">
        <v>323</v>
      </c>
      <c r="E78" s="874" t="s">
        <v>322</v>
      </c>
      <c r="F78" s="874" t="s">
        <v>221</v>
      </c>
      <c r="G78" s="874" t="str">
        <f t="shared" si="19"/>
        <v>Euribor6M</v>
      </c>
      <c r="H78" s="873" t="str">
        <f t="shared" si="20"/>
        <v>EURAB6E18Y_Quote</v>
      </c>
      <c r="I78" s="876">
        <v>0</v>
      </c>
      <c r="J78" s="43" t="e">
        <f ca="1">_xll.qlSwapRateHelper2(,H78,,B78,Calendar,D78,E78,F78,G78,I78,C78,Discounting,PillarDate,,Permanent,Trigger,ObjectOverwrite)</f>
        <v>#NAME?</v>
      </c>
      <c r="L78" s="1004" t="str">
        <f t="shared" si="17"/>
        <v>Sw</v>
      </c>
      <c r="M78" s="969" t="e">
        <f t="shared" ca="1" si="18"/>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1"/>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8" t="e">
        <f ca="1"/>
        <v>#NAME?</v>
      </c>
      <c r="AD78" s="913"/>
    </row>
    <row r="79" spans="1:30" ht="11.25" customHeight="1" x14ac:dyDescent="0.2">
      <c r="A79" s="873" t="s">
        <v>404</v>
      </c>
      <c r="B79" s="875" t="s">
        <v>37</v>
      </c>
      <c r="C79" s="874" t="s">
        <v>324</v>
      </c>
      <c r="D79" s="874" t="s">
        <v>323</v>
      </c>
      <c r="E79" s="874" t="s">
        <v>322</v>
      </c>
      <c r="F79" s="874" t="s">
        <v>221</v>
      </c>
      <c r="G79" s="874" t="str">
        <f t="shared" si="19"/>
        <v>Euribor6M</v>
      </c>
      <c r="H79" s="873" t="str">
        <f t="shared" si="20"/>
        <v>EURAB6E19Y_Quote</v>
      </c>
      <c r="I79" s="876">
        <v>0</v>
      </c>
      <c r="J79" s="43" t="e">
        <f ca="1">_xll.qlSwapRateHelper2(,H79,,B79,Calendar,D79,E79,F79,G79,I79,C79,Discounting,PillarDate,,Permanent,Trigger,ObjectOverwrite)</f>
        <v>#NAME?</v>
      </c>
      <c r="L79" s="1004" t="str">
        <f t="shared" si="17"/>
        <v>Sw</v>
      </c>
      <c r="M79" s="969" t="e">
        <f t="shared" ca="1" si="18"/>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1"/>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8" t="e">
        <f ca="1"/>
        <v>#NAME?</v>
      </c>
      <c r="AD79" s="913"/>
    </row>
    <row r="80" spans="1:30" ht="11.25" customHeight="1" x14ac:dyDescent="0.2">
      <c r="A80" s="873" t="s">
        <v>404</v>
      </c>
      <c r="B80" s="875" t="s">
        <v>36</v>
      </c>
      <c r="C80" s="874" t="s">
        <v>324</v>
      </c>
      <c r="D80" s="874" t="s">
        <v>323</v>
      </c>
      <c r="E80" s="874" t="s">
        <v>322</v>
      </c>
      <c r="F80" s="874" t="s">
        <v>221</v>
      </c>
      <c r="G80" s="874" t="str">
        <f t="shared" si="19"/>
        <v>Euribor6M</v>
      </c>
      <c r="H80" s="873" t="str">
        <f t="shared" si="20"/>
        <v>EURAB6E20Y_Quote</v>
      </c>
      <c r="I80" s="876">
        <v>0</v>
      </c>
      <c r="J80" s="43" t="e">
        <f ca="1">_xll.qlSwapRateHelper2(,H80,,B80,Calendar,D80,E80,F80,G80,I80,C80,Discounting,PillarDate,,Permanent,Trigger,ObjectOverwrite)</f>
        <v>#NAME?</v>
      </c>
      <c r="L80" s="1004" t="str">
        <f t="shared" si="17"/>
        <v>Sw</v>
      </c>
      <c r="M80" s="969" t="e">
        <f t="shared" ca="1" si="18"/>
        <v>#NAME?</v>
      </c>
      <c r="N80" s="1003" t="str">
        <f ca="1">IFERROR(_xll.qlRateHelperQuoteName(M80,Trigger),"--")</f>
        <v>--</v>
      </c>
      <c r="O80" s="1002" t="str">
        <f ca="1">IFERROR(_xll.qlRateHelperQuoteValue($M80,Trigger),"--")</f>
        <v>--</v>
      </c>
      <c r="P80" s="969" t="b">
        <v>1</v>
      </c>
      <c r="Q80" s="969">
        <v>50</v>
      </c>
      <c r="R80" s="969">
        <v>1</v>
      </c>
      <c r="S80" s="1001" t="str">
        <f ca="1">IFERROR(_xll.qlRateHelperEarliestDate(M80,Trigger),"--")</f>
        <v>--</v>
      </c>
      <c r="T80" s="1001" t="str">
        <f ca="1">IFERROR(_xll.qlRateHelperPillarDate(M80,Trigger),"--")</f>
        <v>--</v>
      </c>
      <c r="V80" s="4" t="str">
        <f t="shared" ca="1" si="21"/>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8" t="e">
        <f ca="1"/>
        <v>#NAME?</v>
      </c>
      <c r="AD80" s="913"/>
    </row>
    <row r="81" spans="1:30" x14ac:dyDescent="0.2">
      <c r="A81" s="873" t="s">
        <v>404</v>
      </c>
      <c r="B81" s="875" t="s">
        <v>35</v>
      </c>
      <c r="C81" s="874" t="s">
        <v>324</v>
      </c>
      <c r="D81" s="874" t="s">
        <v>323</v>
      </c>
      <c r="E81" s="874" t="s">
        <v>322</v>
      </c>
      <c r="F81" s="874" t="s">
        <v>221</v>
      </c>
      <c r="G81" s="874" t="str">
        <f t="shared" si="19"/>
        <v>Euribor6M</v>
      </c>
      <c r="H81" s="873" t="str">
        <f t="shared" si="20"/>
        <v>EURAB6E21Y_Quote</v>
      </c>
      <c r="I81" s="876">
        <v>0</v>
      </c>
      <c r="J81" s="43" t="e">
        <f ca="1">_xll.qlSwapRateHelper2(,H81,,B81,Calendar,D81,E81,F81,G81,I81,C81,Discounting,PillarDate,,Permanent,Trigger,ObjectOverwrite)</f>
        <v>#NAME?</v>
      </c>
      <c r="L81" s="1004" t="str">
        <f t="shared" si="17"/>
        <v>Sw</v>
      </c>
      <c r="M81" s="969" t="e">
        <f t="shared" ca="1" si="18"/>
        <v>#NAME?</v>
      </c>
      <c r="N81" s="1003" t="str">
        <f ca="1">IFERROR(_xll.qlRateHelperQuoteName(M81,Trigger),"--")</f>
        <v>--</v>
      </c>
      <c r="O81" s="1002" t="str">
        <f ca="1">IFERROR(_xll.qlRateHelperQuoteValue($M81,Trigger),"--")</f>
        <v>--</v>
      </c>
      <c r="P81" s="969" t="b">
        <v>1</v>
      </c>
      <c r="Q81" s="969">
        <v>50</v>
      </c>
      <c r="R81" s="969">
        <v>1</v>
      </c>
      <c r="S81" s="1001" t="str">
        <f ca="1">IFERROR(_xll.qlRateHelperEarliestDate(M81,Trigger),"--")</f>
        <v>--</v>
      </c>
      <c r="T81" s="1001" t="str">
        <f ca="1">IFERROR(_xll.qlRateHelperPillarDate(M81,Trigger),"--")</f>
        <v>--</v>
      </c>
      <c r="V81" s="4" t="str">
        <f t="shared" ca="1" si="21"/>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8" t="e">
        <f ca="1"/>
        <v>#NAME?</v>
      </c>
      <c r="AD81" s="913"/>
    </row>
    <row r="82" spans="1:30" x14ac:dyDescent="0.2">
      <c r="A82" s="873" t="s">
        <v>404</v>
      </c>
      <c r="B82" s="875" t="s">
        <v>34</v>
      </c>
      <c r="C82" s="874" t="s">
        <v>324</v>
      </c>
      <c r="D82" s="874" t="s">
        <v>323</v>
      </c>
      <c r="E82" s="874" t="s">
        <v>322</v>
      </c>
      <c r="F82" s="874" t="s">
        <v>221</v>
      </c>
      <c r="G82" s="874" t="str">
        <f t="shared" si="19"/>
        <v>Euribor6M</v>
      </c>
      <c r="H82" s="873" t="str">
        <f t="shared" si="20"/>
        <v>EURAB6E22Y_Quote</v>
      </c>
      <c r="I82" s="876">
        <v>0</v>
      </c>
      <c r="J82" s="43" t="e">
        <f ca="1">_xll.qlSwapRateHelper2(,H82,,B82,Calendar,D82,E82,F82,G82,I82,C82,Discounting,PillarDate,,Permanent,Trigger,ObjectOverwrite)</f>
        <v>#NAME?</v>
      </c>
      <c r="L82" s="1004" t="str">
        <f t="shared" si="17"/>
        <v>Sw</v>
      </c>
      <c r="M82" s="969" t="e">
        <f t="shared" ca="1" si="18"/>
        <v>#NAME?</v>
      </c>
      <c r="N82" s="1003" t="str">
        <f ca="1">IFERROR(_xll.qlRateHelperQuoteName(M82,Trigger),"--")</f>
        <v>--</v>
      </c>
      <c r="O82" s="1002" t="str">
        <f ca="1">IFERROR(_xll.qlRateHelperQuoteValue($M82,Trigger),"--")</f>
        <v>--</v>
      </c>
      <c r="P82" s="969" t="b">
        <v>1</v>
      </c>
      <c r="Q82" s="969">
        <v>50</v>
      </c>
      <c r="R82" s="969">
        <v>1</v>
      </c>
      <c r="S82" s="1001" t="str">
        <f ca="1">IFERROR(_xll.qlRateHelperEarliestDate(M82,Trigger),"--")</f>
        <v>--</v>
      </c>
      <c r="T82" s="1001" t="str">
        <f ca="1">IFERROR(_xll.qlRateHelperPillarDate(M82,Trigger),"--")</f>
        <v>--</v>
      </c>
      <c r="V82" s="4" t="str">
        <f t="shared" ca="1" si="21"/>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8" t="e">
        <f ca="1"/>
        <v>#NAME?</v>
      </c>
      <c r="AD82" s="913"/>
    </row>
    <row r="83" spans="1:30" x14ac:dyDescent="0.2">
      <c r="A83" s="873" t="s">
        <v>404</v>
      </c>
      <c r="B83" s="875" t="s">
        <v>33</v>
      </c>
      <c r="C83" s="874" t="s">
        <v>324</v>
      </c>
      <c r="D83" s="874" t="s">
        <v>323</v>
      </c>
      <c r="E83" s="874" t="s">
        <v>322</v>
      </c>
      <c r="F83" s="874" t="s">
        <v>221</v>
      </c>
      <c r="G83" s="874" t="str">
        <f t="shared" si="19"/>
        <v>Euribor6M</v>
      </c>
      <c r="H83" s="873" t="str">
        <f t="shared" si="20"/>
        <v>EURAB6E23Y_Quote</v>
      </c>
      <c r="I83" s="876">
        <v>0</v>
      </c>
      <c r="J83" s="43" t="e">
        <f ca="1">_xll.qlSwapRateHelper2(,H83,,B83,Calendar,D83,E83,F83,G83,I83,C83,Discounting,PillarDate,,Permanent,Trigger,ObjectOverwrite)</f>
        <v>#NAME?</v>
      </c>
      <c r="L83" s="1004" t="str">
        <f t="shared" si="17"/>
        <v>Sw</v>
      </c>
      <c r="M83" s="969" t="e">
        <f t="shared" ca="1" si="18"/>
        <v>#NAME?</v>
      </c>
      <c r="N83" s="1003" t="str">
        <f ca="1">IFERROR(_xll.qlRateHelperQuoteName(M83,Trigger),"--")</f>
        <v>--</v>
      </c>
      <c r="O83" s="1002" t="str">
        <f ca="1">IFERROR(_xll.qlRateHelperQuoteValue($M83,Trigger),"--")</f>
        <v>--</v>
      </c>
      <c r="P83" s="969" t="b">
        <v>1</v>
      </c>
      <c r="Q83" s="969">
        <v>50</v>
      </c>
      <c r="R83" s="969">
        <v>1</v>
      </c>
      <c r="S83" s="1001" t="str">
        <f ca="1">IFERROR(_xll.qlRateHelperEarliestDate(M83,Trigger),"--")</f>
        <v>--</v>
      </c>
      <c r="T83" s="1001" t="str">
        <f ca="1">IFERROR(_xll.qlRateHelperPillarDate(M83,Trigger),"--")</f>
        <v>--</v>
      </c>
      <c r="V83" s="4" t="str">
        <f t="shared" ca="1" si="21"/>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8" t="e">
        <f ca="1"/>
        <v>#NAME?</v>
      </c>
      <c r="AD83" s="913"/>
    </row>
    <row r="84" spans="1:30" x14ac:dyDescent="0.2">
      <c r="A84" s="873" t="s">
        <v>404</v>
      </c>
      <c r="B84" s="875" t="s">
        <v>32</v>
      </c>
      <c r="C84" s="874" t="s">
        <v>324</v>
      </c>
      <c r="D84" s="874" t="s">
        <v>323</v>
      </c>
      <c r="E84" s="874" t="s">
        <v>322</v>
      </c>
      <c r="F84" s="874" t="s">
        <v>221</v>
      </c>
      <c r="G84" s="874" t="str">
        <f t="shared" si="19"/>
        <v>Euribor6M</v>
      </c>
      <c r="H84" s="873" t="str">
        <f t="shared" si="20"/>
        <v>EURAB6E24Y_Quote</v>
      </c>
      <c r="I84" s="876">
        <v>0</v>
      </c>
      <c r="J84" s="43" t="e">
        <f ca="1">_xll.qlSwapRateHelper2(,H84,,B84,Calendar,D84,E84,F84,G84,I84,C84,Discounting,PillarDate,,Permanent,Trigger,ObjectOverwrite)</f>
        <v>#NAME?</v>
      </c>
      <c r="L84" s="1004" t="str">
        <f t="shared" si="17"/>
        <v>Sw</v>
      </c>
      <c r="M84" s="969" t="e">
        <f t="shared" ca="1" si="18"/>
        <v>#NAME?</v>
      </c>
      <c r="N84" s="1003" t="str">
        <f ca="1">IFERROR(_xll.qlRateHelperQuoteName(M84,Trigger),"--")</f>
        <v>--</v>
      </c>
      <c r="O84" s="1002" t="str">
        <f ca="1">IFERROR(_xll.qlRateHelperQuoteValue($M84,Trigger),"--")</f>
        <v>--</v>
      </c>
      <c r="P84" s="969" t="b">
        <v>1</v>
      </c>
      <c r="Q84" s="969">
        <v>50</v>
      </c>
      <c r="R84" s="969">
        <v>1</v>
      </c>
      <c r="S84" s="1001" t="str">
        <f ca="1">IFERROR(_xll.qlRateHelperEarliestDate(M84,Trigger),"--")</f>
        <v>--</v>
      </c>
      <c r="T84" s="1001" t="str">
        <f ca="1">IFERROR(_xll.qlRateHelperPillarDate(M84,Trigger),"--")</f>
        <v>--</v>
      </c>
      <c r="V84" s="4" t="str">
        <f t="shared" ca="1" si="21"/>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8" t="e">
        <f ca="1"/>
        <v>#NAME?</v>
      </c>
      <c r="AD84" s="913"/>
    </row>
    <row r="85" spans="1:30" x14ac:dyDescent="0.2">
      <c r="A85" s="873" t="s">
        <v>404</v>
      </c>
      <c r="B85" s="875" t="s">
        <v>31</v>
      </c>
      <c r="C85" s="874" t="s">
        <v>324</v>
      </c>
      <c r="D85" s="874" t="s">
        <v>323</v>
      </c>
      <c r="E85" s="874" t="s">
        <v>322</v>
      </c>
      <c r="F85" s="874" t="s">
        <v>221</v>
      </c>
      <c r="G85" s="874" t="str">
        <f t="shared" si="19"/>
        <v>Euribor6M</v>
      </c>
      <c r="H85" s="873" t="str">
        <f t="shared" si="20"/>
        <v>EURAB6E25Y_Quote</v>
      </c>
      <c r="I85" s="876">
        <v>0</v>
      </c>
      <c r="J85" s="43" t="e">
        <f ca="1">_xll.qlSwapRateHelper2(,H85,,B85,Calendar,D85,E85,F85,G85,I85,C85,Discounting,PillarDate,,Permanent,Trigger,ObjectOverwrite)</f>
        <v>#NAME?</v>
      </c>
      <c r="L85" s="1004" t="str">
        <f t="shared" si="17"/>
        <v>Sw</v>
      </c>
      <c r="M85" s="969" t="e">
        <f t="shared" ca="1" si="18"/>
        <v>#NAME?</v>
      </c>
      <c r="N85" s="1003" t="str">
        <f ca="1">IFERROR(_xll.qlRateHelperQuoteName(M85,Trigger),"--")</f>
        <v>--</v>
      </c>
      <c r="O85" s="1002" t="str">
        <f ca="1">IFERROR(_xll.qlRateHelperQuoteValue($M85,Trigger),"--")</f>
        <v>--</v>
      </c>
      <c r="P85" s="969" t="b">
        <v>1</v>
      </c>
      <c r="Q85" s="969">
        <v>50</v>
      </c>
      <c r="R85" s="969">
        <v>1</v>
      </c>
      <c r="S85" s="1001" t="str">
        <f ca="1">IFERROR(_xll.qlRateHelperEarliestDate(M85,Trigger),"--")</f>
        <v>--</v>
      </c>
      <c r="T85" s="1001" t="str">
        <f ca="1">IFERROR(_xll.qlRateHelperPillarDate(M85,Trigger),"--")</f>
        <v>--</v>
      </c>
      <c r="V85" s="4" t="str">
        <f t="shared" ca="1" si="21"/>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8" t="e">
        <f ca="1"/>
        <v>#NAME?</v>
      </c>
      <c r="AD85" s="913"/>
    </row>
    <row r="86" spans="1:30" x14ac:dyDescent="0.2">
      <c r="A86" s="873" t="s">
        <v>404</v>
      </c>
      <c r="B86" s="875" t="s">
        <v>30</v>
      </c>
      <c r="C86" s="874" t="s">
        <v>324</v>
      </c>
      <c r="D86" s="874" t="s">
        <v>323</v>
      </c>
      <c r="E86" s="874" t="s">
        <v>322</v>
      </c>
      <c r="F86" s="874" t="s">
        <v>221</v>
      </c>
      <c r="G86" s="874" t="str">
        <f t="shared" si="19"/>
        <v>Euribor6M</v>
      </c>
      <c r="H86" s="873" t="str">
        <f t="shared" si="20"/>
        <v>EURAB6E26Y_Quote</v>
      </c>
      <c r="I86" s="876">
        <v>0</v>
      </c>
      <c r="J86" s="43" t="e">
        <f ca="1">_xll.qlSwapRateHelper2(,H86,,B86,Calendar,D86,E86,F86,G86,I86,C86,Discounting,PillarDate,,Permanent,Trigger,ObjectOverwrite)</f>
        <v>#NAME?</v>
      </c>
      <c r="L86" s="1004" t="str">
        <f t="shared" si="17"/>
        <v>Sw</v>
      </c>
      <c r="M86" s="969" t="e">
        <f t="shared" ca="1" si="18"/>
        <v>#NAME?</v>
      </c>
      <c r="N86" s="1003" t="str">
        <f ca="1">IFERROR(_xll.qlRateHelperQuoteName(M86,Trigger),"--")</f>
        <v>--</v>
      </c>
      <c r="O86" s="1002" t="str">
        <f ca="1">IFERROR(_xll.qlRateHelperQuoteValue($M86,Trigger),"--")</f>
        <v>--</v>
      </c>
      <c r="P86" s="969" t="b">
        <v>1</v>
      </c>
      <c r="Q86" s="969">
        <v>50</v>
      </c>
      <c r="R86" s="969">
        <v>1</v>
      </c>
      <c r="S86" s="1001" t="str">
        <f ca="1">IFERROR(_xll.qlRateHelperEarliestDate(M86,Trigger),"--")</f>
        <v>--</v>
      </c>
      <c r="T86" s="1001" t="str">
        <f ca="1">IFERROR(_xll.qlRateHelperPillarDate(M86,Trigger),"--")</f>
        <v>--</v>
      </c>
      <c r="V86" s="4" t="str">
        <f t="shared" ca="1" si="21"/>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8" t="e">
        <f ca="1"/>
        <v>#NAME?</v>
      </c>
      <c r="AD86" s="913"/>
    </row>
    <row r="87" spans="1:30" x14ac:dyDescent="0.2">
      <c r="A87" s="873" t="s">
        <v>404</v>
      </c>
      <c r="B87" s="875" t="s">
        <v>29</v>
      </c>
      <c r="C87" s="874" t="s">
        <v>324</v>
      </c>
      <c r="D87" s="874" t="s">
        <v>323</v>
      </c>
      <c r="E87" s="874" t="s">
        <v>322</v>
      </c>
      <c r="F87" s="874" t="s">
        <v>221</v>
      </c>
      <c r="G87" s="874" t="str">
        <f t="shared" si="19"/>
        <v>Euribor6M</v>
      </c>
      <c r="H87" s="873" t="str">
        <f t="shared" si="20"/>
        <v>EURAB6E27Y_Quote</v>
      </c>
      <c r="I87" s="876">
        <v>0</v>
      </c>
      <c r="J87" s="43" t="e">
        <f ca="1">_xll.qlSwapRateHelper2(,H87,,B87,Calendar,D87,E87,F87,G87,I87,C87,Discounting,PillarDate,,Permanent,Trigger,ObjectOverwrite)</f>
        <v>#NAME?</v>
      </c>
      <c r="L87" s="1004" t="str">
        <f t="shared" si="17"/>
        <v>Sw</v>
      </c>
      <c r="M87" s="969" t="str">
        <f t="shared" si="18"/>
        <v>--</v>
      </c>
      <c r="N87" s="1003" t="str">
        <f ca="1">IFERROR(_xll.qlRateHelperQuoteName(M87,Trigger),"--")</f>
        <v>--</v>
      </c>
      <c r="O87" s="1002" t="str">
        <f ca="1">IFERROR(_xll.qlRateHelperQuoteValue($M87,Trigger),"--")</f>
        <v>--</v>
      </c>
      <c r="P87" s="969" t="b">
        <v>0</v>
      </c>
      <c r="Q87" s="969">
        <v>50</v>
      </c>
      <c r="R87" s="969">
        <v>1</v>
      </c>
      <c r="S87" s="1001" t="str">
        <f ca="1">IFERROR(_xll.qlRateHelperEarliestDate(M87,Trigger),"--")</f>
        <v>--</v>
      </c>
      <c r="T87" s="1001" t="str">
        <f ca="1">IFERROR(_xll.qlRateHelperPillarDate(M87,Trigger),"--")</f>
        <v>--</v>
      </c>
      <c r="V87" s="4" t="str">
        <f t="shared" ca="1" si="21"/>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8" t="e">
        <f ca="1"/>
        <v>#NAME?</v>
      </c>
      <c r="AD87" s="913"/>
    </row>
    <row r="88" spans="1:30" x14ac:dyDescent="0.2">
      <c r="A88" s="873" t="s">
        <v>404</v>
      </c>
      <c r="B88" s="875" t="s">
        <v>28</v>
      </c>
      <c r="C88" s="874" t="s">
        <v>324</v>
      </c>
      <c r="D88" s="874" t="s">
        <v>323</v>
      </c>
      <c r="E88" s="874" t="s">
        <v>322</v>
      </c>
      <c r="F88" s="874" t="s">
        <v>221</v>
      </c>
      <c r="G88" s="874" t="str">
        <f t="shared" si="19"/>
        <v>Euribor6M</v>
      </c>
      <c r="H88" s="873" t="str">
        <f t="shared" si="20"/>
        <v>EURAB6E28Y_Quote</v>
      </c>
      <c r="I88" s="876">
        <v>0</v>
      </c>
      <c r="J88" s="43" t="e">
        <f ca="1">_xll.qlSwapRateHelper2(,H88,,B88,Calendar,D88,E88,F88,G88,I88,C88,Discounting,PillarDate,,Permanent,Trigger,ObjectOverwrite)</f>
        <v>#NAME?</v>
      </c>
      <c r="K88" s="1" t="s">
        <v>148</v>
      </c>
      <c r="L88" s="1004" t="str">
        <f t="shared" si="17"/>
        <v>Sw</v>
      </c>
      <c r="M88" s="969" t="e">
        <f t="shared" ca="1" si="18"/>
        <v>#NAME?</v>
      </c>
      <c r="N88" s="1003" t="str">
        <f ca="1">IFERROR(_xll.qlRateHelperQuoteName(M88,Trigger),"--")</f>
        <v>--</v>
      </c>
      <c r="O88" s="1002" t="str">
        <f ca="1">IFERROR(_xll.qlRateHelperQuoteValue($M88,Trigger),"--")</f>
        <v>--</v>
      </c>
      <c r="P88" s="969" t="b">
        <v>1</v>
      </c>
      <c r="Q88" s="969">
        <v>50</v>
      </c>
      <c r="R88" s="969">
        <v>1</v>
      </c>
      <c r="S88" s="1001" t="str">
        <f ca="1">IFERROR(_xll.qlRateHelperEarliestDate(M88,Trigger),"--")</f>
        <v>--</v>
      </c>
      <c r="T88" s="1001" t="str">
        <f ca="1">IFERROR(_xll.qlRateHelperPillarDate(M88,Trigger),"--")</f>
        <v>--</v>
      </c>
      <c r="V88" s="4" t="str">
        <f t="shared" ca="1" si="21"/>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8" t="e">
        <f ca="1"/>
        <v>#NAME?</v>
      </c>
      <c r="AD88" s="913"/>
    </row>
    <row r="89" spans="1:30" x14ac:dyDescent="0.2">
      <c r="A89" s="873" t="s">
        <v>404</v>
      </c>
      <c r="B89" s="875" t="s">
        <v>27</v>
      </c>
      <c r="C89" s="874" t="s">
        <v>324</v>
      </c>
      <c r="D89" s="874" t="s">
        <v>323</v>
      </c>
      <c r="E89" s="874" t="s">
        <v>322</v>
      </c>
      <c r="F89" s="874" t="s">
        <v>221</v>
      </c>
      <c r="G89" s="874" t="str">
        <f t="shared" si="19"/>
        <v>Euribor6M</v>
      </c>
      <c r="H89" s="873" t="str">
        <f t="shared" si="20"/>
        <v>EURAB6E29Y_Quote</v>
      </c>
      <c r="I89" s="876">
        <v>0</v>
      </c>
      <c r="J89" s="43" t="e">
        <f ca="1">_xll.qlSwapRateHelper2(,H89,,B89,Calendar,D89,E89,F89,G89,I89,C89,Discounting,PillarDate,,Permanent,Trigger,ObjectOverwrite)</f>
        <v>#NAME?</v>
      </c>
      <c r="L89" s="1000" t="str">
        <f t="shared" si="17"/>
        <v>Sw</v>
      </c>
      <c r="M89" s="968" t="e">
        <f t="shared" ca="1" si="18"/>
        <v>#NAME?</v>
      </c>
      <c r="N89" s="999" t="str">
        <f ca="1">IFERROR(_xll.qlRateHelperQuoteName(M89,Trigger),"--")</f>
        <v>--</v>
      </c>
      <c r="O89" s="998" t="str">
        <f ca="1">IFERROR(_xll.qlRateHelperQuoteValue($M89,Trigger),"--")</f>
        <v>--</v>
      </c>
      <c r="P89" s="968" t="b">
        <v>1</v>
      </c>
      <c r="Q89" s="968">
        <v>50</v>
      </c>
      <c r="R89" s="968">
        <v>1</v>
      </c>
      <c r="S89" s="997" t="str">
        <f ca="1">IFERROR(_xll.qlRateHelperEarliestDate(M89,Trigger),"--")</f>
        <v>--</v>
      </c>
      <c r="T89" s="997" t="str">
        <f ca="1">IFERROR(_xll.qlRateHelperPillarDate(M89,Trigger),"--")</f>
        <v>--</v>
      </c>
      <c r="V89" s="2" t="str">
        <f t="shared" ca="1" si="21"/>
        <v/>
      </c>
      <c r="W89" s="2" t="e">
        <f ca="1"/>
        <v>#NAME?</v>
      </c>
      <c r="X89" s="2" t="str">
        <f ca="1">IFERROR(_xll.qlRateHelperQuoteName(W89,Trigger),"")</f>
        <v/>
      </c>
      <c r="Y89" s="879" t="str">
        <f ca="1">IFERROR(_xll.qlRateHelperRate(W89,Trigger),"")</f>
        <v/>
      </c>
      <c r="Z89" s="878"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79" t="e">
        <f ca="1"/>
        <v>#NAME?</v>
      </c>
      <c r="AD89" s="913"/>
    </row>
    <row r="90" spans="1:30" x14ac:dyDescent="0.2">
      <c r="A90" s="873" t="s">
        <v>404</v>
      </c>
      <c r="B90" s="875" t="s">
        <v>26</v>
      </c>
      <c r="C90" s="874" t="s">
        <v>324</v>
      </c>
      <c r="D90" s="874" t="s">
        <v>323</v>
      </c>
      <c r="E90" s="874" t="s">
        <v>322</v>
      </c>
      <c r="F90" s="874" t="s">
        <v>221</v>
      </c>
      <c r="G90" s="874" t="str">
        <f t="shared" si="19"/>
        <v>Euribor6M</v>
      </c>
      <c r="H90" s="873" t="str">
        <f t="shared" si="20"/>
        <v>EURAB6E30Y_Quote</v>
      </c>
      <c r="I90" s="876">
        <v>0</v>
      </c>
      <c r="J90" s="43" t="e">
        <f ca="1">_xll.qlSwapRateHelper2(,H90,,B90,Calendar,D90,E90,F90,G90,I90,C90,Discounting,PillarDate,,Permanent,Trigger,ObjectOverwrite)</f>
        <v>#NAME?</v>
      </c>
      <c r="AD90" s="913"/>
    </row>
    <row r="91" spans="1:30" x14ac:dyDescent="0.2">
      <c r="A91" s="873" t="s">
        <v>404</v>
      </c>
      <c r="B91" s="875" t="s">
        <v>25</v>
      </c>
      <c r="C91" s="874" t="s">
        <v>324</v>
      </c>
      <c r="D91" s="874" t="s">
        <v>323</v>
      </c>
      <c r="E91" s="874" t="s">
        <v>322</v>
      </c>
      <c r="F91" s="874" t="s">
        <v>221</v>
      </c>
      <c r="G91" s="874" t="str">
        <f t="shared" si="19"/>
        <v>Euribor6M</v>
      </c>
      <c r="H91" s="873" t="str">
        <f t="shared" si="20"/>
        <v>EURAB6E35Y_Quote</v>
      </c>
      <c r="I91" s="876">
        <v>0</v>
      </c>
      <c r="J91" s="43" t="e">
        <f ca="1">_xll.qlSwapRateHelper2(,H91,,B91,Calendar,D91,E91,F91,G91,I91,C91,Discounting,PillarDate,,Permanent,Trigger,ObjectOverwrite)</f>
        <v>#NAME?</v>
      </c>
      <c r="AD91" s="913"/>
    </row>
    <row r="92" spans="1:30" x14ac:dyDescent="0.2">
      <c r="A92" s="873" t="s">
        <v>404</v>
      </c>
      <c r="B92" s="875" t="s">
        <v>24</v>
      </c>
      <c r="C92" s="874" t="s">
        <v>324</v>
      </c>
      <c r="D92" s="874" t="s">
        <v>323</v>
      </c>
      <c r="E92" s="874" t="s">
        <v>322</v>
      </c>
      <c r="F92" s="874" t="s">
        <v>221</v>
      </c>
      <c r="G92" s="874" t="str">
        <f t="shared" si="19"/>
        <v>Euribor6M</v>
      </c>
      <c r="H92" s="873" t="str">
        <f t="shared" si="20"/>
        <v>EURAB6E40Y_Quote</v>
      </c>
      <c r="I92" s="872">
        <v>0</v>
      </c>
      <c r="J92" s="43" t="e">
        <f ca="1">_xll.qlSwapRateHelper2(,H92,,B92,Calendar,D92,E92,F92,G92,I92,C92,Discounting,PillarDate,,Permanent,Trigger,ObjectOverwrite)</f>
        <v>#NAME?</v>
      </c>
      <c r="AD92" s="913"/>
    </row>
    <row r="93" spans="1:30" x14ac:dyDescent="0.2">
      <c r="A93" s="873" t="s">
        <v>404</v>
      </c>
      <c r="B93" s="875" t="s">
        <v>432</v>
      </c>
      <c r="C93" s="874" t="s">
        <v>324</v>
      </c>
      <c r="D93" s="874" t="s">
        <v>323</v>
      </c>
      <c r="E93" s="874" t="s">
        <v>322</v>
      </c>
      <c r="F93" s="874" t="s">
        <v>221</v>
      </c>
      <c r="G93" s="874" t="str">
        <f t="shared" si="19"/>
        <v>Euribor6M</v>
      </c>
      <c r="H93" s="873" t="str">
        <f t="shared" si="20"/>
        <v>EURAB6E45Y_Quote</v>
      </c>
      <c r="I93" s="872">
        <v>0</v>
      </c>
      <c r="J93" s="43"/>
      <c r="AD93" s="913"/>
    </row>
    <row r="94" spans="1:30" x14ac:dyDescent="0.2">
      <c r="A94" s="873" t="s">
        <v>404</v>
      </c>
      <c r="B94" s="875" t="s">
        <v>23</v>
      </c>
      <c r="C94" s="874" t="s">
        <v>324</v>
      </c>
      <c r="D94" s="874" t="s">
        <v>323</v>
      </c>
      <c r="E94" s="874" t="s">
        <v>322</v>
      </c>
      <c r="F94" s="874" t="s">
        <v>221</v>
      </c>
      <c r="G94" s="874" t="str">
        <f t="shared" si="19"/>
        <v>Euribor6M</v>
      </c>
      <c r="H94" s="873" t="str">
        <f t="shared" si="20"/>
        <v>EURAB6E50Y_Quote</v>
      </c>
      <c r="I94" s="872">
        <v>0</v>
      </c>
      <c r="J94" s="43" t="e">
        <f ca="1">_xll.qlSwapRateHelper2(,H94,,B94,Calendar,D94,E94,F94,G94,I94,C94,Discounting,PillarDate,,Permanent,Trigger,ObjectOverwrite)</f>
        <v>#NAME?</v>
      </c>
      <c r="AD94" s="913"/>
    </row>
    <row r="95" spans="1:30" x14ac:dyDescent="0.2">
      <c r="A95" s="869" t="s">
        <v>404</v>
      </c>
      <c r="B95" s="871" t="s">
        <v>22</v>
      </c>
      <c r="C95" s="870" t="s">
        <v>324</v>
      </c>
      <c r="D95" s="870" t="s">
        <v>323</v>
      </c>
      <c r="E95" s="870" t="s">
        <v>322</v>
      </c>
      <c r="F95" s="870" t="s">
        <v>221</v>
      </c>
      <c r="G95" s="870" t="str">
        <f t="shared" si="19"/>
        <v>Euribor6M</v>
      </c>
      <c r="H95" s="869" t="str">
        <f t="shared" si="20"/>
        <v>EURAB6E60Y_Quote</v>
      </c>
      <c r="I95" s="868">
        <v>0</v>
      </c>
      <c r="J95" s="38" t="e">
        <f ca="1">_xll.qlSwapRateHelper2(,H95,,B95,Calendar,D95,E95,F95,G95,I95,C95,Discounting,PillarDate,,Permanent,Trigger,ObjectOverwrite)</f>
        <v>#NAME?</v>
      </c>
      <c r="AD95" s="913"/>
    </row>
    <row r="96" spans="1:30" x14ac:dyDescent="0.2">
      <c r="AD96" s="913"/>
    </row>
    <row r="97" spans="30:30" x14ac:dyDescent="0.2">
      <c r="AD97" s="913"/>
    </row>
    <row r="98" spans="30:30" x14ac:dyDescent="0.2">
      <c r="AD98" s="913"/>
    </row>
    <row r="99" spans="30:30" x14ac:dyDescent="0.2">
      <c r="AD99" s="913"/>
    </row>
    <row r="100" spans="30:30" x14ac:dyDescent="0.2">
      <c r="AD100" s="913"/>
    </row>
    <row r="101" spans="30:30" x14ac:dyDescent="0.2">
      <c r="AD101" s="913"/>
    </row>
    <row r="102" spans="30:30" x14ac:dyDescent="0.2">
      <c r="AD102" s="913"/>
    </row>
    <row r="103" spans="30:30" x14ac:dyDescent="0.2">
      <c r="AD103" s="913"/>
    </row>
    <row r="104" spans="30:30" x14ac:dyDescent="0.2">
      <c r="AD104" s="913"/>
    </row>
    <row r="105" spans="30:30" x14ac:dyDescent="0.2">
      <c r="AD105" s="913"/>
    </row>
    <row r="106" spans="30:30" x14ac:dyDescent="0.2">
      <c r="AD106" s="913"/>
    </row>
    <row r="107" spans="30:30" x14ac:dyDescent="0.2">
      <c r="AD107" s="913"/>
    </row>
    <row r="108" spans="30:30" x14ac:dyDescent="0.2">
      <c r="AD108" s="913"/>
    </row>
    <row r="109" spans="30:30" x14ac:dyDescent="0.2">
      <c r="AD109" s="913"/>
    </row>
    <row r="110" spans="30:30" x14ac:dyDescent="0.2">
      <c r="AD110" s="913"/>
    </row>
    <row r="111" spans="30:30" x14ac:dyDescent="0.2">
      <c r="AD111" s="913"/>
    </row>
    <row r="112" spans="30:30" x14ac:dyDescent="0.2">
      <c r="AD112" s="913"/>
    </row>
    <row r="113" spans="30:30" x14ac:dyDescent="0.2">
      <c r="AD113" s="913"/>
    </row>
    <row r="114" spans="30:30" x14ac:dyDescent="0.2">
      <c r="AD114" s="913"/>
    </row>
    <row r="115" spans="30:30" x14ac:dyDescent="0.2">
      <c r="AD115" s="913"/>
    </row>
    <row r="116" spans="30:30" x14ac:dyDescent="0.2">
      <c r="AD116" s="913"/>
    </row>
    <row r="117" spans="30:30" x14ac:dyDescent="0.2">
      <c r="AD117" s="913"/>
    </row>
    <row r="118" spans="30:30" x14ac:dyDescent="0.2">
      <c r="AD118" s="913"/>
    </row>
    <row r="119" spans="30:30" x14ac:dyDescent="0.2">
      <c r="AD119" s="913"/>
    </row>
    <row r="120" spans="30:30" x14ac:dyDescent="0.2">
      <c r="AD120" s="913"/>
    </row>
    <row r="121" spans="30:30" x14ac:dyDescent="0.2">
      <c r="AD121" s="913"/>
    </row>
    <row r="122" spans="30:30" x14ac:dyDescent="0.2">
      <c r="AD122" s="913"/>
    </row>
    <row r="123" spans="30:30" x14ac:dyDescent="0.2">
      <c r="AD123" s="913"/>
    </row>
    <row r="124" spans="30:30" x14ac:dyDescent="0.2">
      <c r="AD124" s="913"/>
    </row>
    <row r="125" spans="30:30" x14ac:dyDescent="0.2">
      <c r="AD125" s="913"/>
    </row>
    <row r="126" spans="30:30" x14ac:dyDescent="0.2">
      <c r="AD126" s="913"/>
    </row>
    <row r="127" spans="30:30" x14ac:dyDescent="0.2">
      <c r="AD127" s="913"/>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2"/>
      <c r="C2" s="231"/>
      <c r="D2" s="231"/>
      <c r="E2" s="230"/>
      <c r="G2" s="232"/>
      <c r="H2" s="231"/>
      <c r="I2" s="231"/>
      <c r="J2" s="230"/>
    </row>
    <row r="3" spans="1:13" ht="11.25" customHeight="1" x14ac:dyDescent="0.25">
      <c r="B3" s="235"/>
      <c r="C3" s="1058" t="s">
        <v>231</v>
      </c>
      <c r="D3" s="1065" t="s">
        <v>230</v>
      </c>
      <c r="E3" s="294"/>
      <c r="G3" s="235"/>
      <c r="H3" s="1058" t="s">
        <v>307</v>
      </c>
      <c r="I3" s="1064" t="e">
        <f ca="1">_xll.qlSettingsEvaluationDate(Trigger)</f>
        <v>#NAME?</v>
      </c>
      <c r="J3" s="294"/>
      <c r="L3" s="1360" t="s">
        <v>529</v>
      </c>
      <c r="M3" s="1363" t="e">
        <f ca="1">_xll.ohTrigger('General Settings_3'!Trigger2)</f>
        <v>#NAME?</v>
      </c>
    </row>
    <row r="4" spans="1:13" ht="11.25" customHeight="1" thickBot="1" x14ac:dyDescent="0.3">
      <c r="B4" s="235"/>
      <c r="C4" s="1055" t="s">
        <v>229</v>
      </c>
      <c r="D4" s="129" t="b">
        <v>1</v>
      </c>
      <c r="E4" s="294"/>
      <c r="G4" s="235"/>
      <c r="H4" s="1055" t="s">
        <v>305</v>
      </c>
      <c r="I4" s="1062" t="e">
        <f ca="1">_xll.qlCalendarAdvance(Calendar,Evaluationdate,"2D","F",,Trigger)</f>
        <v>#NAME?</v>
      </c>
      <c r="J4" s="294"/>
      <c r="L4" s="1361" t="s">
        <v>530</v>
      </c>
      <c r="M4" s="1364" t="e">
        <f ca="1">_xll.ohTrigger(EURON!Trigger2,EUR3M!Trigger2,EUR6M!Trigger2,EUR1M!Trigger2,EUR1Y!Trigger2,D23,D38,D53,I23,I38)</f>
        <v>#NAME?</v>
      </c>
    </row>
    <row r="5" spans="1:13" ht="11.25" customHeight="1" x14ac:dyDescent="0.2">
      <c r="A5" s="23"/>
      <c r="B5" s="1060"/>
      <c r="C5" s="292" t="s">
        <v>239</v>
      </c>
      <c r="D5" s="1063">
        <v>42357.886435185188</v>
      </c>
      <c r="E5" s="294"/>
      <c r="G5" s="235"/>
      <c r="H5" s="1055" t="s">
        <v>216</v>
      </c>
      <c r="I5" s="1062" t="s">
        <v>215</v>
      </c>
      <c r="J5" s="294"/>
    </row>
    <row r="6" spans="1:13" ht="11.25" customHeight="1" x14ac:dyDescent="0.2">
      <c r="A6" s="23"/>
      <c r="B6" s="1060"/>
      <c r="C6" s="1055" t="s">
        <v>227</v>
      </c>
      <c r="D6" s="129" t="b">
        <v>1</v>
      </c>
      <c r="E6" s="294"/>
      <c r="G6" s="235"/>
      <c r="H6" s="1061"/>
      <c r="I6" s="1061"/>
      <c r="J6" s="294"/>
    </row>
    <row r="7" spans="1:13" ht="11.25" customHeight="1" x14ac:dyDescent="0.2">
      <c r="A7" s="23"/>
      <c r="B7" s="1060"/>
      <c r="C7" s="1055" t="s">
        <v>228</v>
      </c>
      <c r="D7" s="1059" t="str">
        <f>Currency&amp;"ON"</f>
        <v>EURON</v>
      </c>
      <c r="E7" s="294"/>
      <c r="G7" s="235"/>
      <c r="H7" s="1058" t="s">
        <v>431</v>
      </c>
      <c r="I7" s="1057" t="s">
        <v>225</v>
      </c>
      <c r="J7" s="294"/>
    </row>
    <row r="8" spans="1:13" ht="11.25" customHeight="1" x14ac:dyDescent="0.2">
      <c r="A8" s="23"/>
      <c r="B8" s="1053"/>
      <c r="C8" s="1051" t="s">
        <v>398</v>
      </c>
      <c r="D8" s="1056" t="s">
        <v>430</v>
      </c>
      <c r="E8" s="294"/>
      <c r="G8" s="235"/>
      <c r="H8" s="1055" t="s">
        <v>224</v>
      </c>
      <c r="I8" s="1054" t="s">
        <v>223</v>
      </c>
      <c r="J8" s="294"/>
    </row>
    <row r="9" spans="1:13" ht="11.25" customHeight="1" x14ac:dyDescent="0.2">
      <c r="B9" s="1053"/>
      <c r="C9" s="1052"/>
      <c r="D9" s="1052"/>
      <c r="E9" s="294"/>
      <c r="G9" s="235"/>
      <c r="H9" s="1051" t="s">
        <v>429</v>
      </c>
      <c r="I9" s="381" t="s">
        <v>428</v>
      </c>
      <c r="J9" s="294"/>
    </row>
    <row r="10" spans="1:13" ht="11.25" customHeight="1" x14ac:dyDescent="0.2">
      <c r="B10" s="532"/>
      <c r="C10" s="252"/>
      <c r="D10" s="1050"/>
      <c r="E10" s="293"/>
      <c r="G10" s="532"/>
      <c r="H10" s="252"/>
      <c r="I10" s="1050"/>
      <c r="J10" s="293"/>
    </row>
    <row r="11" spans="1:13" ht="11.25" customHeight="1" x14ac:dyDescent="0.2"/>
    <row r="12" spans="1:13" x14ac:dyDescent="0.2">
      <c r="B12" s="1047"/>
      <c r="C12" s="1046"/>
      <c r="D12" s="1046"/>
      <c r="E12" s="1045"/>
      <c r="G12" s="1047"/>
      <c r="H12" s="1046"/>
      <c r="I12" s="1046"/>
      <c r="J12" s="1045"/>
    </row>
    <row r="13" spans="1:13" x14ac:dyDescent="0.2">
      <c r="B13" s="508"/>
      <c r="C13" s="1041" t="s">
        <v>293</v>
      </c>
      <c r="D13" s="1044" t="e">
        <f ca="1">_xll.qlPiecewiseYieldCurve($D$15,$D$16,Calendar,_xll.ohPack(RateHelpersON),,JumpQuotes_ON,JumpDates_ON,D17,D18,D19,Permanent,,ObjectOverwrite)</f>
        <v>#NAME?</v>
      </c>
      <c r="E13" s="1027"/>
      <c r="G13" s="508"/>
      <c r="H13" s="1041" t="s">
        <v>293</v>
      </c>
      <c r="I13" s="1044" t="e">
        <f ca="1">_xll.qlPiecewiseYieldCurve(I15,I16,Calendar,_xll.ohPack(RateHelpers3M),,JumpQuotes_3M,JumpDates_3M,I17,I18,I19,Permanent,,ObjectOverwrite)</f>
        <v>#NAME?</v>
      </c>
      <c r="J13" s="1027"/>
    </row>
    <row r="14" spans="1:13" x14ac:dyDescent="0.2">
      <c r="B14" s="508"/>
      <c r="C14" s="1035" t="s">
        <v>59</v>
      </c>
      <c r="D14" s="1042" t="e">
        <f ca="1">_xll.ohRangeRetrieveError(YieldCurve_ON)</f>
        <v>#NAME?</v>
      </c>
      <c r="E14" s="1027"/>
      <c r="G14" s="508"/>
      <c r="H14" s="1035" t="s">
        <v>59</v>
      </c>
      <c r="I14" s="1042" t="e">
        <f ca="1">_xll.ohRangeRetrieveError(YieldCurve_3M)</f>
        <v>#NAME?</v>
      </c>
      <c r="J14" s="1027"/>
    </row>
    <row r="15" spans="1:13" x14ac:dyDescent="0.2">
      <c r="B15" s="508"/>
      <c r="C15" s="1041" t="s">
        <v>427</v>
      </c>
      <c r="D15" s="1040" t="str">
        <f>"_"&amp;Currency&amp;"ON"</f>
        <v>_EURON</v>
      </c>
      <c r="E15" s="1027"/>
      <c r="G15" s="508"/>
      <c r="H15" s="1041" t="s">
        <v>427</v>
      </c>
      <c r="I15" s="1040" t="str">
        <f>"_"&amp;Currency&amp;"3M"</f>
        <v>_EUR3M</v>
      </c>
      <c r="J15" s="1027"/>
    </row>
    <row r="16" spans="1:13" x14ac:dyDescent="0.2">
      <c r="B16" s="508"/>
      <c r="C16" s="1037" t="s">
        <v>299</v>
      </c>
      <c r="D16" s="1039">
        <v>0</v>
      </c>
      <c r="E16" s="1027"/>
      <c r="G16" s="508"/>
      <c r="H16" s="1037" t="s">
        <v>299</v>
      </c>
      <c r="I16" s="1039">
        <v>2</v>
      </c>
      <c r="J16" s="1027"/>
    </row>
    <row r="17" spans="1:10" x14ac:dyDescent="0.2">
      <c r="B17" s="508"/>
      <c r="C17" s="1037" t="s">
        <v>294</v>
      </c>
      <c r="D17" s="1038"/>
      <c r="E17" s="1027"/>
      <c r="G17" s="508"/>
      <c r="H17" s="1037" t="s">
        <v>294</v>
      </c>
      <c r="I17" s="1038"/>
      <c r="J17" s="1027"/>
    </row>
    <row r="18" spans="1:10" x14ac:dyDescent="0.2">
      <c r="B18" s="508"/>
      <c r="C18" s="1037" t="s">
        <v>292</v>
      </c>
      <c r="D18" s="1036" t="s">
        <v>378</v>
      </c>
      <c r="E18" s="1027"/>
      <c r="G18" s="508"/>
      <c r="H18" s="1037" t="s">
        <v>292</v>
      </c>
      <c r="I18" s="1036" t="s">
        <v>378</v>
      </c>
      <c r="J18" s="1027"/>
    </row>
    <row r="19" spans="1:10" x14ac:dyDescent="0.2">
      <c r="B19" s="508"/>
      <c r="C19" s="1035" t="s">
        <v>290</v>
      </c>
      <c r="D19" s="1034" t="s">
        <v>426</v>
      </c>
      <c r="E19" s="1027"/>
      <c r="G19" s="508"/>
      <c r="H19" s="1035" t="s">
        <v>290</v>
      </c>
      <c r="I19" s="1034" t="s">
        <v>426</v>
      </c>
      <c r="J19" s="1027"/>
    </row>
    <row r="20" spans="1:10" x14ac:dyDescent="0.2">
      <c r="B20" s="508"/>
      <c r="C20" s="526"/>
      <c r="D20" s="526"/>
      <c r="E20" s="1027"/>
      <c r="G20" s="508"/>
      <c r="H20" s="526"/>
      <c r="I20" s="526"/>
      <c r="J20" s="1027"/>
    </row>
    <row r="21" spans="1:10" x14ac:dyDescent="0.2">
      <c r="B21" s="508"/>
      <c r="C21" s="1033" t="e">
        <f ca="1">_xll.qlTermStructureReferenceDate(YieldCurve_ON)</f>
        <v>#NAME?</v>
      </c>
      <c r="D21" s="1032" t="e">
        <f ca="1">_xll.qlYieldTSDiscount(YieldCurve_ON,C21,,Trigger)</f>
        <v>#NAME?</v>
      </c>
      <c r="E21" s="1027"/>
      <c r="G21" s="508"/>
      <c r="H21" s="1033" t="e">
        <f ca="1">_xll.qlTermStructureReferenceDate(YieldCurve_3M)</f>
        <v>#NAME?</v>
      </c>
      <c r="I21" s="1032" t="e">
        <f ca="1">_xll.qlYieldTSDiscount(YieldCurve_3M,H21,,Trigger)</f>
        <v>#NAME?</v>
      </c>
      <c r="J21" s="1027"/>
    </row>
    <row r="22" spans="1:10" x14ac:dyDescent="0.2">
      <c r="B22" s="508"/>
      <c r="C22" s="1031" t="e">
        <f ca="1">_xll.qlTermStructureMaxDate(YieldCurve_ON,Trigger)</f>
        <v>#NAME?</v>
      </c>
      <c r="D22" s="1030" t="e">
        <f ca="1">_xll.qlYieldTSDiscount(YieldCurve_ON,C22,,Trigger)</f>
        <v>#NAME?</v>
      </c>
      <c r="E22" s="1027"/>
      <c r="G22" s="508"/>
      <c r="H22" s="1031" t="e">
        <f ca="1">_xll.qlTermStructureMaxDate(YieldCurve_3M,Trigger)</f>
        <v>#NAME?</v>
      </c>
      <c r="I22" s="1030" t="e">
        <f ca="1">_xll.qlYieldTSDiscount(YieldCurve_3M,H22,,Trigger)</f>
        <v>#NAME?</v>
      </c>
      <c r="J22" s="1027"/>
    </row>
    <row r="23" spans="1:10" x14ac:dyDescent="0.2">
      <c r="B23" s="508"/>
      <c r="C23" s="1031" t="e">
        <f ca="1">Euribor!$D$4</f>
        <v>#NAME?</v>
      </c>
      <c r="D23" s="1030" t="e">
        <f ca="1">_xll.qlRelinkableHandleLinkTo(C23,D13,Trigger)</f>
        <v>#NAME?</v>
      </c>
      <c r="E23" s="1027"/>
      <c r="G23" s="508"/>
      <c r="H23" s="1031" t="e">
        <f ca="1">Euribor!$D$9</f>
        <v>#NAME?</v>
      </c>
      <c r="I23" s="1030" t="e">
        <f ca="1">_xll.qlRelinkableHandleLinkTo(H23,I13,Trigger)</f>
        <v>#NAME?</v>
      </c>
      <c r="J23" s="1027"/>
    </row>
    <row r="24" spans="1:10" x14ac:dyDescent="0.2">
      <c r="B24" s="508"/>
      <c r="C24" s="1029" t="s">
        <v>425</v>
      </c>
      <c r="D24" s="1028" t="b">
        <v>0</v>
      </c>
      <c r="E24" s="1027"/>
      <c r="G24" s="508"/>
      <c r="H24" s="1029" t="s">
        <v>425</v>
      </c>
      <c r="I24" s="1028" t="b">
        <v>0</v>
      </c>
      <c r="J24" s="1027"/>
    </row>
    <row r="25" spans="1:10" x14ac:dyDescent="0.2">
      <c r="B25" s="215"/>
      <c r="C25" s="214"/>
      <c r="D25" s="214"/>
      <c r="E25" s="1026"/>
      <c r="G25" s="215"/>
      <c r="H25" s="214"/>
      <c r="I25" s="214"/>
      <c r="J25" s="1026"/>
    </row>
    <row r="26" spans="1:10" x14ac:dyDescent="0.2">
      <c r="A26" s="23"/>
      <c r="B26" s="23"/>
      <c r="C26" s="23"/>
      <c r="D26" s="23"/>
      <c r="E26" s="23"/>
      <c r="G26" s="23"/>
      <c r="H26" s="23"/>
      <c r="I26" s="23"/>
      <c r="J26" s="23"/>
    </row>
    <row r="27" spans="1:10" x14ac:dyDescent="0.2">
      <c r="B27" s="1047"/>
      <c r="C27" s="1049"/>
      <c r="D27" s="1049"/>
      <c r="E27" s="1045"/>
      <c r="F27" s="1043"/>
      <c r="G27" s="1047"/>
      <c r="H27" s="1046"/>
      <c r="I27" s="1046"/>
      <c r="J27" s="1045"/>
    </row>
    <row r="28" spans="1:10" x14ac:dyDescent="0.2">
      <c r="B28" s="1048"/>
      <c r="C28" s="1041" t="s">
        <v>293</v>
      </c>
      <c r="D28" s="1044" t="e">
        <f ca="1">_xll.qlPiecewiseYieldCurve(D30,D31,Calendar,_xll.ohPack(RateHelpers6M),,JumpQuotes_6M,JumpDates_6M,D32,D33,D34,Permanent,,ObjectOverwrite)</f>
        <v>#NAME?</v>
      </c>
      <c r="E28" s="1027"/>
      <c r="F28" s="1043"/>
      <c r="G28" s="508"/>
      <c r="H28" s="1041" t="s">
        <v>293</v>
      </c>
      <c r="I28" s="1044" t="e">
        <f ca="1">_xll.qlPiecewiseYieldCurve(I30,I31,Calendar,_xll.ohPack(RateHelpers1M),,JumpQuotes_1M,JumpDates_1M,I32,I33,I34,Permanent,,ObjectOverwrite)</f>
        <v>#NAME?</v>
      </c>
      <c r="J28" s="1027"/>
    </row>
    <row r="29" spans="1:10" x14ac:dyDescent="0.2">
      <c r="B29" s="1048"/>
      <c r="C29" s="1035" t="s">
        <v>59</v>
      </c>
      <c r="D29" s="1042" t="e">
        <f ca="1">_xll.ohRangeRetrieveError(YieldCurve_6M)</f>
        <v>#NAME?</v>
      </c>
      <c r="E29" s="1027"/>
      <c r="F29" s="1043"/>
      <c r="G29" s="508"/>
      <c r="H29" s="1035" t="s">
        <v>59</v>
      </c>
      <c r="I29" s="1042" t="e">
        <f ca="1">_xll.ohRangeRetrieveError(YieldCurve_1M)</f>
        <v>#NAME?</v>
      </c>
      <c r="J29" s="1027"/>
    </row>
    <row r="30" spans="1:10" x14ac:dyDescent="0.2">
      <c r="B30" s="508"/>
      <c r="C30" s="1041" t="s">
        <v>427</v>
      </c>
      <c r="D30" s="1040" t="str">
        <f>"_"&amp;Currency&amp;"6M"</f>
        <v>_EUR6M</v>
      </c>
      <c r="E30" s="1027"/>
      <c r="F30" s="1043"/>
      <c r="G30" s="508"/>
      <c r="H30" s="1041" t="s">
        <v>427</v>
      </c>
      <c r="I30" s="1040" t="str">
        <f>"_"&amp;Currency&amp;"1M"</f>
        <v>_EUR1M</v>
      </c>
      <c r="J30" s="1027"/>
    </row>
    <row r="31" spans="1:10" x14ac:dyDescent="0.2">
      <c r="B31" s="508"/>
      <c r="C31" s="1037" t="s">
        <v>299</v>
      </c>
      <c r="D31" s="1039">
        <v>2</v>
      </c>
      <c r="E31" s="1027"/>
      <c r="F31" s="1043"/>
      <c r="G31" s="508"/>
      <c r="H31" s="1037" t="s">
        <v>299</v>
      </c>
      <c r="I31" s="1039">
        <v>2</v>
      </c>
      <c r="J31" s="1027"/>
    </row>
    <row r="32" spans="1:10" x14ac:dyDescent="0.2">
      <c r="B32" s="508"/>
      <c r="C32" s="1037" t="s">
        <v>294</v>
      </c>
      <c r="D32" s="1038"/>
      <c r="E32" s="1027"/>
      <c r="F32" s="1043"/>
      <c r="G32" s="508"/>
      <c r="H32" s="1037" t="s">
        <v>294</v>
      </c>
      <c r="I32" s="1038"/>
      <c r="J32" s="1027"/>
    </row>
    <row r="33" spans="2:10" x14ac:dyDescent="0.2">
      <c r="B33" s="508"/>
      <c r="C33" s="1037" t="s">
        <v>292</v>
      </c>
      <c r="D33" s="1036" t="s">
        <v>378</v>
      </c>
      <c r="E33" s="1027"/>
      <c r="F33" s="1043"/>
      <c r="G33" s="508"/>
      <c r="H33" s="1037" t="s">
        <v>292</v>
      </c>
      <c r="I33" s="1036" t="s">
        <v>378</v>
      </c>
      <c r="J33" s="1027"/>
    </row>
    <row r="34" spans="2:10" x14ac:dyDescent="0.2">
      <c r="B34" s="508"/>
      <c r="C34" s="1035" t="s">
        <v>290</v>
      </c>
      <c r="D34" s="1034" t="s">
        <v>426</v>
      </c>
      <c r="E34" s="1027"/>
      <c r="F34" s="1043"/>
      <c r="G34" s="508"/>
      <c r="H34" s="1035" t="s">
        <v>290</v>
      </c>
      <c r="I34" s="1034" t="s">
        <v>426</v>
      </c>
      <c r="J34" s="1027"/>
    </row>
    <row r="35" spans="2:10" x14ac:dyDescent="0.2">
      <c r="B35" s="508"/>
      <c r="C35" s="526"/>
      <c r="D35" s="526"/>
      <c r="E35" s="1027"/>
      <c r="F35" s="1043"/>
      <c r="G35" s="508"/>
      <c r="H35" s="526"/>
      <c r="I35" s="526"/>
      <c r="J35" s="1027"/>
    </row>
    <row r="36" spans="2:10" x14ac:dyDescent="0.2">
      <c r="B36" s="508"/>
      <c r="C36" s="1033" t="e">
        <f ca="1">_xll.qlTermStructureReferenceDate(YieldCurve_6M)</f>
        <v>#NAME?</v>
      </c>
      <c r="D36" s="1032" t="e">
        <f ca="1">_xll.qlYieldTSDiscount(YieldCurve_6M,C36,,Trigger)</f>
        <v>#NAME?</v>
      </c>
      <c r="E36" s="1027"/>
      <c r="F36" s="1043"/>
      <c r="G36" s="508"/>
      <c r="H36" s="1033" t="e">
        <f ca="1">_xll.qlTermStructureReferenceDate(YieldCurve_1M)</f>
        <v>#NAME?</v>
      </c>
      <c r="I36" s="1032" t="e">
        <f ca="1">_xll.qlYieldTSDiscount(YieldCurve_1M,H36,,Trigger)</f>
        <v>#NAME?</v>
      </c>
      <c r="J36" s="1027"/>
    </row>
    <row r="37" spans="2:10" x14ac:dyDescent="0.2">
      <c r="B37" s="508"/>
      <c r="C37" s="1031" t="e">
        <f ca="1">_xll.qlTermStructureMaxDate(YieldCurve_6M,Trigger)</f>
        <v>#NAME?</v>
      </c>
      <c r="D37" s="1030" t="e">
        <f ca="1">_xll.qlYieldTSDiscount(YieldCurve_6M,C37,,Trigger)</f>
        <v>#NAME?</v>
      </c>
      <c r="E37" s="1027"/>
      <c r="F37" s="1043"/>
      <c r="G37" s="508"/>
      <c r="H37" s="1031" t="e">
        <f ca="1">_xll.qlTermStructureMaxDate(YieldCurve_1M,Trigger)</f>
        <v>#NAME?</v>
      </c>
      <c r="I37" s="1030" t="e">
        <f ca="1">_xll.qlYieldTSDiscount(YieldCurve_1M,H37,,Trigger)</f>
        <v>#NAME?</v>
      </c>
      <c r="J37" s="1027"/>
    </row>
    <row r="38" spans="2:10" x14ac:dyDescent="0.2">
      <c r="B38" s="508"/>
      <c r="C38" s="1031" t="e">
        <f ca="1">Euribor!$D$10</f>
        <v>#NAME?</v>
      </c>
      <c r="D38" s="1030" t="e">
        <f ca="1">_xll.qlRelinkableHandleLinkTo(C38,D28,Trigger)</f>
        <v>#NAME?</v>
      </c>
      <c r="E38" s="1027"/>
      <c r="F38" s="1043"/>
      <c r="G38" s="508"/>
      <c r="H38" s="1031" t="e">
        <f ca="1">Euribor!$D$7</f>
        <v>#NAME?</v>
      </c>
      <c r="I38" s="1030" t="e">
        <f ca="1">_xll.qlRelinkableHandleLinkTo(H38,I28,Trigger)</f>
        <v>#NAME?</v>
      </c>
      <c r="J38" s="1027"/>
    </row>
    <row r="39" spans="2:10" x14ac:dyDescent="0.2">
      <c r="B39" s="508"/>
      <c r="C39" s="1029" t="s">
        <v>425</v>
      </c>
      <c r="D39" s="1028" t="b">
        <v>0</v>
      </c>
      <c r="E39" s="1027"/>
      <c r="F39" s="1043"/>
      <c r="G39" s="508"/>
      <c r="H39" s="1029" t="s">
        <v>425</v>
      </c>
      <c r="I39" s="1028" t="b">
        <v>0</v>
      </c>
      <c r="J39" s="1027"/>
    </row>
    <row r="40" spans="2:10" x14ac:dyDescent="0.2">
      <c r="B40" s="215"/>
      <c r="C40" s="214"/>
      <c r="D40" s="214"/>
      <c r="E40" s="1026"/>
      <c r="F40" s="1043"/>
      <c r="G40" s="215"/>
      <c r="H40" s="214"/>
      <c r="I40" s="214"/>
      <c r="J40" s="1026"/>
    </row>
    <row r="41" spans="2:10" x14ac:dyDescent="0.2">
      <c r="F41" s="1043"/>
    </row>
    <row r="42" spans="2:10" x14ac:dyDescent="0.2">
      <c r="B42" s="1047"/>
      <c r="C42" s="1046"/>
      <c r="D42" s="1046"/>
      <c r="E42" s="1045"/>
      <c r="F42" s="1043"/>
    </row>
    <row r="43" spans="2:10" x14ac:dyDescent="0.2">
      <c r="B43" s="508"/>
      <c r="C43" s="1041" t="s">
        <v>293</v>
      </c>
      <c r="D43" s="1044" t="e">
        <f ca="1">_xll.qlPiecewiseYieldCurve(D45,D46,Calendar,_xll.ohPack(RateHelpers1Y),,,,D47,D48,D49,Permanent,,ObjectOverwrite)</f>
        <v>#NAME?</v>
      </c>
      <c r="E43" s="1027"/>
      <c r="F43" s="1043"/>
    </row>
    <row r="44" spans="2:10" x14ac:dyDescent="0.2">
      <c r="B44" s="508"/>
      <c r="C44" s="1035" t="s">
        <v>59</v>
      </c>
      <c r="D44" s="1042" t="e">
        <f ca="1">_xll.ohRangeRetrieveError(YieldCurve_1Y)</f>
        <v>#NAME?</v>
      </c>
      <c r="E44" s="1027"/>
    </row>
    <row r="45" spans="2:10" x14ac:dyDescent="0.2">
      <c r="B45" s="508"/>
      <c r="C45" s="1041" t="s">
        <v>427</v>
      </c>
      <c r="D45" s="1040" t="str">
        <f>"_"&amp;Currency&amp;"1Y"</f>
        <v>_EUR1Y</v>
      </c>
      <c r="E45" s="1027"/>
    </row>
    <row r="46" spans="2:10" x14ac:dyDescent="0.2">
      <c r="B46" s="508"/>
      <c r="C46" s="1037" t="s">
        <v>299</v>
      </c>
      <c r="D46" s="1039">
        <v>2</v>
      </c>
      <c r="E46" s="1027"/>
    </row>
    <row r="47" spans="2:10" x14ac:dyDescent="0.2">
      <c r="B47" s="508"/>
      <c r="C47" s="1037" t="s">
        <v>294</v>
      </c>
      <c r="D47" s="1038"/>
      <c r="E47" s="1027"/>
    </row>
    <row r="48" spans="2:10" x14ac:dyDescent="0.2">
      <c r="B48" s="508"/>
      <c r="C48" s="1037" t="s">
        <v>292</v>
      </c>
      <c r="D48" s="1036" t="s">
        <v>378</v>
      </c>
      <c r="E48" s="1027"/>
    </row>
    <row r="49" spans="2:5" x14ac:dyDescent="0.2">
      <c r="B49" s="508"/>
      <c r="C49" s="1035" t="s">
        <v>290</v>
      </c>
      <c r="D49" s="1034" t="s">
        <v>426</v>
      </c>
      <c r="E49" s="1027"/>
    </row>
    <row r="50" spans="2:5" x14ac:dyDescent="0.2">
      <c r="B50" s="508"/>
      <c r="C50" s="526"/>
      <c r="D50" s="526"/>
      <c r="E50" s="1027"/>
    </row>
    <row r="51" spans="2:5" x14ac:dyDescent="0.2">
      <c r="B51" s="508"/>
      <c r="C51" s="1033" t="e">
        <f ca="1">_xll.qlTermStructureReferenceDate(YieldCurve_1Y)</f>
        <v>#NAME?</v>
      </c>
      <c r="D51" s="1032" t="e">
        <f ca="1">_xll.qlYieldTSDiscount(YieldCurve_1Y,C51,,Trigger)</f>
        <v>#NAME?</v>
      </c>
      <c r="E51" s="1027"/>
    </row>
    <row r="52" spans="2:5" x14ac:dyDescent="0.2">
      <c r="B52" s="508"/>
      <c r="C52" s="1031" t="e">
        <f ca="1">_xll.qlTermStructureMaxDate(YieldCurve_1Y,Trigger)</f>
        <v>#NAME?</v>
      </c>
      <c r="D52" s="1030" t="e">
        <f ca="1">_xll.qlYieldTSDiscount(YieldCurve_1Y,C52,,Trigger)</f>
        <v>#NAME?</v>
      </c>
      <c r="E52" s="1027"/>
    </row>
    <row r="53" spans="2:5" x14ac:dyDescent="0.2">
      <c r="B53" s="508"/>
      <c r="C53" s="1031" t="e">
        <f ca="1">Euribor!$D$12</f>
        <v>#NAME?</v>
      </c>
      <c r="D53" s="1030" t="e">
        <f ca="1">_xll.qlRelinkableHandleLinkTo(C53,D43,Trigger)</f>
        <v>#NAME?</v>
      </c>
      <c r="E53" s="1027"/>
    </row>
    <row r="54" spans="2:5" x14ac:dyDescent="0.2">
      <c r="B54" s="508"/>
      <c r="C54" s="1029" t="s">
        <v>425</v>
      </c>
      <c r="D54" s="1028" t="b">
        <v>0</v>
      </c>
      <c r="E54" s="1027"/>
    </row>
    <row r="55" spans="2:5" x14ac:dyDescent="0.2">
      <c r="B55" s="215"/>
      <c r="C55" s="214"/>
      <c r="D55" s="214"/>
      <c r="E55" s="1026"/>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7" customWidth="1" outlineLevel="1"/>
    <col min="3" max="4" width="11" style="238" customWidth="1" outlineLevel="1"/>
    <col min="5" max="5" width="12" style="866"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5" customWidth="1" outlineLevel="1"/>
    <col min="12" max="12" width="21.42578125" style="865" customWidth="1" outlineLevel="1"/>
    <col min="13" max="13" width="12" style="865" customWidth="1" outlineLevel="1"/>
    <col min="14" max="14" width="7.85546875" style="865" customWidth="1" outlineLevel="1"/>
    <col min="15" max="15" width="9" style="865" customWidth="1" outlineLevel="1"/>
    <col min="16" max="16" width="5.85546875" style="865" customWidth="1" outlineLevel="1"/>
    <col min="17" max="18" width="10.7109375" style="865"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8" t="s">
        <v>303</v>
      </c>
      <c r="J1" s="964" t="s">
        <v>383</v>
      </c>
      <c r="K1" s="963"/>
      <c r="L1" s="963"/>
      <c r="M1" s="963"/>
      <c r="N1" s="963"/>
      <c r="O1" s="963"/>
      <c r="P1" s="963"/>
      <c r="Q1" s="963"/>
      <c r="R1" s="962"/>
      <c r="S1" s="957"/>
      <c r="T1" s="961" t="str">
        <f>Currency&amp;"OIS"</f>
        <v>EUROIS</v>
      </c>
      <c r="U1" s="959"/>
      <c r="V1" s="959"/>
      <c r="W1" s="960"/>
      <c r="X1" s="960"/>
      <c r="Y1" s="959"/>
      <c r="Z1" s="959"/>
      <c r="AA1" s="958" t="s">
        <v>378</v>
      </c>
    </row>
    <row r="2" spans="1:38" ht="21.75" customHeight="1" thickBot="1" x14ac:dyDescent="0.25">
      <c r="A2" s="145" t="s">
        <v>388</v>
      </c>
      <c r="B2" s="145" t="s">
        <v>107</v>
      </c>
      <c r="C2" s="145" t="s">
        <v>424</v>
      </c>
      <c r="D2" s="145"/>
      <c r="E2" s="145" t="s">
        <v>14</v>
      </c>
      <c r="F2" s="145" t="s">
        <v>384</v>
      </c>
      <c r="G2" s="145"/>
      <c r="H2" s="145" t="s">
        <v>383</v>
      </c>
      <c r="J2" s="955" t="s">
        <v>388</v>
      </c>
      <c r="K2" s="955" t="s">
        <v>383</v>
      </c>
      <c r="L2" s="955" t="s">
        <v>101</v>
      </c>
      <c r="M2" s="955" t="s">
        <v>325</v>
      </c>
      <c r="N2" s="955" t="s">
        <v>281</v>
      </c>
      <c r="O2" s="955" t="s">
        <v>280</v>
      </c>
      <c r="P2" s="955" t="s">
        <v>400</v>
      </c>
      <c r="Q2" s="955" t="s">
        <v>272</v>
      </c>
      <c r="R2" s="955" t="s">
        <v>398</v>
      </c>
      <c r="S2" s="957"/>
      <c r="T2" s="955" t="s">
        <v>388</v>
      </c>
      <c r="U2" s="955" t="s">
        <v>383</v>
      </c>
      <c r="V2" s="955" t="s">
        <v>101</v>
      </c>
      <c r="W2" s="956" t="s">
        <v>273</v>
      </c>
      <c r="X2" s="956" t="s">
        <v>399</v>
      </c>
      <c r="Y2" s="955" t="s">
        <v>272</v>
      </c>
      <c r="Z2" s="955" t="s">
        <v>398</v>
      </c>
      <c r="AA2" s="954" t="e">
        <f t="array" aca="1" ref="AA2:AA57" ca="1">_xll.qlPiecewiseYieldCurveData(YieldCurve_ON,Trigger)</f>
        <v>#NAME?</v>
      </c>
      <c r="AD2" s="953" t="s">
        <v>397</v>
      </c>
      <c r="AE2" s="993"/>
      <c r="AF2" s="993"/>
      <c r="AG2" s="993"/>
      <c r="AH2" s="952"/>
    </row>
    <row r="3" spans="1:38" ht="11.25" customHeight="1" x14ac:dyDescent="0.25">
      <c r="A3" s="896" t="s">
        <v>391</v>
      </c>
      <c r="B3" s="898" t="s">
        <v>185</v>
      </c>
      <c r="C3" s="916" t="s">
        <v>324</v>
      </c>
      <c r="D3" s="909"/>
      <c r="E3" s="897" t="str">
        <f>$E$1</f>
        <v>Eonia</v>
      </c>
      <c r="F3" s="1019" t="str">
        <f>Currency&amp;$B3&amp;"D"&amp;QuoteSuffix</f>
        <v>EUROND_Quote</v>
      </c>
      <c r="G3" s="909"/>
      <c r="H3" s="47" t="e">
        <f ca="1">_xll.qlDepositRateHelper(,F3,E3,Permanent,Trigger,ObjectOverwrite)</f>
        <v>#NAME?</v>
      </c>
      <c r="I3" s="153"/>
      <c r="J3" s="894" t="str">
        <f>A3</f>
        <v>Dp</v>
      </c>
      <c r="K3" s="890" t="e">
        <f ca="1">IF(ISBLANK(H3),"--",H3)</f>
        <v>#NAME?</v>
      </c>
      <c r="L3" s="893" t="str">
        <f ca="1">IFERROR(_xll.qlRateHelperQuoteName(K3,Trigger),"--")</f>
        <v>--</v>
      </c>
      <c r="M3" s="892" t="str">
        <f ca="1">IFERROR(_xll.qlRateHelperQuoteValue($K3,Trigger),"--")</f>
        <v>--</v>
      </c>
      <c r="N3" s="891" t="b">
        <v>1</v>
      </c>
      <c r="O3" s="890">
        <v>70</v>
      </c>
      <c r="P3" s="890">
        <v>1</v>
      </c>
      <c r="Q3" s="889" t="str">
        <f ca="1">IFERROR(_xll.qlRateHelperEarliestDate(K3,Trigger),"--")</f>
        <v>--</v>
      </c>
      <c r="R3" s="889"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8" t="str">
        <f ca="1">IFERROR(_xll.qlRateHelperRate(U3,Trigger),"")</f>
        <v/>
      </c>
      <c r="X3" s="887"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6" t="e">
        <f ca="1"/>
        <v>#NAME?</v>
      </c>
      <c r="AB3" s="913"/>
      <c r="AD3" s="935" t="s">
        <v>396</v>
      </c>
      <c r="AH3" s="943">
        <v>0</v>
      </c>
      <c r="AK3" s="1360" t="s">
        <v>529</v>
      </c>
      <c r="AL3" s="1363" t="e">
        <f ca="1">_xll.ohTrigger(GeneralSettings!Trigger)</f>
        <v>#NAME?</v>
      </c>
    </row>
    <row r="4" spans="1:38" ht="11.25" customHeight="1" thickBot="1" x14ac:dyDescent="0.3">
      <c r="A4" s="896" t="s">
        <v>391</v>
      </c>
      <c r="B4" s="898" t="s">
        <v>184</v>
      </c>
      <c r="C4" s="916" t="s">
        <v>242</v>
      </c>
      <c r="D4" s="914"/>
      <c r="E4" s="897" t="str">
        <f>$E$1</f>
        <v>Eonia</v>
      </c>
      <c r="F4" s="1019" t="str">
        <f>Currency&amp;$B4&amp;"D"&amp;QuoteSuffix</f>
        <v>EURTND_Quote</v>
      </c>
      <c r="G4" s="914"/>
      <c r="H4" s="47" t="e">
        <f ca="1">_xll.qlFraRateHelper(,F4,C4,E4,PillarDate,,Permanent,Trigger,ObjectOverwrite)</f>
        <v>#NAME?</v>
      </c>
      <c r="I4" s="23"/>
      <c r="J4" s="894" t="str">
        <f>A4</f>
        <v>Dp</v>
      </c>
      <c r="K4" s="890" t="e">
        <f ca="1">IF(ISBLANK(H4),"--",H4)</f>
        <v>#NAME?</v>
      </c>
      <c r="L4" s="893" t="str">
        <f ca="1">IFERROR(_xll.qlRateHelperQuoteName(K4,Trigger),"--")</f>
        <v>--</v>
      </c>
      <c r="M4" s="892" t="str">
        <f ca="1">IFERROR(_xll.qlRateHelperQuoteValue($K4,Trigger),"--")</f>
        <v>--</v>
      </c>
      <c r="N4" s="891" t="b">
        <v>1</v>
      </c>
      <c r="O4" s="890">
        <v>70</v>
      </c>
      <c r="P4" s="890">
        <v>1</v>
      </c>
      <c r="Q4" s="889" t="str">
        <f ca="1">IFERROR(_xll.qlRateHelperEarliestDate(K4,Trigger),"--")</f>
        <v>--</v>
      </c>
      <c r="R4" s="889" t="str">
        <f ca="1">IFERROR(_xll.qlRateHelperPillarDate(K4,Trigger),"--")</f>
        <v>--</v>
      </c>
      <c r="T4" s="4" t="str">
        <f t="shared" ca="1" si="0"/>
        <v/>
      </c>
      <c r="U4" s="4" t="e">
        <f ca="1"/>
        <v>#NAME?</v>
      </c>
      <c r="V4" s="4" t="str">
        <f ca="1">IFERROR(_xll.qlRateHelperQuoteName(U4,Trigger),"")</f>
        <v/>
      </c>
      <c r="W4" s="888" t="str">
        <f ca="1">IFERROR(_xll.qlRateHelperRate(U4,Trigger),"")</f>
        <v/>
      </c>
      <c r="X4" s="887"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6" t="e">
        <f ca="1"/>
        <v>#NAME?</v>
      </c>
      <c r="AB4" s="913"/>
      <c r="AD4" s="935" t="s">
        <v>395</v>
      </c>
      <c r="AH4" s="943">
        <v>0</v>
      </c>
      <c r="AK4" s="1361" t="s">
        <v>530</v>
      </c>
      <c r="AL4" s="1364" t="e">
        <f ca="1">_xll.ohTrigger(RateHelpers)</f>
        <v>#NAME?</v>
      </c>
    </row>
    <row r="5" spans="1:38" ht="11.25" customHeight="1" x14ac:dyDescent="0.2">
      <c r="A5" s="869" t="s">
        <v>391</v>
      </c>
      <c r="B5" s="871" t="s">
        <v>183</v>
      </c>
      <c r="C5" s="901" t="s">
        <v>423</v>
      </c>
      <c r="D5" s="899"/>
      <c r="E5" s="870" t="str">
        <f>$E$1</f>
        <v>Eonia</v>
      </c>
      <c r="F5" s="1017" t="str">
        <f>Currency&amp;$B5&amp;"D"&amp;QuoteSuffix</f>
        <v>EURSND_Quote</v>
      </c>
      <c r="G5" s="899"/>
      <c r="H5" s="38"/>
      <c r="I5" s="23"/>
      <c r="J5" s="885" t="str">
        <f>A5</f>
        <v>Dp</v>
      </c>
      <c r="K5" s="881" t="str">
        <f>IF(ISBLANK(H5),"--",H5)</f>
        <v>--</v>
      </c>
      <c r="L5" s="884" t="str">
        <f ca="1">IFERROR(_xll.qlRateHelperQuoteName(K5,Trigger),"--")</f>
        <v>--</v>
      </c>
      <c r="M5" s="883" t="str">
        <f ca="1">IFERROR(_xll.qlRateHelperQuoteValue($K5,Trigger),"--")</f>
        <v>--</v>
      </c>
      <c r="N5" s="882" t="b">
        <v>0</v>
      </c>
      <c r="O5" s="881">
        <v>70</v>
      </c>
      <c r="P5" s="881">
        <v>1</v>
      </c>
      <c r="Q5" s="880" t="str">
        <f ca="1">IFERROR(_xll.qlRateHelperEarliestDate(K5,Trigger),"--")</f>
        <v>--</v>
      </c>
      <c r="R5" s="880" t="str">
        <f ca="1">IFERROR(_xll.qlRateHelperPillarDate(K5,Trigger),"--")</f>
        <v>--</v>
      </c>
      <c r="T5" s="4" t="str">
        <f t="shared" ca="1" si="0"/>
        <v/>
      </c>
      <c r="U5" s="4" t="e">
        <f ca="1"/>
        <v>#NAME?</v>
      </c>
      <c r="V5" s="4" t="str">
        <f ca="1">IFERROR(_xll.qlRateHelperQuoteName(U5,Trigger),"")</f>
        <v/>
      </c>
      <c r="W5" s="888" t="str">
        <f ca="1">IFERROR(_xll.qlRateHelperRate(U5,Trigger),"")</f>
        <v/>
      </c>
      <c r="X5" s="887"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6" t="e">
        <f ca="1"/>
        <v>#NAME?</v>
      </c>
      <c r="AB5" s="913"/>
      <c r="AC5" s="971"/>
      <c r="AD5" s="935" t="s">
        <v>394</v>
      </c>
      <c r="AH5" s="943">
        <v>0</v>
      </c>
    </row>
    <row r="6" spans="1:38" ht="11.25" customHeight="1" x14ac:dyDescent="0.2">
      <c r="E6" s="866" t="s">
        <v>422</v>
      </c>
      <c r="I6" s="23"/>
      <c r="J6" s="908" t="str">
        <f t="shared" ref="J6:J16" si="1">A8</f>
        <v>ECB</v>
      </c>
      <c r="K6" s="904" t="e">
        <f t="shared" ref="K6:K16" ca="1" si="2">IF(ISBLANK(H8),"--",H8)</f>
        <v>#NAME?</v>
      </c>
      <c r="L6" s="907" t="str">
        <f ca="1">IFERROR(_xll.qlRateHelperQuoteName(K6,Trigger),"--")</f>
        <v>--</v>
      </c>
      <c r="M6" s="906" t="str">
        <f ca="1">IFERROR(_xll.qlRateHelperQuoteValue($K6,Trigger),"--")</f>
        <v>--</v>
      </c>
      <c r="N6" s="905" t="b">
        <f ca="1">NOT(ISERROR(_xll.qlQuoteValue(L6)))</f>
        <v>0</v>
      </c>
      <c r="O6" s="904">
        <v>70</v>
      </c>
      <c r="P6" s="904">
        <v>14</v>
      </c>
      <c r="Q6" s="903" t="str">
        <f ca="1">IFERROR(_xll.qlRateHelperEarliestDate(K6,Trigger),"--")</f>
        <v>--</v>
      </c>
      <c r="R6" s="903" t="str">
        <f ca="1">IFERROR(_xll.qlRateHelperPillarDate(K6,Trigger),"--")</f>
        <v>--</v>
      </c>
      <c r="T6" s="4" t="str">
        <f t="shared" ca="1" si="0"/>
        <v/>
      </c>
      <c r="U6" s="4" t="e">
        <f ca="1"/>
        <v>#NAME?</v>
      </c>
      <c r="V6" s="4" t="str">
        <f ca="1">IFERROR(_xll.qlRateHelperQuoteName(U6,Trigger),"")</f>
        <v/>
      </c>
      <c r="W6" s="888" t="str">
        <f ca="1">IFERROR(_xll.qlRateHelperRate(U6,Trigger),"")</f>
        <v/>
      </c>
      <c r="X6" s="887"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6" t="e">
        <f ca="1"/>
        <v>#NAME?</v>
      </c>
      <c r="AB6" s="913"/>
      <c r="AD6" s="935" t="s">
        <v>393</v>
      </c>
      <c r="AH6" s="934" t="s">
        <v>392</v>
      </c>
    </row>
    <row r="7" spans="1:38" ht="11.25" customHeight="1" x14ac:dyDescent="0.2">
      <c r="A7" s="145" t="s">
        <v>388</v>
      </c>
      <c r="B7" s="145" t="s">
        <v>144</v>
      </c>
      <c r="C7" s="145" t="s">
        <v>310</v>
      </c>
      <c r="D7" s="145" t="s">
        <v>421</v>
      </c>
      <c r="E7" s="145" t="s">
        <v>14</v>
      </c>
      <c r="F7" s="145" t="s">
        <v>384</v>
      </c>
      <c r="G7" s="145"/>
      <c r="H7" s="145" t="s">
        <v>383</v>
      </c>
      <c r="I7" s="23"/>
      <c r="J7" s="894" t="str">
        <f t="shared" si="1"/>
        <v>ECB</v>
      </c>
      <c r="K7" s="890" t="e">
        <f t="shared" ca="1" si="2"/>
        <v>#NAME?</v>
      </c>
      <c r="L7" s="893" t="str">
        <f ca="1">IFERROR(_xll.qlRateHelperQuoteName(K7,Trigger),"--")</f>
        <v>--</v>
      </c>
      <c r="M7" s="892" t="str">
        <f ca="1">IFERROR(_xll.qlRateHelperQuoteValue($K7,Trigger),"--")</f>
        <v>--</v>
      </c>
      <c r="N7" s="891" t="b">
        <f ca="1">NOT(ISERROR(_xll.qlQuoteValue(L7)))</f>
        <v>0</v>
      </c>
      <c r="O7" s="890">
        <v>70</v>
      </c>
      <c r="P7" s="890">
        <v>30</v>
      </c>
      <c r="Q7" s="889" t="str">
        <f ca="1">IFERROR(_xll.qlRateHelperEarliestDate(K7,Trigger),"--")</f>
        <v>--</v>
      </c>
      <c r="R7" s="889" t="str">
        <f ca="1">IFERROR(_xll.qlRateHelperPillarDate(K7,Trigger),"--")</f>
        <v>--</v>
      </c>
      <c r="T7" s="4" t="str">
        <f t="shared" ca="1" si="0"/>
        <v/>
      </c>
      <c r="U7" s="4" t="e">
        <f ca="1"/>
        <v>#NAME?</v>
      </c>
      <c r="V7" s="4" t="str">
        <f ca="1">IFERROR(_xll.qlRateHelperQuoteName(U7,Trigger),"")</f>
        <v/>
      </c>
      <c r="W7" s="888" t="str">
        <f ca="1">IFERROR(_xll.qlRateHelperRate(U7,Trigger),"")</f>
        <v/>
      </c>
      <c r="X7" s="887"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6" t="e">
        <f ca="1"/>
        <v>#NAME?</v>
      </c>
      <c r="AB7" s="913"/>
    </row>
    <row r="8" spans="1:38" ht="11.25" customHeight="1" x14ac:dyDescent="0.2">
      <c r="A8" s="896" t="s">
        <v>146</v>
      </c>
      <c r="B8" s="898" t="e">
        <f ca="1">_xll.qlECBNextCode(Settlementdate,Trigger)</f>
        <v>#NAME?</v>
      </c>
      <c r="C8" s="1025" t="e">
        <f ca="1">_xll.qlECBdate(B8,Trigger)</f>
        <v>#NAME?</v>
      </c>
      <c r="D8" s="1025" t="e">
        <f ca="1">_xll.qlECBNextDate(C8,Trigger)</f>
        <v>#NAME?</v>
      </c>
      <c r="E8" s="895" t="str">
        <f t="shared" ref="E8:E18" si="3">$E$1</f>
        <v>Eonia</v>
      </c>
      <c r="F8" s="1019" t="e">
        <f t="shared" ref="F8:F18" ca="1" si="4">Currency&amp;$E$6&amp;B8&amp;QuoteSuffix</f>
        <v>#NAME?</v>
      </c>
      <c r="G8" s="914"/>
      <c r="H8" s="47" t="e">
        <f ca="1">_xll.qlDatedOISRateHelper(,C8,D8,F8,E8,,Permanent,Trigger,ObjectOverwrite)</f>
        <v>#NAME?</v>
      </c>
      <c r="I8" s="23"/>
      <c r="J8" s="894" t="str">
        <f t="shared" si="1"/>
        <v>ECB</v>
      </c>
      <c r="K8" s="890" t="e">
        <f t="shared" ca="1" si="2"/>
        <v>#NAME?</v>
      </c>
      <c r="L8" s="893" t="str">
        <f ca="1">IFERROR(_xll.qlRateHelperQuoteName(K8,Trigger),"--")</f>
        <v>--</v>
      </c>
      <c r="M8" s="892" t="str">
        <f ca="1">IFERROR(_xll.qlRateHelperQuoteValue($K8,Trigger),"--")</f>
        <v>--</v>
      </c>
      <c r="N8" s="891" t="b">
        <f ca="1">NOT(ISERROR(_xll.qlQuoteValue(L8)))</f>
        <v>0</v>
      </c>
      <c r="O8" s="890">
        <v>70</v>
      </c>
      <c r="P8" s="890">
        <v>30</v>
      </c>
      <c r="Q8" s="889" t="str">
        <f ca="1">IFERROR(_xll.qlRateHelperEarliestDate(K8,Trigger),"--")</f>
        <v>--</v>
      </c>
      <c r="R8" s="889" t="str">
        <f ca="1">IFERROR(_xll.qlRateHelperPillarDate(K8,Trigger),"--")</f>
        <v>--</v>
      </c>
      <c r="T8" s="4" t="str">
        <f t="shared" ca="1" si="0"/>
        <v/>
      </c>
      <c r="U8" s="4" t="e">
        <f ca="1"/>
        <v>#NAME?</v>
      </c>
      <c r="V8" s="4" t="str">
        <f ca="1">IFERROR(_xll.qlRateHelperQuoteName(U8,Trigger),"")</f>
        <v/>
      </c>
      <c r="W8" s="888" t="str">
        <f ca="1">IFERROR(_xll.qlRateHelperRate(U8,Trigger),"")</f>
        <v/>
      </c>
      <c r="X8" s="887"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6" t="e">
        <f ca="1"/>
        <v>#NAME?</v>
      </c>
      <c r="AB8" s="913"/>
    </row>
    <row r="9" spans="1:38" ht="11.25" customHeight="1" x14ac:dyDescent="0.2">
      <c r="A9" s="873" t="s">
        <v>146</v>
      </c>
      <c r="B9" s="875" t="e">
        <f ca="1">_xll.qlECBNextCode(C8,Trigger)</f>
        <v>#NAME?</v>
      </c>
      <c r="C9" s="1024" t="e">
        <f ca="1">_xll.qlECBdate(B9,Trigger)</f>
        <v>#NAME?</v>
      </c>
      <c r="D9" s="1024" t="e">
        <f ca="1">_xll.qlECBNextDate(C9,Trigger)</f>
        <v>#NAME?</v>
      </c>
      <c r="E9" s="876" t="str">
        <f t="shared" si="3"/>
        <v>Eonia</v>
      </c>
      <c r="F9" s="1018" t="e">
        <f t="shared" ca="1" si="4"/>
        <v>#NAME?</v>
      </c>
      <c r="G9" s="909"/>
      <c r="H9" s="43" t="e">
        <f ca="1">_xll.qlDatedOISRateHelper(,C9,D9,F9,E9,,Permanent,Trigger,ObjectOverwrite)</f>
        <v>#NAME?</v>
      </c>
      <c r="I9" s="23"/>
      <c r="J9" s="894" t="str">
        <f t="shared" si="1"/>
        <v>ECB</v>
      </c>
      <c r="K9" s="890" t="e">
        <f t="shared" ca="1" si="2"/>
        <v>#NAME?</v>
      </c>
      <c r="L9" s="893" t="str">
        <f ca="1">IFERROR(_xll.qlRateHelperQuoteName(K9,Trigger),"--")</f>
        <v>--</v>
      </c>
      <c r="M9" s="892" t="str">
        <f ca="1">IFERROR(_xll.qlRateHelperQuoteValue($K9,Trigger),"--")</f>
        <v>--</v>
      </c>
      <c r="N9" s="891" t="b">
        <f ca="1">NOT(ISERROR(_xll.qlQuoteValue(L9)))</f>
        <v>0</v>
      </c>
      <c r="O9" s="890">
        <v>70</v>
      </c>
      <c r="P9" s="890">
        <v>30</v>
      </c>
      <c r="Q9" s="889" t="str">
        <f ca="1">IFERROR(_xll.qlRateHelperEarliestDate(K9,Trigger),"--")</f>
        <v>--</v>
      </c>
      <c r="R9" s="889" t="str">
        <f ca="1">IFERROR(_xll.qlRateHelperPillarDate(K9,Trigger),"--")</f>
        <v>--</v>
      </c>
      <c r="T9" s="4" t="str">
        <f t="shared" ca="1" si="0"/>
        <v/>
      </c>
      <c r="U9" s="4" t="e">
        <f ca="1"/>
        <v>#NAME?</v>
      </c>
      <c r="V9" s="4" t="str">
        <f ca="1">IFERROR(_xll.qlRateHelperQuoteName(U9,Trigger),"")</f>
        <v/>
      </c>
      <c r="W9" s="888" t="str">
        <f ca="1">IFERROR(_xll.qlRateHelperRate(U9,Trigger),"")</f>
        <v/>
      </c>
      <c r="X9" s="887"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6" t="e">
        <f ca="1"/>
        <v>#NAME?</v>
      </c>
      <c r="AB9" s="913"/>
      <c r="AE9" s="1" t="s">
        <v>276</v>
      </c>
    </row>
    <row r="10" spans="1:38" ht="11.25" customHeight="1" x14ac:dyDescent="0.2">
      <c r="A10" s="873" t="s">
        <v>146</v>
      </c>
      <c r="B10" s="875" t="e">
        <f ca="1">_xll.qlECBNextCode(C9,Trigger)</f>
        <v>#NAME?</v>
      </c>
      <c r="C10" s="1024" t="e">
        <f ca="1">_xll.qlECBdate(B10,Trigger)</f>
        <v>#NAME?</v>
      </c>
      <c r="D10" s="1024" t="e">
        <f ca="1">_xll.qlECBNextDate(C10,Trigger)</f>
        <v>#NAME?</v>
      </c>
      <c r="E10" s="876" t="str">
        <f t="shared" si="3"/>
        <v>Eonia</v>
      </c>
      <c r="F10" s="1018" t="e">
        <f t="shared" ca="1" si="4"/>
        <v>#NAME?</v>
      </c>
      <c r="G10" s="909"/>
      <c r="H10" s="43" t="e">
        <f ca="1">_xll.qlDatedOISRateHelper(,C10,D10,F10,E10,,Permanent,Trigger,ObjectOverwrite)</f>
        <v>#NAME?</v>
      </c>
      <c r="I10" s="23"/>
      <c r="J10" s="894" t="str">
        <f t="shared" si="1"/>
        <v>ECB</v>
      </c>
      <c r="K10" s="890" t="e">
        <f t="shared" ca="1" si="2"/>
        <v>#NAME?</v>
      </c>
      <c r="L10" s="893" t="str">
        <f ca="1">IFERROR(_xll.qlRateHelperQuoteName(K10,Trigger),"--")</f>
        <v>--</v>
      </c>
      <c r="M10" s="892" t="str">
        <f ca="1">IFERROR(_xll.qlRateHelperQuoteValue($K10,Trigger),"--")</f>
        <v>--</v>
      </c>
      <c r="N10" s="891" t="b">
        <f ca="1">NOT(ISERROR(_xll.qlQuoteValue(L10)))</f>
        <v>0</v>
      </c>
      <c r="O10" s="890">
        <v>70</v>
      </c>
      <c r="P10" s="890">
        <v>30</v>
      </c>
      <c r="Q10" s="889" t="str">
        <f ca="1">IFERROR(_xll.qlRateHelperEarliestDate(K10,Trigger),"--")</f>
        <v>--</v>
      </c>
      <c r="R10" s="889" t="str">
        <f ca="1">IFERROR(_xll.qlRateHelperPillarDate(K10,Trigger),"--")</f>
        <v>--</v>
      </c>
      <c r="T10" s="4" t="str">
        <f t="shared" ca="1" si="0"/>
        <v/>
      </c>
      <c r="U10" s="4" t="e">
        <f ca="1"/>
        <v>#NAME?</v>
      </c>
      <c r="V10" s="4" t="str">
        <f ca="1">IFERROR(_xll.qlRateHelperQuoteName(U10,Trigger),"")</f>
        <v/>
      </c>
      <c r="W10" s="888" t="str">
        <f ca="1">IFERROR(_xll.qlRateHelperRate(U10,Trigger),"")</f>
        <v/>
      </c>
      <c r="X10" s="887"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6" t="e">
        <f ca="1"/>
        <v>#NAME?</v>
      </c>
      <c r="AB10" s="913"/>
      <c r="AC10" s="955" t="s">
        <v>89</v>
      </c>
      <c r="AD10" s="955" t="s">
        <v>409</v>
      </c>
      <c r="AE10" s="955" t="s">
        <v>408</v>
      </c>
      <c r="AF10" s="955" t="s">
        <v>275</v>
      </c>
      <c r="AG10" s="955" t="s">
        <v>407</v>
      </c>
      <c r="AH10" s="955" t="s">
        <v>406</v>
      </c>
      <c r="AI10" s="955" t="s">
        <v>265</v>
      </c>
      <c r="AJ10" s="955" t="s">
        <v>405</v>
      </c>
    </row>
    <row r="11" spans="1:38" ht="11.25" customHeight="1" x14ac:dyDescent="0.2">
      <c r="A11" s="873" t="s">
        <v>146</v>
      </c>
      <c r="B11" s="875" t="e">
        <f ca="1">_xll.qlECBNextCode(C10,Trigger)</f>
        <v>#NAME?</v>
      </c>
      <c r="C11" s="1024" t="e">
        <f ca="1">_xll.qlECBdate(B11,Trigger)</f>
        <v>#NAME?</v>
      </c>
      <c r="D11" s="1024" t="e">
        <f ca="1">_xll.qlECBNextDate(C11,Trigger)</f>
        <v>#NAME?</v>
      </c>
      <c r="E11" s="876" t="str">
        <f t="shared" si="3"/>
        <v>Eonia</v>
      </c>
      <c r="F11" s="1018" t="e">
        <f t="shared" ca="1" si="4"/>
        <v>#NAME?</v>
      </c>
      <c r="G11" s="909"/>
      <c r="H11" s="43" t="e">
        <f ca="1">_xll.qlDatedOISRateHelper(,C11,D11,F11,E11,,Permanent,Trigger,ObjectOverwrite)</f>
        <v>#NAME?</v>
      </c>
      <c r="I11" s="23"/>
      <c r="J11" s="894" t="str">
        <f t="shared" si="1"/>
        <v>ECB</v>
      </c>
      <c r="K11" s="890" t="e">
        <f t="shared" ca="1" si="2"/>
        <v>#NAME?</v>
      </c>
      <c r="L11" s="893" t="str">
        <f ca="1">IFERROR(_xll.qlRateHelperQuoteName(K11,Trigger),"--")</f>
        <v>--</v>
      </c>
      <c r="M11" s="892" t="str">
        <f ca="1">IFERROR(_xll.qlRateHelperQuoteValue($K11,Trigger),"--")</f>
        <v>--</v>
      </c>
      <c r="N11" s="891" t="b">
        <f ca="1">NOT(ISERROR(_xll.qlQuoteValue(L11)))</f>
        <v>0</v>
      </c>
      <c r="O11" s="890">
        <v>70</v>
      </c>
      <c r="P11" s="890">
        <v>30</v>
      </c>
      <c r="Q11" s="889" t="str">
        <f ca="1">IFERROR(_xll.qlRateHelperEarliestDate(K11,Trigger),"--")</f>
        <v>--</v>
      </c>
      <c r="R11" s="889" t="str">
        <f ca="1">IFERROR(_xll.qlRateHelperPillarDate(K11,Trigger),"--")</f>
        <v>--</v>
      </c>
      <c r="T11" s="4" t="str">
        <f t="shared" ca="1" si="0"/>
        <v/>
      </c>
      <c r="U11" s="4" t="e">
        <f ca="1"/>
        <v>#NAME?</v>
      </c>
      <c r="V11" s="4" t="str">
        <f ca="1">IFERROR(_xll.qlRateHelperQuoteName(U11,Trigger),"")</f>
        <v/>
      </c>
      <c r="W11" s="888" t="str">
        <f ca="1">IFERROR(_xll.qlRateHelperRate(U11,Trigger),"")</f>
        <v/>
      </c>
      <c r="X11" s="887"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6" t="e">
        <f ca="1"/>
        <v>#NAME?</v>
      </c>
      <c r="AB11" s="913"/>
      <c r="AC11" s="989">
        <v>1</v>
      </c>
      <c r="AD11" s="990" t="e">
        <f ca="1">_xll.qlCalendarEndOfMonth(Calendar,Settlementdate,Trigger)</f>
        <v>#NAME?</v>
      </c>
      <c r="AE11" s="989" t="str">
        <f t="shared" ref="AE11:AE23" si="5">Currency&amp;$AE$9&amp;AC11&amp;JumpSuffix&amp;QuoteSuffix</f>
        <v>EURJump1_SYNTHON_Quote</v>
      </c>
      <c r="AF11" s="988" t="e">
        <f ca="1">_xll.qlDayCounterYearFraction("actual/360",AD11,_xll.qlCalendarAdvance(Calendar,AD11,"1D",,,Trigger))</f>
        <v>#NAME?</v>
      </c>
      <c r="AG11" s="985" t="e">
        <f ca="1">IF(_xll.qlQuoteIsValid(AE11,Trigger),_xll.qlQuoteValue(AE11,Trigger),1)</f>
        <v>#NAME?</v>
      </c>
      <c r="AH11" s="987" t="e">
        <f t="shared" ref="AH11:AH23" ca="1" si="6">-LN(AG11)/AF11</f>
        <v>#NAME?</v>
      </c>
      <c r="AI11" s="996"/>
      <c r="AJ11" s="985" t="str">
        <f>IF(ISBLANK(AI11),AE11,EXP(-AI11*AF11))</f>
        <v>EURJump1_SYNTHON_Quote</v>
      </c>
    </row>
    <row r="12" spans="1:38" ht="11.25" customHeight="1" x14ac:dyDescent="0.2">
      <c r="A12" s="873" t="s">
        <v>146</v>
      </c>
      <c r="B12" s="875" t="e">
        <f ca="1">_xll.qlECBNextCode(C11,Trigger)</f>
        <v>#NAME?</v>
      </c>
      <c r="C12" s="1024" t="e">
        <f ca="1">_xll.qlECBdate(B12,Trigger)</f>
        <v>#NAME?</v>
      </c>
      <c r="D12" s="1024" t="e">
        <f ca="1">_xll.qlECBNextDate(C12,Trigger)</f>
        <v>#NAME?</v>
      </c>
      <c r="E12" s="876" t="str">
        <f t="shared" si="3"/>
        <v>Eonia</v>
      </c>
      <c r="F12" s="1018" t="e">
        <f t="shared" ca="1" si="4"/>
        <v>#NAME?</v>
      </c>
      <c r="G12" s="909"/>
      <c r="H12" s="43" t="e">
        <f ca="1">_xll.qlDatedOISRateHelper(,C12,D12,F12,E12,,Permanent,Trigger,ObjectOverwrite)</f>
        <v>#NAME?</v>
      </c>
      <c r="I12" s="23"/>
      <c r="J12" s="894" t="str">
        <f t="shared" si="1"/>
        <v>ECB</v>
      </c>
      <c r="K12" s="890" t="e">
        <f t="shared" ca="1" si="2"/>
        <v>#NAME?</v>
      </c>
      <c r="L12" s="893" t="str">
        <f ca="1">IFERROR(_xll.qlRateHelperQuoteName(K12,Trigger),"--")</f>
        <v>--</v>
      </c>
      <c r="M12" s="892" t="str">
        <f ca="1">IFERROR(_xll.qlRateHelperQuoteValue($K12,Trigger),"--")</f>
        <v>--</v>
      </c>
      <c r="N12" s="891" t="b">
        <f ca="1">NOT(ISERROR(_xll.qlQuoteValue(L12)))</f>
        <v>0</v>
      </c>
      <c r="O12" s="890">
        <v>70</v>
      </c>
      <c r="P12" s="890">
        <v>30</v>
      </c>
      <c r="Q12" s="889" t="str">
        <f ca="1">IFERROR(_xll.qlRateHelperEarliestDate(K12,Trigger),"--")</f>
        <v>--</v>
      </c>
      <c r="R12" s="889" t="str">
        <f ca="1">IFERROR(_xll.qlRateHelperPillarDate(K12,Trigger),"--")</f>
        <v>--</v>
      </c>
      <c r="T12" s="4" t="str">
        <f t="shared" ca="1" si="0"/>
        <v/>
      </c>
      <c r="U12" s="4" t="e">
        <f ca="1"/>
        <v>#NAME?</v>
      </c>
      <c r="V12" s="4" t="str">
        <f ca="1">IFERROR(_xll.qlRateHelperQuoteName(U12,Trigger),"")</f>
        <v/>
      </c>
      <c r="W12" s="888" t="str">
        <f ca="1">IFERROR(_xll.qlRateHelperRate(U12,Trigger),"")</f>
        <v/>
      </c>
      <c r="X12" s="887"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6" t="e">
        <f ca="1"/>
        <v>#NAME?</v>
      </c>
      <c r="AB12" s="913"/>
      <c r="AC12" s="982">
        <v>2</v>
      </c>
      <c r="AD12" s="983" t="e">
        <f ca="1">_xll.qlCalendarEndOfMonth(Calendar,_xll.qlCalendarAdvance(Calendar,AD11,"1m","mf",TRUE),Trigger)</f>
        <v>#NAME?</v>
      </c>
      <c r="AE12" s="982" t="str">
        <f t="shared" si="5"/>
        <v>EURJump2_SYNTHON_Quote</v>
      </c>
      <c r="AF12" s="981" t="e">
        <f ca="1">_xll.qlDayCounterYearFraction("actual/360",AD12,_xll.qlCalendarAdvance(Calendar,AD12,"1D",,,Trigger))</f>
        <v>#NAME?</v>
      </c>
      <c r="AG12" s="978" t="e">
        <f ca="1">IF(_xll.qlQuoteIsValid(AE12,Trigger),_xll.qlQuoteValue(AE12,Trigger),1)</f>
        <v>#NAME?</v>
      </c>
      <c r="AH12" s="980" t="e">
        <f t="shared" ca="1" si="6"/>
        <v>#NAME?</v>
      </c>
      <c r="AI12" s="995"/>
      <c r="AJ12" s="978" t="str">
        <f t="shared" ref="AJ12:AJ23" si="7">IF(ISBLANK(AI12),AE12,AI12)</f>
        <v>EURJump2_SYNTHON_Quote</v>
      </c>
    </row>
    <row r="13" spans="1:38" ht="11.25" customHeight="1" x14ac:dyDescent="0.2">
      <c r="A13" s="873" t="s">
        <v>146</v>
      </c>
      <c r="B13" s="875" t="e">
        <f ca="1">_xll.qlECBNextCode(C12,Trigger)</f>
        <v>#NAME?</v>
      </c>
      <c r="C13" s="1024" t="e">
        <f ca="1">_xll.qlECBdate(B13,Trigger)</f>
        <v>#NAME?</v>
      </c>
      <c r="D13" s="1024" t="e">
        <f ca="1">_xll.qlECBNextDate(C13,Trigger)</f>
        <v>#NAME?</v>
      </c>
      <c r="E13" s="876" t="str">
        <f t="shared" si="3"/>
        <v>Eonia</v>
      </c>
      <c r="F13" s="1018" t="e">
        <f t="shared" ca="1" si="4"/>
        <v>#NAME?</v>
      </c>
      <c r="G13" s="909"/>
      <c r="H13" s="43" t="e">
        <f ca="1">_xll.qlDatedOISRateHelper(,C13,D13,F13,E13,,Permanent,Trigger,ObjectOverwrite)</f>
        <v>#NAME?</v>
      </c>
      <c r="I13" s="23"/>
      <c r="J13" s="894" t="str">
        <f t="shared" si="1"/>
        <v>ECB</v>
      </c>
      <c r="K13" s="890" t="e">
        <f t="shared" ca="1" si="2"/>
        <v>#NAME?</v>
      </c>
      <c r="L13" s="893" t="str">
        <f ca="1">IFERROR(_xll.qlRateHelperQuoteName(K13,Trigger),"--")</f>
        <v>--</v>
      </c>
      <c r="M13" s="892" t="str">
        <f ca="1">IFERROR(_xll.qlRateHelperQuoteValue($K13,Trigger),"--")</f>
        <v>--</v>
      </c>
      <c r="N13" s="891" t="b">
        <f ca="1">NOT(ISERROR(_xll.qlQuoteValue(L13)))</f>
        <v>0</v>
      </c>
      <c r="O13" s="890">
        <v>70</v>
      </c>
      <c r="P13" s="890">
        <v>30</v>
      </c>
      <c r="Q13" s="889" t="str">
        <f ca="1">IFERROR(_xll.qlRateHelperEarliestDate(K13,Trigger),"--")</f>
        <v>--</v>
      </c>
      <c r="R13" s="889" t="str">
        <f ca="1">IFERROR(_xll.qlRateHelperPillarDate(K13,Trigger),"--")</f>
        <v>--</v>
      </c>
      <c r="T13" s="4" t="str">
        <f t="shared" ca="1" si="0"/>
        <v/>
      </c>
      <c r="U13" s="4" t="e">
        <f ca="1"/>
        <v>#NAME?</v>
      </c>
      <c r="V13" s="4" t="str">
        <f ca="1">IFERROR(_xll.qlRateHelperQuoteName(U13,Trigger),"")</f>
        <v/>
      </c>
      <c r="W13" s="888" t="str">
        <f ca="1">IFERROR(_xll.qlRateHelperRate(U13,Trigger),"")</f>
        <v/>
      </c>
      <c r="X13" s="887"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6" t="e">
        <f ca="1"/>
        <v>#NAME?</v>
      </c>
      <c r="AB13" s="913"/>
      <c r="AC13" s="982">
        <v>3</v>
      </c>
      <c r="AD13" s="983" t="e">
        <f ca="1">_xll.qlCalendarEndOfMonth(Calendar,_xll.qlCalendarAdvance(Calendar,AD12,"1m","mf",TRUE),Trigger)</f>
        <v>#NAME?</v>
      </c>
      <c r="AE13" s="982" t="str">
        <f t="shared" si="5"/>
        <v>EURJump3_SYNTHON_Quote</v>
      </c>
      <c r="AF13" s="981" t="e">
        <f ca="1">_xll.qlDayCounterYearFraction("actual/360",AD13,_xll.qlCalendarAdvance(Calendar,AD13,"1D",,,Trigger))</f>
        <v>#NAME?</v>
      </c>
      <c r="AG13" s="978" t="e">
        <f ca="1">IF(_xll.qlQuoteIsValid(AE13,Trigger),_xll.qlQuoteValue(AE13,Trigger),1)</f>
        <v>#NAME?</v>
      </c>
      <c r="AH13" s="980" t="e">
        <f t="shared" ca="1" si="6"/>
        <v>#NAME?</v>
      </c>
      <c r="AI13" s="995"/>
      <c r="AJ13" s="978" t="str">
        <f t="shared" si="7"/>
        <v>EURJump3_SYNTHON_Quote</v>
      </c>
    </row>
    <row r="14" spans="1:38" ht="11.25" customHeight="1" x14ac:dyDescent="0.2">
      <c r="A14" s="873" t="s">
        <v>146</v>
      </c>
      <c r="B14" s="875" t="e">
        <f ca="1">_xll.qlECBNextCode(C13,Trigger)</f>
        <v>#NAME?</v>
      </c>
      <c r="C14" s="1024" t="e">
        <f ca="1">_xll.qlECBdate(B14,Trigger)</f>
        <v>#NAME?</v>
      </c>
      <c r="D14" s="1024" t="e">
        <f ca="1">_xll.qlECBNextDate(C14,Trigger)</f>
        <v>#NAME?</v>
      </c>
      <c r="E14" s="876" t="str">
        <f t="shared" si="3"/>
        <v>Eonia</v>
      </c>
      <c r="F14" s="1018" t="e">
        <f t="shared" ca="1" si="4"/>
        <v>#NAME?</v>
      </c>
      <c r="G14" s="909"/>
      <c r="H14" s="43" t="e">
        <f ca="1">_xll.qlDatedOISRateHelper(,C14,D14,F14,E14,,Permanent,Trigger,ObjectOverwrite)</f>
        <v>#NAME?</v>
      </c>
      <c r="I14" s="23"/>
      <c r="J14" s="894" t="str">
        <f t="shared" si="1"/>
        <v>ECB</v>
      </c>
      <c r="K14" s="890" t="e">
        <f t="shared" ca="1" si="2"/>
        <v>#NAME?</v>
      </c>
      <c r="L14" s="893" t="str">
        <f ca="1">IFERROR(_xll.qlRateHelperQuoteName(K14,Trigger),"--")</f>
        <v>--</v>
      </c>
      <c r="M14" s="892" t="str">
        <f ca="1">IFERROR(_xll.qlRateHelperQuoteValue($K14,Trigger),"--")</f>
        <v>--</v>
      </c>
      <c r="N14" s="891" t="b">
        <f ca="1">NOT(ISERROR(_xll.qlQuoteValue(L14)))</f>
        <v>0</v>
      </c>
      <c r="O14" s="890">
        <v>70</v>
      </c>
      <c r="P14" s="890">
        <v>30</v>
      </c>
      <c r="Q14" s="889" t="str">
        <f ca="1">IFERROR(_xll.qlRateHelperEarliestDate(K14,Trigger),"--")</f>
        <v>--</v>
      </c>
      <c r="R14" s="889" t="str">
        <f ca="1">IFERROR(_xll.qlRateHelperPillarDate(K14,Trigger),"--")</f>
        <v>--</v>
      </c>
      <c r="T14" s="4" t="str">
        <f t="shared" ca="1" si="0"/>
        <v/>
      </c>
      <c r="U14" s="4" t="e">
        <f ca="1"/>
        <v>#NAME?</v>
      </c>
      <c r="V14" s="4" t="str">
        <f ca="1">IFERROR(_xll.qlRateHelperQuoteName(U14,Trigger),"")</f>
        <v/>
      </c>
      <c r="W14" s="888" t="str">
        <f ca="1">IFERROR(_xll.qlRateHelperRate(U14,Trigger),"")</f>
        <v/>
      </c>
      <c r="X14" s="887"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6" t="e">
        <f ca="1"/>
        <v>#NAME?</v>
      </c>
      <c r="AB14" s="913"/>
      <c r="AC14" s="982">
        <v>4</v>
      </c>
      <c r="AD14" s="983" t="e">
        <f ca="1">_xll.qlCalendarEndOfMonth(Calendar,_xll.qlCalendarAdvance(Calendar,AD13,"1m","mf",TRUE),Trigger)</f>
        <v>#NAME?</v>
      </c>
      <c r="AE14" s="982" t="str">
        <f t="shared" si="5"/>
        <v>EURJump4_SYNTHON_Quote</v>
      </c>
      <c r="AF14" s="981" t="e">
        <f ca="1">_xll.qlDayCounterYearFraction("actual/360",AD14,_xll.qlCalendarAdvance(Calendar,AD14,"1D",,,Trigger))</f>
        <v>#NAME?</v>
      </c>
      <c r="AG14" s="978" t="e">
        <f ca="1">IF(_xll.qlQuoteIsValid(AE14,Trigger),_xll.qlQuoteValue(AE14,Trigger),1)</f>
        <v>#NAME?</v>
      </c>
      <c r="AH14" s="980" t="e">
        <f t="shared" ca="1" si="6"/>
        <v>#NAME?</v>
      </c>
      <c r="AI14" s="995"/>
      <c r="AJ14" s="978" t="str">
        <f t="shared" si="7"/>
        <v>EURJump4_SYNTHON_Quote</v>
      </c>
    </row>
    <row r="15" spans="1:38" ht="11.25" customHeight="1" x14ac:dyDescent="0.2">
      <c r="A15" s="873" t="s">
        <v>146</v>
      </c>
      <c r="B15" s="875" t="e">
        <f ca="1">_xll.qlECBNextCode(C14,Trigger)</f>
        <v>#NAME?</v>
      </c>
      <c r="C15" s="1024" t="e">
        <f ca="1">_xll.qlECBdate(B15,Trigger)</f>
        <v>#NAME?</v>
      </c>
      <c r="D15" s="1024" t="e">
        <f ca="1">_xll.qlECBNextDate(C15,Trigger)</f>
        <v>#NAME?</v>
      </c>
      <c r="E15" s="876" t="str">
        <f t="shared" si="3"/>
        <v>Eonia</v>
      </c>
      <c r="F15" s="1018" t="e">
        <f t="shared" ca="1" si="4"/>
        <v>#NAME?</v>
      </c>
      <c r="G15" s="909"/>
      <c r="H15" s="43" t="e">
        <f ca="1">_xll.qlDatedOISRateHelper(,C15,D15,F15,E15,,Permanent,Trigger,ObjectOverwrite)</f>
        <v>#NAME?</v>
      </c>
      <c r="I15" s="23"/>
      <c r="J15" s="894" t="str">
        <f t="shared" si="1"/>
        <v>ECB</v>
      </c>
      <c r="K15" s="890" t="e">
        <f t="shared" ca="1" si="2"/>
        <v>#NAME?</v>
      </c>
      <c r="L15" s="893" t="str">
        <f ca="1">IFERROR(_xll.qlRateHelperQuoteName(K15,Trigger),"--")</f>
        <v>--</v>
      </c>
      <c r="M15" s="892" t="str">
        <f ca="1">IFERROR(_xll.qlRateHelperQuoteValue($K15,Trigger),"--")</f>
        <v>--</v>
      </c>
      <c r="N15" s="891" t="b">
        <f ca="1">NOT(ISERROR(_xll.qlQuoteValue(L15)))</f>
        <v>0</v>
      </c>
      <c r="O15" s="890">
        <v>70</v>
      </c>
      <c r="P15" s="890">
        <v>30</v>
      </c>
      <c r="Q15" s="889" t="str">
        <f ca="1">IFERROR(_xll.qlRateHelperEarliestDate(K15,Trigger),"--")</f>
        <v>--</v>
      </c>
      <c r="R15" s="889" t="str">
        <f ca="1">IFERROR(_xll.qlRateHelperPillarDate(K15,Trigger),"--")</f>
        <v>--</v>
      </c>
      <c r="T15" s="4" t="str">
        <f t="shared" ca="1" si="0"/>
        <v/>
      </c>
      <c r="U15" s="4" t="e">
        <f ca="1"/>
        <v>#NAME?</v>
      </c>
      <c r="V15" s="4" t="str">
        <f ca="1">IFERROR(_xll.qlRateHelperQuoteName(U15,Trigger),"")</f>
        <v/>
      </c>
      <c r="W15" s="888" t="str">
        <f ca="1">IFERROR(_xll.qlRateHelperRate(U15,Trigger),"")</f>
        <v/>
      </c>
      <c r="X15" s="887"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6" t="e">
        <f ca="1"/>
        <v>#NAME?</v>
      </c>
      <c r="AB15" s="913"/>
      <c r="AC15" s="982">
        <v>5</v>
      </c>
      <c r="AD15" s="983" t="e">
        <f ca="1">_xll.qlCalendarEndOfMonth(Calendar,_xll.qlCalendarAdvance(Calendar,AD14,"1m","mf",TRUE),Trigger)</f>
        <v>#NAME?</v>
      </c>
      <c r="AE15" s="982" t="str">
        <f t="shared" si="5"/>
        <v>EURJump5_SYNTHON_Quote</v>
      </c>
      <c r="AF15" s="981" t="e">
        <f ca="1">_xll.qlDayCounterYearFraction("actual/360",AD15,_xll.qlCalendarAdvance(Calendar,AD15,"1D",,,Trigger))</f>
        <v>#NAME?</v>
      </c>
      <c r="AG15" s="978" t="e">
        <f ca="1">IF(_xll.qlQuoteIsValid(AE15,Trigger),_xll.qlQuoteValue(AE15,Trigger),1)</f>
        <v>#NAME?</v>
      </c>
      <c r="AH15" s="980" t="e">
        <f t="shared" ca="1" si="6"/>
        <v>#NAME?</v>
      </c>
      <c r="AI15" s="995"/>
      <c r="AJ15" s="978" t="str">
        <f t="shared" si="7"/>
        <v>EURJump5_SYNTHON_Quote</v>
      </c>
    </row>
    <row r="16" spans="1:38" ht="11.25" customHeight="1" x14ac:dyDescent="0.2">
      <c r="A16" s="873" t="s">
        <v>146</v>
      </c>
      <c r="B16" s="875" t="e">
        <f ca="1">_xll.qlECBNextCode(C15,Trigger)</f>
        <v>#NAME?</v>
      </c>
      <c r="C16" s="1024" t="e">
        <f ca="1">_xll.qlECBdate(B16,Trigger)</f>
        <v>#NAME?</v>
      </c>
      <c r="D16" s="1024" t="e">
        <f ca="1">_xll.qlECBNextDate(C16,Trigger)</f>
        <v>#NAME?</v>
      </c>
      <c r="E16" s="876" t="str">
        <f t="shared" si="3"/>
        <v>Eonia</v>
      </c>
      <c r="F16" s="1018" t="e">
        <f t="shared" ca="1" si="4"/>
        <v>#NAME?</v>
      </c>
      <c r="G16" s="909"/>
      <c r="H16" s="43" t="e">
        <f ca="1">_xll.qlDatedOISRateHelper(,C16,D16,F16,E16,,Permanent,Trigger,ObjectOverwrite)</f>
        <v>#NAME?</v>
      </c>
      <c r="I16" s="23"/>
      <c r="J16" s="894" t="str">
        <f t="shared" si="1"/>
        <v>ECB</v>
      </c>
      <c r="K16" s="890" t="e">
        <f t="shared" ca="1" si="2"/>
        <v>#NAME?</v>
      </c>
      <c r="L16" s="893" t="str">
        <f ca="1">IFERROR(_xll.qlRateHelperQuoteName(K16,Trigger),"--")</f>
        <v>--</v>
      </c>
      <c r="M16" s="892" t="str">
        <f ca="1">IFERROR(_xll.qlRateHelperQuoteValue($K16,Trigger),"--")</f>
        <v>--</v>
      </c>
      <c r="N16" s="891" t="b">
        <f ca="1">NOT(ISERROR(_xll.qlQuoteValue(L16)))</f>
        <v>0</v>
      </c>
      <c r="O16" s="890">
        <v>70</v>
      </c>
      <c r="P16" s="890">
        <v>30</v>
      </c>
      <c r="Q16" s="889" t="str">
        <f ca="1">IFERROR(_xll.qlRateHelperEarliestDate(K16,Trigger),"--")</f>
        <v>--</v>
      </c>
      <c r="R16" s="889" t="str">
        <f ca="1">IFERROR(_xll.qlRateHelperPillarDate(K16,Trigger),"--")</f>
        <v>--</v>
      </c>
      <c r="T16" s="4" t="str">
        <f t="shared" ca="1" si="0"/>
        <v/>
      </c>
      <c r="U16" s="4" t="e">
        <f ca="1"/>
        <v>#NAME?</v>
      </c>
      <c r="V16" s="4" t="str">
        <f ca="1">IFERROR(_xll.qlRateHelperQuoteName(U16,Trigger),"")</f>
        <v/>
      </c>
      <c r="W16" s="888" t="str">
        <f ca="1">IFERROR(_xll.qlRateHelperRate(U16,Trigger),"")</f>
        <v/>
      </c>
      <c r="X16" s="887"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6" t="e">
        <f ca="1"/>
        <v>#NAME?</v>
      </c>
      <c r="AB16" s="913"/>
      <c r="AC16" s="982">
        <v>6</v>
      </c>
      <c r="AD16" s="983" t="e">
        <f ca="1">_xll.qlCalendarEndOfMonth(Calendar,_xll.qlCalendarAdvance(Calendar,AD15,"1m","mf",TRUE),Trigger)</f>
        <v>#NAME?</v>
      </c>
      <c r="AE16" s="982" t="str">
        <f t="shared" si="5"/>
        <v>EURJump6_SYNTHON_Quote</v>
      </c>
      <c r="AF16" s="981" t="e">
        <f ca="1">_xll.qlDayCounterYearFraction("actual/360",AD16,_xll.qlCalendarAdvance(Calendar,AD16,"1D",,,Trigger))</f>
        <v>#NAME?</v>
      </c>
      <c r="AG16" s="978" t="e">
        <f ca="1">IF(_xll.qlQuoteIsValid(AE16,Trigger),_xll.qlQuoteValue(AE16,Trigger),1)</f>
        <v>#NAME?</v>
      </c>
      <c r="AH16" s="980" t="e">
        <f t="shared" ca="1" si="6"/>
        <v>#NAME?</v>
      </c>
      <c r="AI16" s="995"/>
      <c r="AJ16" s="978" t="str">
        <f t="shared" si="7"/>
        <v>EURJump6_SYNTHON_Quote</v>
      </c>
    </row>
    <row r="17" spans="1:36" ht="11.25" customHeight="1" x14ac:dyDescent="0.2">
      <c r="A17" s="873" t="s">
        <v>146</v>
      </c>
      <c r="B17" s="875" t="e">
        <f ca="1">_xll.qlECBNextCode(C16,Trigger)</f>
        <v>#NAME?</v>
      </c>
      <c r="C17" s="1024" t="e">
        <f ca="1">_xll.qlECBdate(B17,Trigger)</f>
        <v>#NAME?</v>
      </c>
      <c r="D17" s="1024" t="e">
        <f ca="1">_xll.qlECBNextDate(C17,Trigger)</f>
        <v>#NAME?</v>
      </c>
      <c r="E17" s="876" t="str">
        <f t="shared" si="3"/>
        <v>Eonia</v>
      </c>
      <c r="F17" s="1018" t="e">
        <f t="shared" ca="1" si="4"/>
        <v>#NAME?</v>
      </c>
      <c r="G17" s="909"/>
      <c r="H17" s="43" t="e">
        <f ca="1">_xll.qlDatedOISRateHelper(,C17,D17,F17,E17,,Permanent,Trigger,ObjectOverwrite)</f>
        <v>#NAME?</v>
      </c>
      <c r="I17" s="23"/>
      <c r="J17" s="908" t="str">
        <f>A21</f>
        <v>FUTON</v>
      </c>
      <c r="K17" s="904" t="e">
        <f ca="1">IF(ISBLANK(H21),"--",H21)</f>
        <v>#NAME?</v>
      </c>
      <c r="L17" s="907" t="str">
        <f ca="1">IFERROR(_xll.qlRateHelperQuoteName(K17,Trigger),"--")</f>
        <v>--</v>
      </c>
      <c r="M17" s="1023" t="str">
        <f ca="1">IFERROR(_xll.qlRateHelperQuoteValue($K17,Trigger),"--")</f>
        <v>--</v>
      </c>
      <c r="N17" s="905" t="b">
        <v>0</v>
      </c>
      <c r="O17" s="904">
        <v>70</v>
      </c>
      <c r="P17" s="904">
        <v>7</v>
      </c>
      <c r="Q17" s="903" t="str">
        <f ca="1">IFERROR(_xll.qlRateHelperEarliestDate(K17,Trigger),"--")</f>
        <v>--</v>
      </c>
      <c r="R17" s="903" t="str">
        <f ca="1">IFERROR(_xll.qlRateHelperPillarDate(K17,Trigger),"--")</f>
        <v>--</v>
      </c>
      <c r="T17" s="4" t="str">
        <f t="shared" ca="1" si="0"/>
        <v/>
      </c>
      <c r="U17" s="4" t="e">
        <f ca="1"/>
        <v>#NAME?</v>
      </c>
      <c r="V17" s="4" t="str">
        <f ca="1">IFERROR(_xll.qlRateHelperQuoteName(U17,Trigger),"")</f>
        <v/>
      </c>
      <c r="W17" s="888" t="str">
        <f ca="1">IFERROR(_xll.qlRateHelperRate(U17,Trigger),"")</f>
        <v/>
      </c>
      <c r="X17" s="887"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6" t="e">
        <f ca="1"/>
        <v>#NAME?</v>
      </c>
      <c r="AB17" s="913"/>
      <c r="AC17" s="982">
        <v>7</v>
      </c>
      <c r="AD17" s="983" t="e">
        <f ca="1">_xll.qlCalendarEndOfMonth(Calendar,_xll.qlCalendarAdvance(Calendar,AD16,"1m","mf",TRUE),Trigger)</f>
        <v>#NAME?</v>
      </c>
      <c r="AE17" s="982" t="str">
        <f t="shared" si="5"/>
        <v>EURJump7_SYNTHON_Quote</v>
      </c>
      <c r="AF17" s="981" t="e">
        <f ca="1">_xll.qlDayCounterYearFraction("actual/360",AD17,_xll.qlCalendarAdvance(Calendar,AD17,"1D",,,Trigger))</f>
        <v>#NAME?</v>
      </c>
      <c r="AG17" s="978" t="e">
        <f ca="1">IF(_xll.qlQuoteIsValid(AE17,Trigger),_xll.qlQuoteValue(AE17,Trigger),1)</f>
        <v>#NAME?</v>
      </c>
      <c r="AH17" s="980" t="e">
        <f t="shared" ca="1" si="6"/>
        <v>#NAME?</v>
      </c>
      <c r="AI17" s="995"/>
      <c r="AJ17" s="978" t="str">
        <f t="shared" si="7"/>
        <v>EURJump7_SYNTHON_Quote</v>
      </c>
    </row>
    <row r="18" spans="1:36" ht="11.25" customHeight="1" x14ac:dyDescent="0.2">
      <c r="A18" s="869" t="s">
        <v>146</v>
      </c>
      <c r="B18" s="871" t="e">
        <f ca="1">_xll.qlECBNextCode(C17,Trigger)</f>
        <v>#NAME?</v>
      </c>
      <c r="C18" s="1022" t="e">
        <f ca="1">_xll.qlECBdate(B18,Trigger)</f>
        <v>#NAME?</v>
      </c>
      <c r="D18" s="1022" t="e">
        <f ca="1">_xll.qlECBNextDate(C18,Trigger)</f>
        <v>#NAME?</v>
      </c>
      <c r="E18" s="984" t="str">
        <f t="shared" si="3"/>
        <v>Eonia</v>
      </c>
      <c r="F18" s="1017" t="e">
        <f t="shared" ca="1" si="4"/>
        <v>#NAME?</v>
      </c>
      <c r="G18" s="899"/>
      <c r="H18" s="38" t="e">
        <f ca="1">_xll.qlDatedOISRateHelper(,C18,D18,F18,E18,,Permanent,Trigger,ObjectOverwrite)</f>
        <v>#NAME?</v>
      </c>
      <c r="I18" s="23"/>
      <c r="J18" s="894" t="str">
        <f>A22</f>
        <v>FUTON</v>
      </c>
      <c r="K18" s="890" t="str">
        <f>IF(ISBLANK(H22),"--",H22)</f>
        <v>--</v>
      </c>
      <c r="L18" s="893" t="str">
        <f ca="1">IFERROR(_xll.qlRateHelperQuoteName(K18,Trigger),"--")</f>
        <v>--</v>
      </c>
      <c r="M18" s="1021" t="str">
        <f ca="1">IFERROR(_xll.qlRateHelperQuoteValue($K18,Trigger),"--")</f>
        <v>--</v>
      </c>
      <c r="N18" s="891" t="b">
        <v>0</v>
      </c>
      <c r="O18" s="890">
        <v>60</v>
      </c>
      <c r="P18" s="890">
        <v>7</v>
      </c>
      <c r="Q18" s="889" t="str">
        <f ca="1">IFERROR(_xll.qlRateHelperEarliestDate(K18,Trigger),"--")</f>
        <v>--</v>
      </c>
      <c r="R18" s="889" t="str">
        <f ca="1">IFERROR(_xll.qlRateHelperPillarDate(K18,Trigger),"--")</f>
        <v>--</v>
      </c>
      <c r="T18" s="4" t="str">
        <f t="shared" ca="1" si="0"/>
        <v/>
      </c>
      <c r="U18" s="4" t="e">
        <f ca="1"/>
        <v>#NAME?</v>
      </c>
      <c r="V18" s="4" t="str">
        <f ca="1">IFERROR(_xll.qlRateHelperQuoteName(U18,Trigger),"")</f>
        <v/>
      </c>
      <c r="W18" s="888" t="str">
        <f ca="1">IFERROR(_xll.qlRateHelperRate(U18,Trigger),"")</f>
        <v/>
      </c>
      <c r="X18" s="887"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6" t="e">
        <f ca="1"/>
        <v>#NAME?</v>
      </c>
      <c r="AB18" s="913"/>
      <c r="AC18" s="982">
        <v>8</v>
      </c>
      <c r="AD18" s="983" t="e">
        <f ca="1">_xll.qlCalendarEndOfMonth(Calendar,_xll.qlCalendarAdvance(Calendar,AD17,"1m","mf",TRUE),Trigger)</f>
        <v>#NAME?</v>
      </c>
      <c r="AE18" s="982" t="str">
        <f t="shared" si="5"/>
        <v>EURJump8_SYNTHON_Quote</v>
      </c>
      <c r="AF18" s="981" t="e">
        <f ca="1">_xll.qlDayCounterYearFraction("actual/360",AD18,_xll.qlCalendarAdvance(Calendar,AD18,"1D",,,Trigger))</f>
        <v>#NAME?</v>
      </c>
      <c r="AG18" s="978" t="e">
        <f ca="1">IF(_xll.qlQuoteIsValid(AE18,Trigger),_xll.qlQuoteValue(AE18,Trigger),1)</f>
        <v>#NAME?</v>
      </c>
      <c r="AH18" s="980" t="e">
        <f t="shared" ca="1" si="6"/>
        <v>#NAME?</v>
      </c>
      <c r="AI18" s="995"/>
      <c r="AJ18" s="978" t="str">
        <f t="shared" si="7"/>
        <v>EURJump8_SYNTHON_Quote</v>
      </c>
    </row>
    <row r="19" spans="1:36" ht="11.25" customHeight="1" x14ac:dyDescent="0.2">
      <c r="C19" s="867"/>
      <c r="D19" s="867"/>
      <c r="E19" s="866" t="s">
        <v>127</v>
      </c>
      <c r="I19" s="23"/>
      <c r="J19" s="894" t="str">
        <f>A23</f>
        <v>FUTON</v>
      </c>
      <c r="K19" s="890" t="str">
        <f>IF(ISBLANK(H23),"--",H23)</f>
        <v>--</v>
      </c>
      <c r="L19" s="893" t="str">
        <f ca="1">IFERROR(_xll.qlRateHelperQuoteName(K19,Trigger),"--")</f>
        <v>--</v>
      </c>
      <c r="M19" s="1021" t="str">
        <f ca="1">IFERROR(_xll.qlRateHelperQuoteValue($K19,Trigger),"--")</f>
        <v>--</v>
      </c>
      <c r="N19" s="891" t="b">
        <v>0</v>
      </c>
      <c r="O19" s="890">
        <v>60</v>
      </c>
      <c r="P19" s="890">
        <v>7</v>
      </c>
      <c r="Q19" s="889" t="str">
        <f ca="1">IFERROR(_xll.qlRateHelperEarliestDate(K19,Trigger),"--")</f>
        <v>--</v>
      </c>
      <c r="R19" s="889" t="str">
        <f ca="1">IFERROR(_xll.qlRateHelperPillarDate(K19,Trigger),"--")</f>
        <v>--</v>
      </c>
      <c r="T19" s="4" t="str">
        <f t="shared" ca="1" si="0"/>
        <v/>
      </c>
      <c r="U19" s="4" t="e">
        <f ca="1"/>
        <v>#NAME?</v>
      </c>
      <c r="V19" s="4" t="str">
        <f ca="1">IFERROR(_xll.qlRateHelperQuoteName(U19,Trigger),"")</f>
        <v/>
      </c>
      <c r="W19" s="888" t="str">
        <f ca="1">IFERROR(_xll.qlRateHelperRate(U19,Trigger),"")</f>
        <v/>
      </c>
      <c r="X19" s="887"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6" t="e">
        <f ca="1"/>
        <v>#NAME?</v>
      </c>
      <c r="AB19" s="913"/>
      <c r="AC19" s="982">
        <v>9</v>
      </c>
      <c r="AD19" s="983" t="e">
        <f ca="1">_xll.qlCalendarEndOfMonth(Calendar,_xll.qlCalendarAdvance(Calendar,AD18,"1m","mf",TRUE),Trigger)</f>
        <v>#NAME?</v>
      </c>
      <c r="AE19" s="982" t="str">
        <f t="shared" si="5"/>
        <v>EURJump9_SYNTHON_Quote</v>
      </c>
      <c r="AF19" s="981" t="e">
        <f ca="1">_xll.qlDayCounterYearFraction("actual/360",AD19,_xll.qlCalendarAdvance(Calendar,AD19,"1D",,,Trigger))</f>
        <v>#NAME?</v>
      </c>
      <c r="AG19" s="978" t="e">
        <f ca="1">IF(_xll.qlQuoteIsValid(AE19,Trigger),_xll.qlQuoteValue(AE19,Trigger),1)</f>
        <v>#NAME?</v>
      </c>
      <c r="AH19" s="980" t="e">
        <f t="shared" ca="1" si="6"/>
        <v>#NAME?</v>
      </c>
      <c r="AI19" s="995"/>
      <c r="AJ19" s="978" t="str">
        <f t="shared" si="7"/>
        <v>EURJump9_SYNTHON_Quote</v>
      </c>
    </row>
    <row r="20" spans="1:36" ht="11.25" customHeight="1" x14ac:dyDescent="0.2">
      <c r="A20" s="145" t="s">
        <v>388</v>
      </c>
      <c r="B20" s="145" t="s">
        <v>144</v>
      </c>
      <c r="C20" s="145"/>
      <c r="D20" s="145"/>
      <c r="E20" s="145" t="s">
        <v>14</v>
      </c>
      <c r="F20" s="145" t="s">
        <v>384</v>
      </c>
      <c r="G20" s="145" t="s">
        <v>420</v>
      </c>
      <c r="H20" s="145" t="s">
        <v>383</v>
      </c>
      <c r="I20" s="23"/>
      <c r="J20" s="894" t="str">
        <f>A24</f>
        <v>FUTON</v>
      </c>
      <c r="K20" s="890" t="str">
        <f>IF(ISBLANK(H24),"--",H24)</f>
        <v>--</v>
      </c>
      <c r="L20" s="893" t="str">
        <f ca="1">IFERROR(_xll.qlRateHelperQuoteName(K20,Trigger),"--")</f>
        <v>--</v>
      </c>
      <c r="M20" s="1021" t="str">
        <f ca="1">IFERROR(_xll.qlRateHelperQuoteValue($K20,Trigger),"--")</f>
        <v>--</v>
      </c>
      <c r="N20" s="891" t="b">
        <v>0</v>
      </c>
      <c r="O20" s="890">
        <v>50</v>
      </c>
      <c r="P20" s="890">
        <v>7</v>
      </c>
      <c r="Q20" s="889" t="str">
        <f ca="1">IFERROR(_xll.qlRateHelperEarliestDate(K20,Trigger),"--")</f>
        <v>--</v>
      </c>
      <c r="R20" s="889" t="str">
        <f ca="1">IFERROR(_xll.qlRateHelperPillarDate(K20,Trigger),"--")</f>
        <v>--</v>
      </c>
      <c r="T20" s="4" t="str">
        <f t="shared" ca="1" si="0"/>
        <v/>
      </c>
      <c r="U20" s="4" t="e">
        <f ca="1"/>
        <v>#NAME?</v>
      </c>
      <c r="V20" s="4" t="str">
        <f ca="1">IFERROR(_xll.qlRateHelperQuoteName(U20,Trigger),"")</f>
        <v/>
      </c>
      <c r="W20" s="888" t="str">
        <f ca="1">IFERROR(_xll.qlRateHelperRate(U20,Trigger),"")</f>
        <v/>
      </c>
      <c r="X20" s="887"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6" t="e">
        <f ca="1"/>
        <v>#NAME?</v>
      </c>
      <c r="AB20" s="913"/>
      <c r="AC20" s="982">
        <v>10</v>
      </c>
      <c r="AD20" s="983" t="e">
        <f ca="1">_xll.qlCalendarEndOfMonth(Calendar,_xll.qlCalendarAdvance(Calendar,AD19,"1m","mf",TRUE),Trigger)</f>
        <v>#NAME?</v>
      </c>
      <c r="AE20" s="982" t="str">
        <f t="shared" si="5"/>
        <v>EURJump10_SYNTHON_Quote</v>
      </c>
      <c r="AF20" s="981" t="e">
        <f ca="1">_xll.qlDayCounterYearFraction("actual/360",AD20,_xll.qlCalendarAdvance(Calendar,AD20,"1D",,,Trigger))</f>
        <v>#NAME?</v>
      </c>
      <c r="AG20" s="978" t="e">
        <f ca="1">IF(_xll.qlQuoteIsValid(AE20,Trigger),_xll.qlQuoteValue(AE20,Trigger),1)</f>
        <v>#NAME?</v>
      </c>
      <c r="AH20" s="980" t="e">
        <f t="shared" ca="1" si="6"/>
        <v>#NAME?</v>
      </c>
      <c r="AI20" s="995"/>
      <c r="AJ20" s="978" t="str">
        <f t="shared" si="7"/>
        <v>EURJump10_SYNTHON_Quote</v>
      </c>
    </row>
    <row r="21" spans="1:36" ht="11.25" customHeight="1" x14ac:dyDescent="0.2">
      <c r="A21" s="896" t="s">
        <v>419</v>
      </c>
      <c r="B21" s="898" t="e">
        <f ca="1">_xll.qlIMMNextCode(Evaluationdate-1,TRUE,Trigger)</f>
        <v>#NAME?</v>
      </c>
      <c r="C21" s="914"/>
      <c r="D21" s="914"/>
      <c r="E21" s="895" t="str">
        <f>PROPER(Currency)&amp;FamilyName&amp;$E$19</f>
        <v>Euribor3M</v>
      </c>
      <c r="F21" s="1019" t="e">
        <f ca="1">Currency&amp;"OIS"&amp;B21&amp;QuoteSuffix</f>
        <v>#NAME?</v>
      </c>
      <c r="G21" s="1019">
        <v>0</v>
      </c>
      <c r="H21" s="47" t="e">
        <f ca="1">_xll.qlFuturesRateHelper(,F21,,B21,E21,G21,Permanent,Trigger,ObjectOverwrite)</f>
        <v>#NAME?</v>
      </c>
      <c r="I21" s="23"/>
      <c r="J21" s="885" t="str">
        <f>A25</f>
        <v>FUTON</v>
      </c>
      <c r="K21" s="881" t="str">
        <f>IF(ISBLANK(H25),"--",H25)</f>
        <v>--</v>
      </c>
      <c r="L21" s="884" t="str">
        <f ca="1">IFERROR(_xll.qlRateHelperQuoteName(K21,Trigger),"--")</f>
        <v>--</v>
      </c>
      <c r="M21" s="1020" t="str">
        <f ca="1">IFERROR(_xll.qlRateHelperQuoteValue($K21,Trigger),"--")</f>
        <v>--</v>
      </c>
      <c r="N21" s="882" t="b">
        <v>0</v>
      </c>
      <c r="O21" s="881">
        <v>50</v>
      </c>
      <c r="P21" s="881">
        <v>7</v>
      </c>
      <c r="Q21" s="880" t="str">
        <f ca="1">IFERROR(_xll.qlRateHelperEarliestDate(K21,Trigger),"--")</f>
        <v>--</v>
      </c>
      <c r="R21" s="880" t="str">
        <f ca="1">IFERROR(_xll.qlRateHelperPillarDate(K21,Trigger),"--")</f>
        <v>--</v>
      </c>
      <c r="T21" s="4" t="str">
        <f t="shared" ca="1" si="0"/>
        <v/>
      </c>
      <c r="U21" s="4" t="e">
        <f ca="1"/>
        <v>#NAME?</v>
      </c>
      <c r="V21" s="4" t="str">
        <f ca="1">IFERROR(_xll.qlRateHelperQuoteName(U21,Trigger),"")</f>
        <v/>
      </c>
      <c r="W21" s="888" t="str">
        <f ca="1">IFERROR(_xll.qlRateHelperRate(U21,Trigger),"")</f>
        <v/>
      </c>
      <c r="X21" s="887"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6" t="e">
        <f ca="1"/>
        <v>#NAME?</v>
      </c>
      <c r="AB21" s="913"/>
      <c r="AC21" s="982">
        <v>11</v>
      </c>
      <c r="AD21" s="983" t="e">
        <f ca="1">_xll.qlCalendarEndOfMonth(Calendar,_xll.qlCalendarAdvance(Calendar,AD20,"1m","mf",TRUE),Trigger)</f>
        <v>#NAME?</v>
      </c>
      <c r="AE21" s="982" t="str">
        <f t="shared" si="5"/>
        <v>EURJump11_SYNTHON_Quote</v>
      </c>
      <c r="AF21" s="981" t="e">
        <f ca="1">_xll.qlDayCounterYearFraction("actual/360",AD21,_xll.qlCalendarAdvance(Calendar,AD21,"1D",,,Trigger))</f>
        <v>#NAME?</v>
      </c>
      <c r="AG21" s="978" t="e">
        <f ca="1">IF(_xll.qlQuoteIsValid(AE21,Trigger),_xll.qlQuoteValue(AE21,Trigger),1)</f>
        <v>#NAME?</v>
      </c>
      <c r="AH21" s="980" t="e">
        <f t="shared" ca="1" si="6"/>
        <v>#NAME?</v>
      </c>
      <c r="AI21" s="995"/>
      <c r="AJ21" s="978" t="str">
        <f t="shared" si="7"/>
        <v>EURJump11_SYNTHON_Quote</v>
      </c>
    </row>
    <row r="22" spans="1:36" ht="11.25" customHeight="1" x14ac:dyDescent="0.2">
      <c r="A22" s="873" t="s">
        <v>419</v>
      </c>
      <c r="B22" s="875" t="e">
        <f ca="1">_xll.qlIMMNextCode(B21,TRUE,Trigger)</f>
        <v>#NAME?</v>
      </c>
      <c r="C22" s="909"/>
      <c r="D22" s="909"/>
      <c r="E22" s="876" t="str">
        <f>PROPER(Currency)&amp;FamilyName&amp;$E$19</f>
        <v>Euribor3M</v>
      </c>
      <c r="F22" s="1018" t="e">
        <f ca="1">Currency&amp;"OIS"&amp;B22&amp;QuoteSuffix</f>
        <v>#NAME?</v>
      </c>
      <c r="G22" s="1018">
        <v>0</v>
      </c>
      <c r="H22" s="43"/>
      <c r="J22" s="894" t="str">
        <f t="shared" ref="J22:J57" si="8">A28</f>
        <v>OIS</v>
      </c>
      <c r="K22" s="890" t="e">
        <f t="shared" ref="K22:K57" ca="1" si="9">IF(ISBLANK(H28),"--",H28)</f>
        <v>#NAME?</v>
      </c>
      <c r="L22" s="893" t="str">
        <f ca="1">IFERROR(_xll.qlRateHelperQuoteName(K22,Trigger),"--")</f>
        <v>--</v>
      </c>
      <c r="M22" s="892" t="str">
        <f ca="1">IFERROR(_xll.qlRateHelperQuoteValue($K22,Trigger),"--")</f>
        <v>--</v>
      </c>
      <c r="N22" s="891" t="b">
        <v>1</v>
      </c>
      <c r="O22" s="890">
        <v>50</v>
      </c>
      <c r="P22" s="890">
        <v>1</v>
      </c>
      <c r="Q22" s="889" t="str">
        <f ca="1">IFERROR(_xll.qlRateHelperEarliestDate(K22,Trigger),"--")</f>
        <v>--</v>
      </c>
      <c r="R22" s="889" t="str">
        <f ca="1">IFERROR(_xll.qlRateHelperPillarDate(K22,Trigger),"--")</f>
        <v>--</v>
      </c>
      <c r="T22" s="4" t="str">
        <f t="shared" ca="1" si="0"/>
        <v/>
      </c>
      <c r="U22" s="4" t="e">
        <f ca="1"/>
        <v>#NAME?</v>
      </c>
      <c r="V22" s="4" t="str">
        <f ca="1">IFERROR(_xll.qlRateHelperQuoteName(U22,Trigger),"")</f>
        <v/>
      </c>
      <c r="W22" s="888" t="str">
        <f ca="1">IFERROR(_xll.qlRateHelperRate(U22,Trigger),"")</f>
        <v/>
      </c>
      <c r="X22" s="887"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6" t="e">
        <f ca="1"/>
        <v>#NAME?</v>
      </c>
      <c r="AB22" s="913"/>
      <c r="AC22" s="982">
        <v>12</v>
      </c>
      <c r="AD22" s="983" t="e">
        <f ca="1">_xll.qlCalendarEndOfMonth(Calendar,_xll.qlCalendarAdvance(Calendar,AD21,"1m","mf",TRUE),Trigger)</f>
        <v>#NAME?</v>
      </c>
      <c r="AE22" s="982" t="str">
        <f t="shared" si="5"/>
        <v>EURJump12_SYNTHON_Quote</v>
      </c>
      <c r="AF22" s="981" t="e">
        <f ca="1">_xll.qlDayCounterYearFraction("actual/360",AD22,_xll.qlCalendarAdvance(Calendar,AD22,"1D",,,Trigger))</f>
        <v>#NAME?</v>
      </c>
      <c r="AG22" s="978" t="e">
        <f ca="1">IF(_xll.qlQuoteIsValid(AE22,Trigger),_xll.qlQuoteValue(AE22,Trigger),1)</f>
        <v>#NAME?</v>
      </c>
      <c r="AH22" s="980" t="e">
        <f t="shared" ca="1" si="6"/>
        <v>#NAME?</v>
      </c>
      <c r="AI22" s="995"/>
      <c r="AJ22" s="978" t="str">
        <f t="shared" si="7"/>
        <v>EURJump12_SYNTHON_Quote</v>
      </c>
    </row>
    <row r="23" spans="1:36" ht="11.25" customHeight="1" x14ac:dyDescent="0.2">
      <c r="A23" s="873" t="s">
        <v>419</v>
      </c>
      <c r="B23" s="875" t="e">
        <f ca="1">_xll.qlIMMNextCode(B22,TRUE,Trigger)</f>
        <v>#NAME?</v>
      </c>
      <c r="C23" s="909"/>
      <c r="D23" s="909"/>
      <c r="E23" s="876" t="str">
        <f>PROPER(Currency)&amp;FamilyName&amp;$E$19</f>
        <v>Euribor3M</v>
      </c>
      <c r="F23" s="1018" t="e">
        <f ca="1">Currency&amp;"OIS"&amp;B23&amp;QuoteSuffix</f>
        <v>#NAME?</v>
      </c>
      <c r="G23" s="1018">
        <v>0</v>
      </c>
      <c r="H23" s="43"/>
      <c r="J23" s="894" t="str">
        <f t="shared" si="8"/>
        <v>OIS</v>
      </c>
      <c r="K23" s="890" t="e">
        <f t="shared" ca="1" si="9"/>
        <v>#NAME?</v>
      </c>
      <c r="L23" s="893" t="str">
        <f ca="1">IFERROR(_xll.qlRateHelperQuoteName(K23,Trigger),"--")</f>
        <v>--</v>
      </c>
      <c r="M23" s="892" t="str">
        <f ca="1">IFERROR(_xll.qlRateHelperQuoteValue($K23,Trigger),"--")</f>
        <v>--</v>
      </c>
      <c r="N23" s="891" t="b">
        <v>1</v>
      </c>
      <c r="O23" s="890">
        <v>50</v>
      </c>
      <c r="P23" s="890">
        <v>1</v>
      </c>
      <c r="Q23" s="889" t="str">
        <f ca="1">IFERROR(_xll.qlRateHelperEarliestDate(K23,Trigger),"--")</f>
        <v>--</v>
      </c>
      <c r="R23" s="889" t="str">
        <f ca="1">IFERROR(_xll.qlRateHelperPillarDate(K23,Trigger),"--")</f>
        <v>--</v>
      </c>
      <c r="T23" s="4" t="str">
        <f t="shared" ca="1" si="0"/>
        <v/>
      </c>
      <c r="U23" s="4" t="e">
        <f ca="1"/>
        <v>#NAME?</v>
      </c>
      <c r="V23" s="4" t="str">
        <f ca="1">IFERROR(_xll.qlRateHelperQuoteName(U23,Trigger),"")</f>
        <v/>
      </c>
      <c r="W23" s="888" t="str">
        <f ca="1">IFERROR(_xll.qlRateHelperRate(U23,Trigger),"")</f>
        <v/>
      </c>
      <c r="X23" s="887"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6" t="e">
        <f ca="1"/>
        <v>#NAME?</v>
      </c>
      <c r="AB23" s="913"/>
      <c r="AC23" s="976">
        <v>13</v>
      </c>
      <c r="AD23" s="977" t="e">
        <f ca="1">_xll.qlCalendarAdjust(Calendar,DATE(YEAR(AD11)+1,12,31),"preceding",Trigger)</f>
        <v>#NAME?</v>
      </c>
      <c r="AE23" s="976" t="str">
        <f t="shared" si="5"/>
        <v>EURJump13_SYNTHON_Quote</v>
      </c>
      <c r="AF23" s="975" t="e">
        <f ca="1">_xll.qlDayCounterYearFraction("actual/360",AD23,_xll.qlCalendarAdvance(Calendar,AD23,"1D",,,Trigger))</f>
        <v>#NAME?</v>
      </c>
      <c r="AG23" s="972" t="e">
        <f ca="1">IF(_xll.qlQuoteIsValid(AE23,Trigger),_xll.qlQuoteValue(AE23,Trigger),1)</f>
        <v>#NAME?</v>
      </c>
      <c r="AH23" s="974" t="e">
        <f t="shared" ca="1" si="6"/>
        <v>#NAME?</v>
      </c>
      <c r="AI23" s="994"/>
      <c r="AJ23" s="972" t="str">
        <f t="shared" si="7"/>
        <v>EURJump13_SYNTHON_Quote</v>
      </c>
    </row>
    <row r="24" spans="1:36" ht="11.25" customHeight="1" x14ac:dyDescent="0.2">
      <c r="A24" s="873" t="s">
        <v>419</v>
      </c>
      <c r="B24" s="875" t="e">
        <f ca="1">_xll.qlIMMNextCode(B23,TRUE,Trigger)</f>
        <v>#NAME?</v>
      </c>
      <c r="C24" s="909"/>
      <c r="D24" s="909"/>
      <c r="E24" s="876" t="str">
        <f>PROPER(Currency)&amp;FamilyName&amp;$E$19</f>
        <v>Euribor3M</v>
      </c>
      <c r="F24" s="1018" t="e">
        <f ca="1">Currency&amp;"OIS"&amp;B24&amp;QuoteSuffix</f>
        <v>#NAME?</v>
      </c>
      <c r="G24" s="1018">
        <v>0</v>
      </c>
      <c r="H24" s="43"/>
      <c r="J24" s="894" t="str">
        <f t="shared" si="8"/>
        <v>OIS</v>
      </c>
      <c r="K24" s="890" t="e">
        <f t="shared" ca="1" si="9"/>
        <v>#NAME?</v>
      </c>
      <c r="L24" s="893" t="str">
        <f ca="1">IFERROR(_xll.qlRateHelperQuoteName(K24,Trigger),"--")</f>
        <v>--</v>
      </c>
      <c r="M24" s="892" t="str">
        <f ca="1">IFERROR(_xll.qlRateHelperQuoteValue($K24,Trigger),"--")</f>
        <v>--</v>
      </c>
      <c r="N24" s="891" t="b">
        <v>1</v>
      </c>
      <c r="O24" s="890">
        <v>50</v>
      </c>
      <c r="P24" s="890">
        <v>1</v>
      </c>
      <c r="Q24" s="889" t="str">
        <f ca="1">IFERROR(_xll.qlRateHelperEarliestDate(K24,Trigger),"--")</f>
        <v>--</v>
      </c>
      <c r="R24" s="889" t="str">
        <f ca="1">IFERROR(_xll.qlRateHelperPillarDate(K24,Trigger),"--")</f>
        <v>--</v>
      </c>
      <c r="T24" s="4" t="str">
        <f t="shared" ca="1" si="0"/>
        <v/>
      </c>
      <c r="U24" s="4" t="e">
        <f ca="1"/>
        <v>#NAME?</v>
      </c>
      <c r="V24" s="4" t="str">
        <f ca="1">IFERROR(_xll.qlRateHelperQuoteName(U24,Trigger),"")</f>
        <v/>
      </c>
      <c r="W24" s="888" t="str">
        <f ca="1">IFERROR(_xll.qlRateHelperRate(U24,Trigger),"")</f>
        <v/>
      </c>
      <c r="X24" s="887"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6" t="e">
        <f ca="1"/>
        <v>#NAME?</v>
      </c>
      <c r="AB24" s="913"/>
    </row>
    <row r="25" spans="1:36" ht="11.25" customHeight="1" x14ac:dyDescent="0.2">
      <c r="A25" s="869" t="s">
        <v>419</v>
      </c>
      <c r="B25" s="871" t="e">
        <f ca="1">_xll.qlIMMNextCode(B24,TRUE,Trigger)</f>
        <v>#NAME?</v>
      </c>
      <c r="C25" s="899"/>
      <c r="D25" s="899"/>
      <c r="E25" s="984" t="str">
        <f>PROPER(Currency)&amp;FamilyName&amp;$E$19</f>
        <v>Euribor3M</v>
      </c>
      <c r="F25" s="1017" t="e">
        <f ca="1">Currency&amp;"OIS"&amp;B25&amp;QuoteSuffix</f>
        <v>#NAME?</v>
      </c>
      <c r="G25" s="1017">
        <v>0</v>
      </c>
      <c r="H25" s="38"/>
      <c r="J25" s="894" t="str">
        <f t="shared" si="8"/>
        <v>OIS</v>
      </c>
      <c r="K25" s="890" t="e">
        <f t="shared" ca="1" si="9"/>
        <v>#NAME?</v>
      </c>
      <c r="L25" s="893" t="str">
        <f ca="1">IFERROR(_xll.qlRateHelperQuoteName(K25,Trigger),"--")</f>
        <v>--</v>
      </c>
      <c r="M25" s="892" t="str">
        <f ca="1">IFERROR(_xll.qlRateHelperQuoteValue($K25,Trigger),"--")</f>
        <v>--</v>
      </c>
      <c r="N25" s="891" t="b">
        <v>1</v>
      </c>
      <c r="O25" s="890">
        <v>50</v>
      </c>
      <c r="P25" s="890">
        <v>1</v>
      </c>
      <c r="Q25" s="889" t="str">
        <f ca="1">IFERROR(_xll.qlRateHelperEarliestDate(K25,Trigger),"--")</f>
        <v>--</v>
      </c>
      <c r="R25" s="889" t="str">
        <f ca="1">IFERROR(_xll.qlRateHelperPillarDate(K25,Trigger),"--")</f>
        <v>--</v>
      </c>
      <c r="T25" s="4" t="str">
        <f t="shared" ca="1" si="0"/>
        <v/>
      </c>
      <c r="U25" s="4" t="e">
        <f ca="1"/>
        <v>#NAME?</v>
      </c>
      <c r="V25" s="4" t="str">
        <f ca="1">IFERROR(_xll.qlRateHelperQuoteName(U25,Trigger),"")</f>
        <v/>
      </c>
      <c r="W25" s="888" t="str">
        <f ca="1">IFERROR(_xll.qlRateHelperRate(U25,Trigger),"")</f>
        <v/>
      </c>
      <c r="X25" s="887"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6" t="e">
        <f ca="1"/>
        <v>#NAME?</v>
      </c>
      <c r="AB25" s="913"/>
    </row>
    <row r="26" spans="1:36" ht="11.25" customHeight="1" x14ac:dyDescent="0.2">
      <c r="E26" s="238" t="s">
        <v>117</v>
      </c>
      <c r="J26" s="894" t="str">
        <f t="shared" si="8"/>
        <v>OIS</v>
      </c>
      <c r="K26" s="890" t="e">
        <f t="shared" ca="1" si="9"/>
        <v>#NAME?</v>
      </c>
      <c r="L26" s="893" t="str">
        <f ca="1">IFERROR(_xll.qlRateHelperQuoteName(K26,Trigger),"--")</f>
        <v>--</v>
      </c>
      <c r="M26" s="892" t="str">
        <f ca="1">IFERROR(_xll.qlRateHelperQuoteValue($K26,Trigger),"--")</f>
        <v>--</v>
      </c>
      <c r="N26" s="891" t="b">
        <v>1</v>
      </c>
      <c r="O26" s="890">
        <v>50</v>
      </c>
      <c r="P26" s="890">
        <v>1</v>
      </c>
      <c r="Q26" s="889" t="str">
        <f ca="1">IFERROR(_xll.qlRateHelperEarliestDate(K26,Trigger),"--")</f>
        <v>--</v>
      </c>
      <c r="R26" s="889" t="str">
        <f ca="1">IFERROR(_xll.qlRateHelperPillarDate(K26,Trigger),"--")</f>
        <v>--</v>
      </c>
      <c r="T26" s="4" t="str">
        <f t="shared" ca="1" si="0"/>
        <v/>
      </c>
      <c r="U26" s="4" t="e">
        <f ca="1"/>
        <v>#NAME?</v>
      </c>
      <c r="V26" s="4" t="str">
        <f ca="1">IFERROR(_xll.qlRateHelperQuoteName(U26,Trigger),"")</f>
        <v/>
      </c>
      <c r="W26" s="888" t="str">
        <f ca="1">IFERROR(_xll.qlRateHelperRate(U26,Trigger),"")</f>
        <v/>
      </c>
      <c r="X26" s="887"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6" t="e">
        <f ca="1"/>
        <v>#NAME?</v>
      </c>
      <c r="AB26" s="913"/>
    </row>
    <row r="27" spans="1:36" ht="11.25" customHeight="1" x14ac:dyDescent="0.2">
      <c r="A27" s="145" t="s">
        <v>388</v>
      </c>
      <c r="B27" s="145" t="s">
        <v>107</v>
      </c>
      <c r="C27" s="145" t="s">
        <v>418</v>
      </c>
      <c r="D27" s="145"/>
      <c r="E27" s="145" t="s">
        <v>14</v>
      </c>
      <c r="F27" s="145" t="s">
        <v>384</v>
      </c>
      <c r="G27" s="145"/>
      <c r="H27" s="145" t="s">
        <v>383</v>
      </c>
      <c r="J27" s="894" t="str">
        <f t="shared" si="8"/>
        <v>OIS</v>
      </c>
      <c r="K27" s="890" t="e">
        <f t="shared" ca="1" si="9"/>
        <v>#NAME?</v>
      </c>
      <c r="L27" s="893" t="str">
        <f ca="1">IFERROR(_xll.qlRateHelperQuoteName(K27,Trigger),"--")</f>
        <v>--</v>
      </c>
      <c r="M27" s="892" t="str">
        <f ca="1">IFERROR(_xll.qlRateHelperQuoteValue($K27,Trigger),"--")</f>
        <v>--</v>
      </c>
      <c r="N27" s="891" t="b">
        <v>1</v>
      </c>
      <c r="O27" s="890">
        <v>50</v>
      </c>
      <c r="P27" s="890">
        <v>1</v>
      </c>
      <c r="Q27" s="889" t="str">
        <f ca="1">IFERROR(_xll.qlRateHelperEarliestDate(K27,Trigger),"--")</f>
        <v>--</v>
      </c>
      <c r="R27" s="889" t="str">
        <f ca="1">IFERROR(_xll.qlRateHelperPillarDate(K27,Trigger),"--")</f>
        <v>--</v>
      </c>
      <c r="T27" s="4" t="str">
        <f t="shared" ca="1" si="0"/>
        <v/>
      </c>
      <c r="U27" s="4" t="e">
        <f ca="1"/>
        <v>#NAME?</v>
      </c>
      <c r="V27" s="4" t="str">
        <f ca="1">IFERROR(_xll.qlRateHelperQuoteName(U27,Trigger),"")</f>
        <v/>
      </c>
      <c r="W27" s="888" t="str">
        <f ca="1">IFERROR(_xll.qlRateHelperRate(U27,Trigger),"")</f>
        <v/>
      </c>
      <c r="X27" s="887"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6" t="e">
        <f ca="1"/>
        <v>#NAME?</v>
      </c>
      <c r="AB27" s="913"/>
    </row>
    <row r="28" spans="1:36" ht="11.25" customHeight="1" x14ac:dyDescent="0.2">
      <c r="A28" s="896" t="s">
        <v>135</v>
      </c>
      <c r="B28" s="898" t="s">
        <v>353</v>
      </c>
      <c r="C28" s="897">
        <f t="shared" ref="C28:C63" si="10">IF(B28="O/N",0,IF(B28="T/N",1,2))</f>
        <v>2</v>
      </c>
      <c r="D28" s="909"/>
      <c r="E28" s="911" t="str">
        <f t="shared" ref="E28:E63" si="11">$E$1</f>
        <v>Eonia</v>
      </c>
      <c r="F28" s="1019" t="str">
        <f t="shared" ref="F28:F63" si="12">Currency&amp;$E$26&amp;IF($B28="1W","SW",$B28)&amp;QuoteSuffix</f>
        <v>EUREONSW_Quote</v>
      </c>
      <c r="G28" s="909"/>
      <c r="H28" s="47" t="e">
        <f ca="1">_xll.qlOISRateHelper(,C28,B28,F28,$E28,,Permanent,Trigger,ObjectOverwrite)</f>
        <v>#NAME?</v>
      </c>
      <c r="J28" s="894" t="str">
        <f t="shared" si="8"/>
        <v>OIS</v>
      </c>
      <c r="K28" s="890" t="e">
        <f t="shared" ca="1" si="9"/>
        <v>#NAME?</v>
      </c>
      <c r="L28" s="893" t="str">
        <f ca="1">IFERROR(_xll.qlRateHelperQuoteName(K28,Trigger),"--")</f>
        <v>--</v>
      </c>
      <c r="M28" s="892" t="str">
        <f ca="1">IFERROR(_xll.qlRateHelperQuoteValue($K28,Trigger),"--")</f>
        <v>--</v>
      </c>
      <c r="N28" s="891" t="b">
        <v>1</v>
      </c>
      <c r="O28" s="890">
        <v>50</v>
      </c>
      <c r="P28" s="890">
        <v>1</v>
      </c>
      <c r="Q28" s="889" t="str">
        <f ca="1">IFERROR(_xll.qlRateHelperEarliestDate(K28,Trigger),"--")</f>
        <v>--</v>
      </c>
      <c r="R28" s="889" t="str">
        <f ca="1">IFERROR(_xll.qlRateHelperPillarDate(K28,Trigger),"--")</f>
        <v>--</v>
      </c>
      <c r="T28" s="4" t="str">
        <f t="shared" ca="1" si="0"/>
        <v/>
      </c>
      <c r="U28" s="4" t="e">
        <f ca="1"/>
        <v>#NAME?</v>
      </c>
      <c r="V28" s="4" t="str">
        <f ca="1">IFERROR(_xll.qlRateHelperQuoteName(U28,Trigger),"")</f>
        <v/>
      </c>
      <c r="W28" s="888" t="str">
        <f ca="1">IFERROR(_xll.qlRateHelperRate(U28,Trigger),"")</f>
        <v/>
      </c>
      <c r="X28" s="887"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6" t="e">
        <f ca="1"/>
        <v>#NAME?</v>
      </c>
      <c r="AB28" s="913"/>
    </row>
    <row r="29" spans="1:36" ht="11.25" customHeight="1" x14ac:dyDescent="0.2">
      <c r="A29" s="873" t="s">
        <v>135</v>
      </c>
      <c r="B29" s="875" t="s">
        <v>177</v>
      </c>
      <c r="C29" s="874">
        <f t="shared" si="10"/>
        <v>2</v>
      </c>
      <c r="D29" s="909"/>
      <c r="E29" s="911" t="str">
        <f t="shared" si="11"/>
        <v>Eonia</v>
      </c>
      <c r="F29" s="1018" t="str">
        <f t="shared" si="12"/>
        <v>EUREON2W_Quote</v>
      </c>
      <c r="G29" s="909"/>
      <c r="H29" s="43" t="e">
        <f ca="1">_xll.qlOISRateHelper(,C29,B29,F29,$E29,,Permanent,Trigger,ObjectOverwrite)</f>
        <v>#NAME?</v>
      </c>
      <c r="J29" s="894" t="str">
        <f t="shared" si="8"/>
        <v>OIS</v>
      </c>
      <c r="K29" s="890" t="e">
        <f t="shared" ca="1" si="9"/>
        <v>#NAME?</v>
      </c>
      <c r="L29" s="893" t="str">
        <f ca="1">IFERROR(_xll.qlRateHelperQuoteName(K29,Trigger),"--")</f>
        <v>--</v>
      </c>
      <c r="M29" s="892" t="str">
        <f ca="1">IFERROR(_xll.qlRateHelperQuoteValue($K29,Trigger),"--")</f>
        <v>--</v>
      </c>
      <c r="N29" s="891" t="b">
        <v>1</v>
      </c>
      <c r="O29" s="890">
        <v>50</v>
      </c>
      <c r="P29" s="890">
        <v>1</v>
      </c>
      <c r="Q29" s="889" t="str">
        <f ca="1">IFERROR(_xll.qlRateHelperEarliestDate(K29,Trigger),"--")</f>
        <v>--</v>
      </c>
      <c r="R29" s="889" t="str">
        <f ca="1">IFERROR(_xll.qlRateHelperPillarDate(K29,Trigger),"--")</f>
        <v>--</v>
      </c>
      <c r="T29" s="4" t="str">
        <f t="shared" ca="1" si="0"/>
        <v/>
      </c>
      <c r="U29" s="4" t="e">
        <f ca="1"/>
        <v>#NAME?</v>
      </c>
      <c r="V29" s="4" t="str">
        <f ca="1">IFERROR(_xll.qlRateHelperQuoteName(U29,Trigger),"")</f>
        <v/>
      </c>
      <c r="W29" s="888" t="str">
        <f ca="1">IFERROR(_xll.qlRateHelperRate(U29,Trigger),"")</f>
        <v/>
      </c>
      <c r="X29" s="887"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6" t="e">
        <f ca="1"/>
        <v>#NAME?</v>
      </c>
      <c r="AB29" s="913"/>
    </row>
    <row r="30" spans="1:36" ht="11.25" customHeight="1" x14ac:dyDescent="0.2">
      <c r="A30" s="873" t="s">
        <v>135</v>
      </c>
      <c r="B30" s="875" t="s">
        <v>176</v>
      </c>
      <c r="C30" s="874">
        <f t="shared" si="10"/>
        <v>2</v>
      </c>
      <c r="D30" s="909"/>
      <c r="E30" s="911" t="str">
        <f t="shared" si="11"/>
        <v>Eonia</v>
      </c>
      <c r="F30" s="1018" t="str">
        <f t="shared" si="12"/>
        <v>EUREON3W_Quote</v>
      </c>
      <c r="G30" s="909"/>
      <c r="H30" s="43" t="e">
        <f ca="1">_xll.qlOISRateHelper(,C30,B30,F30,$E30,,Permanent,Trigger,ObjectOverwrite)</f>
        <v>#NAME?</v>
      </c>
      <c r="J30" s="894" t="str">
        <f t="shared" si="8"/>
        <v>OIS</v>
      </c>
      <c r="K30" s="890" t="e">
        <f t="shared" ca="1" si="9"/>
        <v>#NAME?</v>
      </c>
      <c r="L30" s="893" t="str">
        <f ca="1">IFERROR(_xll.qlRateHelperQuoteName(K30,Trigger),"--")</f>
        <v>--</v>
      </c>
      <c r="M30" s="892" t="str">
        <f ca="1">IFERROR(_xll.qlRateHelperQuoteValue($K30,Trigger),"--")</f>
        <v>--</v>
      </c>
      <c r="N30" s="891" t="b">
        <v>1</v>
      </c>
      <c r="O30" s="890">
        <v>50</v>
      </c>
      <c r="P30" s="890">
        <v>1</v>
      </c>
      <c r="Q30" s="889" t="str">
        <f ca="1">IFERROR(_xll.qlRateHelperEarliestDate(K30,Trigger),"--")</f>
        <v>--</v>
      </c>
      <c r="R30" s="889" t="str">
        <f ca="1">IFERROR(_xll.qlRateHelperPillarDate(K30,Trigger),"--")</f>
        <v>--</v>
      </c>
      <c r="T30" s="4" t="str">
        <f t="shared" ca="1" si="0"/>
        <v/>
      </c>
      <c r="U30" s="4" t="e">
        <f ca="1"/>
        <v>#NAME?</v>
      </c>
      <c r="V30" s="4" t="str">
        <f ca="1">IFERROR(_xll.qlRateHelperQuoteName(U30,Trigger),"")</f>
        <v/>
      </c>
      <c r="W30" s="888" t="str">
        <f ca="1">IFERROR(_xll.qlRateHelperRate(U30,Trigger),"")</f>
        <v/>
      </c>
      <c r="X30" s="887"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6" t="e">
        <f ca="1"/>
        <v>#NAME?</v>
      </c>
      <c r="AB30" s="913"/>
    </row>
    <row r="31" spans="1:36" ht="11.25" customHeight="1" x14ac:dyDescent="0.2">
      <c r="A31" s="873" t="s">
        <v>135</v>
      </c>
      <c r="B31" s="875" t="s">
        <v>175</v>
      </c>
      <c r="C31" s="874">
        <f t="shared" si="10"/>
        <v>2</v>
      </c>
      <c r="D31" s="909"/>
      <c r="E31" s="911" t="str">
        <f t="shared" si="11"/>
        <v>Eonia</v>
      </c>
      <c r="F31" s="1018" t="str">
        <f t="shared" si="12"/>
        <v>EUREON1M_Quote</v>
      </c>
      <c r="G31" s="909"/>
      <c r="H31" s="43" t="e">
        <f ca="1">_xll.qlOISRateHelper(,C31,B31,F31,$E31,,Permanent,Trigger,ObjectOverwrite)</f>
        <v>#NAME?</v>
      </c>
      <c r="J31" s="894" t="str">
        <f t="shared" si="8"/>
        <v>OIS</v>
      </c>
      <c r="K31" s="890" t="e">
        <f t="shared" ca="1" si="9"/>
        <v>#NAME?</v>
      </c>
      <c r="L31" s="893" t="str">
        <f ca="1">IFERROR(_xll.qlRateHelperQuoteName(K31,Trigger),"--")</f>
        <v>--</v>
      </c>
      <c r="M31" s="892" t="str">
        <f ca="1">IFERROR(_xll.qlRateHelperQuoteValue($K31,Trigger),"--")</f>
        <v>--</v>
      </c>
      <c r="N31" s="891" t="b">
        <v>1</v>
      </c>
      <c r="O31" s="890">
        <v>50</v>
      </c>
      <c r="P31" s="890">
        <v>1</v>
      </c>
      <c r="Q31" s="889" t="str">
        <f ca="1">IFERROR(_xll.qlRateHelperEarliestDate(K31,Trigger),"--")</f>
        <v>--</v>
      </c>
      <c r="R31" s="889" t="str">
        <f ca="1">IFERROR(_xll.qlRateHelperPillarDate(K31,Trigger),"--")</f>
        <v>--</v>
      </c>
      <c r="T31" s="4" t="str">
        <f t="shared" ca="1" si="0"/>
        <v/>
      </c>
      <c r="U31" s="4" t="e">
        <f ca="1"/>
        <v>#NAME?</v>
      </c>
      <c r="V31" s="4" t="str">
        <f ca="1">IFERROR(_xll.qlRateHelperQuoteName(U31,Trigger),"")</f>
        <v/>
      </c>
      <c r="W31" s="888" t="str">
        <f ca="1">IFERROR(_xll.qlRateHelperRate(U31,Trigger),"")</f>
        <v/>
      </c>
      <c r="X31" s="887"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6" t="e">
        <f ca="1"/>
        <v>#NAME?</v>
      </c>
      <c r="AB31" s="913"/>
    </row>
    <row r="32" spans="1:36" ht="11.25" customHeight="1" x14ac:dyDescent="0.2">
      <c r="A32" s="873" t="s">
        <v>135</v>
      </c>
      <c r="B32" s="875" t="s">
        <v>174</v>
      </c>
      <c r="C32" s="874">
        <f t="shared" si="10"/>
        <v>2</v>
      </c>
      <c r="D32" s="909"/>
      <c r="E32" s="911" t="str">
        <f t="shared" si="11"/>
        <v>Eonia</v>
      </c>
      <c r="F32" s="1018" t="str">
        <f t="shared" si="12"/>
        <v>EUREON2M_Quote</v>
      </c>
      <c r="G32" s="909"/>
      <c r="H32" s="43" t="e">
        <f ca="1">_xll.qlOISRateHelper(,C32,B32,F32,$E32,,Permanent,Trigger,ObjectOverwrite)</f>
        <v>#NAME?</v>
      </c>
      <c r="J32" s="894" t="str">
        <f t="shared" si="8"/>
        <v>OIS</v>
      </c>
      <c r="K32" s="890" t="e">
        <f t="shared" ca="1" si="9"/>
        <v>#NAME?</v>
      </c>
      <c r="L32" s="893" t="str">
        <f ca="1">IFERROR(_xll.qlRateHelperQuoteName(K32,Trigger),"--")</f>
        <v>--</v>
      </c>
      <c r="M32" s="892" t="str">
        <f ca="1">IFERROR(_xll.qlRateHelperQuoteValue($K32,Trigger),"--")</f>
        <v>--</v>
      </c>
      <c r="N32" s="891" t="b">
        <v>1</v>
      </c>
      <c r="O32" s="890">
        <v>50</v>
      </c>
      <c r="P32" s="890">
        <v>1</v>
      </c>
      <c r="Q32" s="889" t="str">
        <f ca="1">IFERROR(_xll.qlRateHelperEarliestDate(K32,Trigger),"--")</f>
        <v>--</v>
      </c>
      <c r="R32" s="889" t="str">
        <f ca="1">IFERROR(_xll.qlRateHelperPillarDate(K32,Trigger),"--")</f>
        <v>--</v>
      </c>
      <c r="T32" s="4" t="str">
        <f t="shared" ca="1" si="0"/>
        <v/>
      </c>
      <c r="U32" s="4" t="e">
        <f ca="1"/>
        <v>#NAME?</v>
      </c>
      <c r="V32" s="4" t="str">
        <f ca="1">IFERROR(_xll.qlRateHelperQuoteName(U32,Trigger),"")</f>
        <v/>
      </c>
      <c r="W32" s="888" t="str">
        <f ca="1">IFERROR(_xll.qlRateHelperRate(U32,Trigger),"")</f>
        <v/>
      </c>
      <c r="X32" s="887"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6" t="e">
        <f ca="1"/>
        <v>#NAME?</v>
      </c>
      <c r="AB32" s="913"/>
    </row>
    <row r="33" spans="1:28" ht="11.25" customHeight="1" x14ac:dyDescent="0.2">
      <c r="A33" s="873" t="s">
        <v>135</v>
      </c>
      <c r="B33" s="875" t="s">
        <v>127</v>
      </c>
      <c r="C33" s="874">
        <f t="shared" si="10"/>
        <v>2</v>
      </c>
      <c r="D33" s="909"/>
      <c r="E33" s="911" t="str">
        <f t="shared" si="11"/>
        <v>Eonia</v>
      </c>
      <c r="F33" s="1018" t="str">
        <f t="shared" si="12"/>
        <v>EUREON3M_Quote</v>
      </c>
      <c r="G33" s="909"/>
      <c r="H33" s="43" t="e">
        <f ca="1">_xll.qlOISRateHelper(,C33,B33,F33,$E33,,Permanent,Trigger,ObjectOverwrite)</f>
        <v>#NAME?</v>
      </c>
      <c r="J33" s="894" t="str">
        <f t="shared" si="8"/>
        <v>OIS</v>
      </c>
      <c r="K33" s="890" t="e">
        <f t="shared" ca="1" si="9"/>
        <v>#NAME?</v>
      </c>
      <c r="L33" s="893" t="str">
        <f ca="1">IFERROR(_xll.qlRateHelperQuoteName(K33,Trigger),"--")</f>
        <v>--</v>
      </c>
      <c r="M33" s="892" t="str">
        <f ca="1">IFERROR(_xll.qlRateHelperQuoteValue($K33,Trigger),"--")</f>
        <v>--</v>
      </c>
      <c r="N33" s="891" t="b">
        <v>1</v>
      </c>
      <c r="O33" s="890">
        <v>50</v>
      </c>
      <c r="P33" s="890">
        <v>1</v>
      </c>
      <c r="Q33" s="889" t="str">
        <f ca="1">IFERROR(_xll.qlRateHelperEarliestDate(K33,Trigger),"--")</f>
        <v>--</v>
      </c>
      <c r="R33" s="889" t="str">
        <f ca="1">IFERROR(_xll.qlRateHelperPillarDate(K33,Trigger),"--")</f>
        <v>--</v>
      </c>
      <c r="T33" s="4" t="str">
        <f t="shared" ca="1" si="0"/>
        <v/>
      </c>
      <c r="U33" s="4" t="e">
        <f ca="1"/>
        <v>#NAME?</v>
      </c>
      <c r="V33" s="4" t="str">
        <f ca="1">IFERROR(_xll.qlRateHelperQuoteName(U33,Trigger),"")</f>
        <v/>
      </c>
      <c r="W33" s="888" t="str">
        <f ca="1">IFERROR(_xll.qlRateHelperRate(U33,Trigger),"")</f>
        <v/>
      </c>
      <c r="X33" s="887"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6" t="e">
        <f ca="1"/>
        <v>#NAME?</v>
      </c>
      <c r="AB33" s="913"/>
    </row>
    <row r="34" spans="1:28" ht="11.25" customHeight="1" x14ac:dyDescent="0.2">
      <c r="A34" s="873" t="s">
        <v>135</v>
      </c>
      <c r="B34" s="875" t="s">
        <v>173</v>
      </c>
      <c r="C34" s="874">
        <f t="shared" si="10"/>
        <v>2</v>
      </c>
      <c r="D34" s="909"/>
      <c r="E34" s="911" t="str">
        <f t="shared" si="11"/>
        <v>Eonia</v>
      </c>
      <c r="F34" s="1018" t="str">
        <f t="shared" si="12"/>
        <v>EUREON4M_Quote</v>
      </c>
      <c r="G34" s="909"/>
      <c r="H34" s="43" t="e">
        <f ca="1">_xll.qlOISRateHelper(,C34,B34,F34,$E34,,Permanent,Trigger,ObjectOverwrite)</f>
        <v>#NAME?</v>
      </c>
      <c r="J34" s="894" t="str">
        <f t="shared" si="8"/>
        <v>OIS</v>
      </c>
      <c r="K34" s="890" t="e">
        <f t="shared" ca="1" si="9"/>
        <v>#NAME?</v>
      </c>
      <c r="L34" s="893" t="str">
        <f ca="1">IFERROR(_xll.qlRateHelperQuoteName(K34,Trigger),"--")</f>
        <v>--</v>
      </c>
      <c r="M34" s="892" t="str">
        <f ca="1">IFERROR(_xll.qlRateHelperQuoteValue($K34,Trigger),"--")</f>
        <v>--</v>
      </c>
      <c r="N34" s="891" t="b">
        <v>1</v>
      </c>
      <c r="O34" s="890">
        <v>50</v>
      </c>
      <c r="P34" s="890">
        <v>1</v>
      </c>
      <c r="Q34" s="889" t="str">
        <f ca="1">IFERROR(_xll.qlRateHelperEarliestDate(K34,Trigger),"--")</f>
        <v>--</v>
      </c>
      <c r="R34" s="889" t="str">
        <f ca="1">IFERROR(_xll.qlRateHelperPillarDate(K34,Trigger),"--")</f>
        <v>--</v>
      </c>
      <c r="T34" s="4" t="str">
        <f t="shared" ca="1" si="0"/>
        <v/>
      </c>
      <c r="U34" s="4" t="e">
        <f ca="1"/>
        <v>#NAME?</v>
      </c>
      <c r="V34" s="4" t="str">
        <f ca="1">IFERROR(_xll.qlRateHelperQuoteName(U34,Trigger),"")</f>
        <v/>
      </c>
      <c r="W34" s="888" t="str">
        <f ca="1">IFERROR(_xll.qlRateHelperRate(U34,Trigger),"")</f>
        <v/>
      </c>
      <c r="X34" s="887"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6" t="e">
        <f ca="1"/>
        <v>#NAME?</v>
      </c>
      <c r="AB34" s="913"/>
    </row>
    <row r="35" spans="1:28" ht="11.25" customHeight="1" x14ac:dyDescent="0.2">
      <c r="A35" s="873" t="s">
        <v>135</v>
      </c>
      <c r="B35" s="875" t="s">
        <v>172</v>
      </c>
      <c r="C35" s="874">
        <f t="shared" si="10"/>
        <v>2</v>
      </c>
      <c r="D35" s="909"/>
      <c r="E35" s="911" t="str">
        <f t="shared" si="11"/>
        <v>Eonia</v>
      </c>
      <c r="F35" s="1018" t="str">
        <f t="shared" si="12"/>
        <v>EUREON5M_Quote</v>
      </c>
      <c r="G35" s="909"/>
      <c r="H35" s="43" t="e">
        <f ca="1">_xll.qlOISRateHelper(,C35,B35,F35,$E35,,Permanent,Trigger,ObjectOverwrite)</f>
        <v>#NAME?</v>
      </c>
      <c r="J35" s="894" t="str">
        <f t="shared" si="8"/>
        <v>OIS</v>
      </c>
      <c r="K35" s="890" t="e">
        <f t="shared" ca="1" si="9"/>
        <v>#NAME?</v>
      </c>
      <c r="L35" s="893" t="str">
        <f ca="1">IFERROR(_xll.qlRateHelperQuoteName(K35,Trigger),"--")</f>
        <v>--</v>
      </c>
      <c r="M35" s="892" t="str">
        <f ca="1">IFERROR(_xll.qlRateHelperQuoteValue($K35,Trigger),"--")</f>
        <v>--</v>
      </c>
      <c r="N35" s="891" t="b">
        <v>1</v>
      </c>
      <c r="O35" s="890">
        <v>50</v>
      </c>
      <c r="P35" s="890">
        <v>1</v>
      </c>
      <c r="Q35" s="889" t="str">
        <f ca="1">IFERROR(_xll.qlRateHelperEarliestDate(K35,Trigger),"--")</f>
        <v>--</v>
      </c>
      <c r="R35" s="889" t="str">
        <f ca="1">IFERROR(_xll.qlRateHelperPillarDate(K35,Trigger),"--")</f>
        <v>--</v>
      </c>
      <c r="T35" s="4" t="str">
        <f t="shared" ref="T35:T57" ca="1" si="13">IFERROR(INDEX($J$3:$J$57,MATCH(V35,$L$3:$L$57,0),1),"")</f>
        <v/>
      </c>
      <c r="U35" s="4" t="e">
        <f ca="1"/>
        <v>#NAME?</v>
      </c>
      <c r="V35" s="4" t="str">
        <f ca="1">IFERROR(_xll.qlRateHelperQuoteName(U35,Trigger),"")</f>
        <v/>
      </c>
      <c r="W35" s="888" t="str">
        <f ca="1">IFERROR(_xll.qlRateHelperRate(U35,Trigger),"")</f>
        <v/>
      </c>
      <c r="X35" s="887"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6" t="e">
        <f ca="1"/>
        <v>#NAME?</v>
      </c>
      <c r="AB35" s="913"/>
    </row>
    <row r="36" spans="1:28" ht="11.25" customHeight="1" x14ac:dyDescent="0.2">
      <c r="A36" s="873" t="s">
        <v>135</v>
      </c>
      <c r="B36" s="875" t="s">
        <v>92</v>
      </c>
      <c r="C36" s="874">
        <f t="shared" si="10"/>
        <v>2</v>
      </c>
      <c r="D36" s="909"/>
      <c r="E36" s="911" t="str">
        <f t="shared" si="11"/>
        <v>Eonia</v>
      </c>
      <c r="F36" s="1018" t="str">
        <f t="shared" si="12"/>
        <v>EUREON6M_Quote</v>
      </c>
      <c r="G36" s="909"/>
      <c r="H36" s="43" t="e">
        <f ca="1">_xll.qlOISRateHelper(,C36,B36,F36,$E36,,Permanent,Trigger,ObjectOverwrite)</f>
        <v>#NAME?</v>
      </c>
      <c r="J36" s="894" t="str">
        <f t="shared" si="8"/>
        <v>OIS</v>
      </c>
      <c r="K36" s="890" t="e">
        <f t="shared" ca="1" si="9"/>
        <v>#NAME?</v>
      </c>
      <c r="L36" s="893" t="str">
        <f ca="1">IFERROR(_xll.qlRateHelperQuoteName(K36,Trigger),"--")</f>
        <v>--</v>
      </c>
      <c r="M36" s="892" t="str">
        <f ca="1">IFERROR(_xll.qlRateHelperQuoteValue($K36,Trigger),"--")</f>
        <v>--</v>
      </c>
      <c r="N36" s="891" t="b">
        <v>1</v>
      </c>
      <c r="O36" s="890">
        <v>50</v>
      </c>
      <c r="P36" s="890">
        <v>1</v>
      </c>
      <c r="Q36" s="889" t="str">
        <f ca="1">IFERROR(_xll.qlRateHelperEarliestDate(K36,Trigger),"--")</f>
        <v>--</v>
      </c>
      <c r="R36" s="889" t="str">
        <f ca="1">IFERROR(_xll.qlRateHelperPillarDate(K36,Trigger),"--")</f>
        <v>--</v>
      </c>
      <c r="T36" s="4" t="str">
        <f t="shared" ca="1" si="13"/>
        <v/>
      </c>
      <c r="U36" s="4" t="e">
        <f ca="1"/>
        <v>#NAME?</v>
      </c>
      <c r="V36" s="4" t="str">
        <f ca="1">IFERROR(_xll.qlRateHelperQuoteName(U36,Trigger),"")</f>
        <v/>
      </c>
      <c r="W36" s="888" t="str">
        <f ca="1">IFERROR(_xll.qlRateHelperRate(U36,Trigger),"")</f>
        <v/>
      </c>
      <c r="X36" s="887"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6" t="e">
        <f ca="1"/>
        <v>#NAME?</v>
      </c>
      <c r="AB36" s="913"/>
    </row>
    <row r="37" spans="1:28" ht="11.25" customHeight="1" x14ac:dyDescent="0.2">
      <c r="A37" s="873" t="s">
        <v>135</v>
      </c>
      <c r="B37" s="875" t="s">
        <v>171</v>
      </c>
      <c r="C37" s="874">
        <f t="shared" si="10"/>
        <v>2</v>
      </c>
      <c r="D37" s="909"/>
      <c r="E37" s="911" t="str">
        <f t="shared" si="11"/>
        <v>Eonia</v>
      </c>
      <c r="F37" s="1018" t="str">
        <f t="shared" si="12"/>
        <v>EUREON7M_Quote</v>
      </c>
      <c r="G37" s="909"/>
      <c r="H37" s="43" t="e">
        <f ca="1">_xll.qlOISRateHelper(,C37,B37,F37,$E37,,Permanent,Trigger,ObjectOverwrite)</f>
        <v>#NAME?</v>
      </c>
      <c r="J37" s="894" t="str">
        <f t="shared" si="8"/>
        <v>OIS</v>
      </c>
      <c r="K37" s="890" t="e">
        <f t="shared" ca="1" si="9"/>
        <v>#NAME?</v>
      </c>
      <c r="L37" s="893" t="str">
        <f ca="1">IFERROR(_xll.qlRateHelperQuoteName(K37,Trigger),"--")</f>
        <v>--</v>
      </c>
      <c r="M37" s="892" t="str">
        <f ca="1">IFERROR(_xll.qlRateHelperQuoteValue($K37,Trigger),"--")</f>
        <v>--</v>
      </c>
      <c r="N37" s="891" t="b">
        <v>1</v>
      </c>
      <c r="O37" s="890">
        <v>50</v>
      </c>
      <c r="P37" s="890">
        <v>1</v>
      </c>
      <c r="Q37" s="889" t="str">
        <f ca="1">IFERROR(_xll.qlRateHelperEarliestDate(K37,Trigger),"--")</f>
        <v>--</v>
      </c>
      <c r="R37" s="889" t="str">
        <f ca="1">IFERROR(_xll.qlRateHelperPillarDate(K37,Trigger),"--")</f>
        <v>--</v>
      </c>
      <c r="T37" s="4" t="str">
        <f t="shared" ca="1" si="13"/>
        <v/>
      </c>
      <c r="U37" s="4" t="e">
        <f ca="1"/>
        <v>#NAME?</v>
      </c>
      <c r="V37" s="4" t="str">
        <f ca="1">IFERROR(_xll.qlRateHelperQuoteName(U37,Trigger),"")</f>
        <v/>
      </c>
      <c r="W37" s="888" t="str">
        <f ca="1">IFERROR(_xll.qlRateHelperRate(U37,Trigger),"")</f>
        <v/>
      </c>
      <c r="X37" s="887"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6" t="e">
        <f ca="1"/>
        <v>#NAME?</v>
      </c>
      <c r="AB37" s="913"/>
    </row>
    <row r="38" spans="1:28" ht="11.25" customHeight="1" x14ac:dyDescent="0.2">
      <c r="A38" s="873" t="s">
        <v>135</v>
      </c>
      <c r="B38" s="875" t="s">
        <v>170</v>
      </c>
      <c r="C38" s="874">
        <f t="shared" si="10"/>
        <v>2</v>
      </c>
      <c r="D38" s="909"/>
      <c r="E38" s="911" t="str">
        <f t="shared" si="11"/>
        <v>Eonia</v>
      </c>
      <c r="F38" s="1018" t="str">
        <f t="shared" si="12"/>
        <v>EUREON8M_Quote</v>
      </c>
      <c r="G38" s="909"/>
      <c r="H38" s="43" t="e">
        <f ca="1">_xll.qlOISRateHelper(,C38,B38,F38,$E38,,Permanent,Trigger,ObjectOverwrite)</f>
        <v>#NAME?</v>
      </c>
      <c r="J38" s="894" t="str">
        <f t="shared" si="8"/>
        <v>OIS</v>
      </c>
      <c r="K38" s="890" t="e">
        <f t="shared" ca="1" si="9"/>
        <v>#NAME?</v>
      </c>
      <c r="L38" s="893" t="str">
        <f ca="1">IFERROR(_xll.qlRateHelperQuoteName(K38,Trigger),"--")</f>
        <v>--</v>
      </c>
      <c r="M38" s="892" t="str">
        <f ca="1">IFERROR(_xll.qlRateHelperQuoteValue($K38,Trigger),"--")</f>
        <v>--</v>
      </c>
      <c r="N38" s="891" t="b">
        <v>1</v>
      </c>
      <c r="O38" s="890">
        <v>50</v>
      </c>
      <c r="P38" s="890">
        <v>1</v>
      </c>
      <c r="Q38" s="889" t="str">
        <f ca="1">IFERROR(_xll.qlRateHelperEarliestDate(K38,Trigger),"--")</f>
        <v>--</v>
      </c>
      <c r="R38" s="889" t="str">
        <f ca="1">IFERROR(_xll.qlRateHelperPillarDate(K38,Trigger),"--")</f>
        <v>--</v>
      </c>
      <c r="T38" s="4" t="str">
        <f t="shared" ca="1" si="13"/>
        <v/>
      </c>
      <c r="U38" s="4" t="e">
        <f ca="1"/>
        <v>#NAME?</v>
      </c>
      <c r="V38" s="4" t="str">
        <f ca="1">IFERROR(_xll.qlRateHelperQuoteName(U38,Trigger),"")</f>
        <v/>
      </c>
      <c r="W38" s="888" t="str">
        <f ca="1">IFERROR(_xll.qlRateHelperRate(U38,Trigger),"")</f>
        <v/>
      </c>
      <c r="X38" s="887"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6" t="e">
        <f ca="1"/>
        <v>#NAME?</v>
      </c>
    </row>
    <row r="39" spans="1:28" ht="11.25" customHeight="1" x14ac:dyDescent="0.2">
      <c r="A39" s="873" t="s">
        <v>135</v>
      </c>
      <c r="B39" s="875" t="s">
        <v>169</v>
      </c>
      <c r="C39" s="874">
        <f t="shared" si="10"/>
        <v>2</v>
      </c>
      <c r="D39" s="909"/>
      <c r="E39" s="911" t="str">
        <f t="shared" si="11"/>
        <v>Eonia</v>
      </c>
      <c r="F39" s="1018" t="str">
        <f t="shared" si="12"/>
        <v>EUREON9M_Quote</v>
      </c>
      <c r="G39" s="909"/>
      <c r="H39" s="43" t="e">
        <f ca="1">_xll.qlOISRateHelper(,C39,B39,F39,$E39,,Permanent,Trigger,ObjectOverwrite)</f>
        <v>#NAME?</v>
      </c>
      <c r="J39" s="894" t="str">
        <f t="shared" si="8"/>
        <v>OIS</v>
      </c>
      <c r="K39" s="890" t="e">
        <f t="shared" ca="1" si="9"/>
        <v>#NAME?</v>
      </c>
      <c r="L39" s="893" t="str">
        <f ca="1">IFERROR(_xll.qlRateHelperQuoteName(K39,Trigger),"--")</f>
        <v>--</v>
      </c>
      <c r="M39" s="892" t="str">
        <f ca="1">IFERROR(_xll.qlRateHelperQuoteValue($K39,Trigger),"--")</f>
        <v>--</v>
      </c>
      <c r="N39" s="891" t="b">
        <v>1</v>
      </c>
      <c r="O39" s="890">
        <v>50</v>
      </c>
      <c r="P39" s="890">
        <v>1</v>
      </c>
      <c r="Q39" s="889" t="str">
        <f ca="1">IFERROR(_xll.qlRateHelperEarliestDate(K39,Trigger),"--")</f>
        <v>--</v>
      </c>
      <c r="R39" s="889" t="str">
        <f ca="1">IFERROR(_xll.qlRateHelperPillarDate(K39,Trigger),"--")</f>
        <v>--</v>
      </c>
      <c r="T39" s="4" t="str">
        <f t="shared" ca="1" si="13"/>
        <v/>
      </c>
      <c r="U39" s="4" t="e">
        <f ca="1"/>
        <v>#NAME?</v>
      </c>
      <c r="V39" s="4" t="str">
        <f ca="1">IFERROR(_xll.qlRateHelperQuoteName(U39,Trigger),"")</f>
        <v/>
      </c>
      <c r="W39" s="888" t="str">
        <f ca="1">IFERROR(_xll.qlRateHelperRate(U39,Trigger),"")</f>
        <v/>
      </c>
      <c r="X39" s="887"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6" t="e">
        <f ca="1"/>
        <v>#NAME?</v>
      </c>
    </row>
    <row r="40" spans="1:28" ht="11.25" customHeight="1" x14ac:dyDescent="0.2">
      <c r="A40" s="873" t="s">
        <v>135</v>
      </c>
      <c r="B40" s="875" t="s">
        <v>168</v>
      </c>
      <c r="C40" s="874">
        <f t="shared" si="10"/>
        <v>2</v>
      </c>
      <c r="D40" s="909"/>
      <c r="E40" s="911" t="str">
        <f t="shared" si="11"/>
        <v>Eonia</v>
      </c>
      <c r="F40" s="1018" t="str">
        <f t="shared" si="12"/>
        <v>EUREON10M_Quote</v>
      </c>
      <c r="G40" s="909"/>
      <c r="H40" s="43" t="e">
        <f ca="1">_xll.qlOISRateHelper(,C40,B40,F40,$E40,,Permanent,Trigger,ObjectOverwrite)</f>
        <v>#NAME?</v>
      </c>
      <c r="J40" s="894" t="str">
        <f t="shared" si="8"/>
        <v>OIS</v>
      </c>
      <c r="K40" s="890" t="e">
        <f t="shared" ca="1" si="9"/>
        <v>#NAME?</v>
      </c>
      <c r="L40" s="893" t="str">
        <f ca="1">IFERROR(_xll.qlRateHelperQuoteName(K40,Trigger),"--")</f>
        <v>--</v>
      </c>
      <c r="M40" s="892" t="str">
        <f ca="1">IFERROR(_xll.qlRateHelperQuoteValue($K40,Trigger),"--")</f>
        <v>--</v>
      </c>
      <c r="N40" s="891" t="b">
        <v>1</v>
      </c>
      <c r="O40" s="890">
        <v>50</v>
      </c>
      <c r="P40" s="890">
        <v>1</v>
      </c>
      <c r="Q40" s="889" t="str">
        <f ca="1">IFERROR(_xll.qlRateHelperEarliestDate(K40,Trigger),"--")</f>
        <v>--</v>
      </c>
      <c r="R40" s="889" t="str">
        <f ca="1">IFERROR(_xll.qlRateHelperPillarDate(K40,Trigger),"--")</f>
        <v>--</v>
      </c>
      <c r="T40" s="4" t="str">
        <f t="shared" ca="1" si="13"/>
        <v/>
      </c>
      <c r="U40" s="4" t="e">
        <f ca="1"/>
        <v>#NAME?</v>
      </c>
      <c r="V40" s="4" t="str">
        <f ca="1">IFERROR(_xll.qlRateHelperQuoteName(U40,Trigger),"")</f>
        <v/>
      </c>
      <c r="W40" s="888" t="str">
        <f ca="1">IFERROR(_xll.qlRateHelperRate(U40,Trigger),"")</f>
        <v/>
      </c>
      <c r="X40" s="887"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6" t="e">
        <f ca="1"/>
        <v>#NAME?</v>
      </c>
    </row>
    <row r="41" spans="1:28" ht="11.25" customHeight="1" x14ac:dyDescent="0.2">
      <c r="A41" s="873" t="s">
        <v>135</v>
      </c>
      <c r="B41" s="875" t="s">
        <v>167</v>
      </c>
      <c r="C41" s="874">
        <f t="shared" si="10"/>
        <v>2</v>
      </c>
      <c r="D41" s="909"/>
      <c r="E41" s="911" t="str">
        <f t="shared" si="11"/>
        <v>Eonia</v>
      </c>
      <c r="F41" s="1018" t="str">
        <f t="shared" si="12"/>
        <v>EUREON11M_Quote</v>
      </c>
      <c r="G41" s="909"/>
      <c r="H41" s="43" t="e">
        <f ca="1">_xll.qlOISRateHelper(,C41,B41,F41,$E41,,Permanent,Trigger,ObjectOverwrite)</f>
        <v>#NAME?</v>
      </c>
      <c r="J41" s="894" t="str">
        <f t="shared" si="8"/>
        <v>OIS</v>
      </c>
      <c r="K41" s="890" t="e">
        <f t="shared" ca="1" si="9"/>
        <v>#NAME?</v>
      </c>
      <c r="L41" s="893" t="str">
        <f ca="1">IFERROR(_xll.qlRateHelperQuoteName(K41,Trigger),"--")</f>
        <v>--</v>
      </c>
      <c r="M41" s="892" t="str">
        <f ca="1">IFERROR(_xll.qlRateHelperQuoteValue($K41,Trigger),"--")</f>
        <v>--</v>
      </c>
      <c r="N41" s="891" t="b">
        <v>1</v>
      </c>
      <c r="O41" s="890">
        <v>50</v>
      </c>
      <c r="P41" s="890">
        <v>1</v>
      </c>
      <c r="Q41" s="889" t="str">
        <f ca="1">IFERROR(_xll.qlRateHelperEarliestDate(K41,Trigger),"--")</f>
        <v>--</v>
      </c>
      <c r="R41" s="889" t="str">
        <f ca="1">IFERROR(_xll.qlRateHelperPillarDate(K41,Trigger),"--")</f>
        <v>--</v>
      </c>
      <c r="T41" s="4" t="str">
        <f t="shared" ca="1" si="13"/>
        <v/>
      </c>
      <c r="U41" s="4" t="e">
        <f ca="1"/>
        <v>#NAME?</v>
      </c>
      <c r="V41" s="4" t="str">
        <f ca="1">IFERROR(_xll.qlRateHelperQuoteName(U41,Trigger),"")</f>
        <v/>
      </c>
      <c r="W41" s="888" t="str">
        <f ca="1">IFERROR(_xll.qlRateHelperRate(U41,Trigger),"")</f>
        <v/>
      </c>
      <c r="X41" s="887"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6" t="e">
        <f ca="1"/>
        <v>#NAME?</v>
      </c>
    </row>
    <row r="42" spans="1:28" ht="11.25" customHeight="1" x14ac:dyDescent="0.2">
      <c r="A42" s="873" t="s">
        <v>135</v>
      </c>
      <c r="B42" s="875" t="s">
        <v>58</v>
      </c>
      <c r="C42" s="874">
        <f t="shared" si="10"/>
        <v>2</v>
      </c>
      <c r="D42" s="909"/>
      <c r="E42" s="911" t="str">
        <f t="shared" si="11"/>
        <v>Eonia</v>
      </c>
      <c r="F42" s="1018" t="str">
        <f t="shared" si="12"/>
        <v>EUREON1Y_Quote</v>
      </c>
      <c r="G42" s="909"/>
      <c r="H42" s="43" t="e">
        <f ca="1">_xll.qlOISRateHelper(,C42,B42,F42,$E42,,Permanent,Trigger,ObjectOverwrite)</f>
        <v>#NAME?</v>
      </c>
      <c r="J42" s="894" t="str">
        <f t="shared" si="8"/>
        <v>OIS</v>
      </c>
      <c r="K42" s="890" t="e">
        <f t="shared" ca="1" si="9"/>
        <v>#NAME?</v>
      </c>
      <c r="L42" s="893" t="str">
        <f ca="1">IFERROR(_xll.qlRateHelperQuoteName(K42,Trigger),"--")</f>
        <v>--</v>
      </c>
      <c r="M42" s="892" t="str">
        <f ca="1">IFERROR(_xll.qlRateHelperQuoteValue($K42,Trigger),"--")</f>
        <v>--</v>
      </c>
      <c r="N42" s="891" t="b">
        <v>1</v>
      </c>
      <c r="O42" s="890">
        <v>50</v>
      </c>
      <c r="P42" s="890">
        <v>1</v>
      </c>
      <c r="Q42" s="889" t="str">
        <f ca="1">IFERROR(_xll.qlRateHelperEarliestDate(K42,Trigger),"--")</f>
        <v>--</v>
      </c>
      <c r="R42" s="889" t="str">
        <f ca="1">IFERROR(_xll.qlRateHelperPillarDate(K42,Trigger),"--")</f>
        <v>--</v>
      </c>
      <c r="T42" s="4" t="str">
        <f t="shared" ca="1" si="13"/>
        <v/>
      </c>
      <c r="U42" s="4" t="e">
        <f ca="1"/>
        <v>#NAME?</v>
      </c>
      <c r="V42" s="4" t="str">
        <f ca="1">IFERROR(_xll.qlRateHelperQuoteName(U42,Trigger),"")</f>
        <v/>
      </c>
      <c r="W42" s="888" t="str">
        <f ca="1">IFERROR(_xll.qlRateHelperRate(U42,Trigger),"")</f>
        <v/>
      </c>
      <c r="X42" s="887"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6" t="e">
        <f ca="1"/>
        <v>#NAME?</v>
      </c>
    </row>
    <row r="43" spans="1:28" ht="11.25" customHeight="1" x14ac:dyDescent="0.2">
      <c r="A43" s="873" t="s">
        <v>135</v>
      </c>
      <c r="B43" s="875" t="s">
        <v>57</v>
      </c>
      <c r="C43" s="874">
        <f t="shared" si="10"/>
        <v>2</v>
      </c>
      <c r="D43" s="909"/>
      <c r="E43" s="911" t="str">
        <f t="shared" si="11"/>
        <v>Eonia</v>
      </c>
      <c r="F43" s="1018" t="str">
        <f t="shared" si="12"/>
        <v>EUREON15M_Quote</v>
      </c>
      <c r="G43" s="909"/>
      <c r="H43" s="43" t="e">
        <f ca="1">_xll.qlOISRateHelper(,C43,B43,F43,$E43,,Permanent,Trigger,ObjectOverwrite)</f>
        <v>#NAME?</v>
      </c>
      <c r="J43" s="894" t="str">
        <f t="shared" si="8"/>
        <v>OIS</v>
      </c>
      <c r="K43" s="890" t="e">
        <f t="shared" ca="1" si="9"/>
        <v>#NAME?</v>
      </c>
      <c r="L43" s="893" t="str">
        <f ca="1">IFERROR(_xll.qlRateHelperQuoteName(K43,Trigger),"--")</f>
        <v>--</v>
      </c>
      <c r="M43" s="892" t="str">
        <f ca="1">IFERROR(_xll.qlRateHelperQuoteValue($K43,Trigger),"--")</f>
        <v>--</v>
      </c>
      <c r="N43" s="891" t="b">
        <v>1</v>
      </c>
      <c r="O43" s="890">
        <v>50</v>
      </c>
      <c r="P43" s="890">
        <v>1</v>
      </c>
      <c r="Q43" s="889" t="str">
        <f ca="1">IFERROR(_xll.qlRateHelperEarliestDate(K43,Trigger),"--")</f>
        <v>--</v>
      </c>
      <c r="R43" s="889" t="str">
        <f ca="1">IFERROR(_xll.qlRateHelperPillarDate(K43,Trigger),"--")</f>
        <v>--</v>
      </c>
      <c r="T43" s="4" t="str">
        <f t="shared" ca="1" si="13"/>
        <v/>
      </c>
      <c r="U43" s="4" t="e">
        <f ca="1"/>
        <v>#NAME?</v>
      </c>
      <c r="V43" s="4" t="str">
        <f ca="1">IFERROR(_xll.qlRateHelperQuoteName(U43,Trigger),"")</f>
        <v/>
      </c>
      <c r="W43" s="888" t="str">
        <f ca="1">IFERROR(_xll.qlRateHelperRate(U43,Trigger),"")</f>
        <v/>
      </c>
      <c r="X43" s="887"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6" t="e">
        <f ca="1"/>
        <v>#NAME?</v>
      </c>
    </row>
    <row r="44" spans="1:28" ht="11.25" customHeight="1" x14ac:dyDescent="0.2">
      <c r="A44" s="873" t="s">
        <v>135</v>
      </c>
      <c r="B44" s="875" t="s">
        <v>56</v>
      </c>
      <c r="C44" s="874">
        <f t="shared" si="10"/>
        <v>2</v>
      </c>
      <c r="D44" s="909"/>
      <c r="E44" s="911" t="str">
        <f t="shared" si="11"/>
        <v>Eonia</v>
      </c>
      <c r="F44" s="1018" t="str">
        <f t="shared" si="12"/>
        <v>EUREON18M_Quote</v>
      </c>
      <c r="G44" s="909"/>
      <c r="H44" s="43" t="e">
        <f ca="1">_xll.qlOISRateHelper(,C44,B44,F44,$E44,,Permanent,Trigger,ObjectOverwrite)</f>
        <v>#NAME?</v>
      </c>
      <c r="J44" s="894" t="str">
        <f t="shared" si="8"/>
        <v>OIS</v>
      </c>
      <c r="K44" s="890" t="e">
        <f t="shared" ca="1" si="9"/>
        <v>#NAME?</v>
      </c>
      <c r="L44" s="893" t="str">
        <f ca="1">IFERROR(_xll.qlRateHelperQuoteName(K44,Trigger),"--")</f>
        <v>--</v>
      </c>
      <c r="M44" s="892" t="str">
        <f ca="1">IFERROR(_xll.qlRateHelperQuoteValue($K44,Trigger),"--")</f>
        <v>--</v>
      </c>
      <c r="N44" s="891" t="b">
        <v>1</v>
      </c>
      <c r="O44" s="890">
        <v>50</v>
      </c>
      <c r="P44" s="890">
        <v>1</v>
      </c>
      <c r="Q44" s="889" t="str">
        <f ca="1">IFERROR(_xll.qlRateHelperEarliestDate(K44,Trigger),"--")</f>
        <v>--</v>
      </c>
      <c r="R44" s="889" t="str">
        <f ca="1">IFERROR(_xll.qlRateHelperPillarDate(K44,Trigger),"--")</f>
        <v>--</v>
      </c>
      <c r="T44" s="4" t="str">
        <f t="shared" ca="1" si="13"/>
        <v/>
      </c>
      <c r="U44" s="4" t="e">
        <f ca="1"/>
        <v>#NAME?</v>
      </c>
      <c r="V44" s="4" t="str">
        <f ca="1">IFERROR(_xll.qlRateHelperQuoteName(U44,Trigger),"")</f>
        <v/>
      </c>
      <c r="W44" s="888" t="str">
        <f ca="1">IFERROR(_xll.qlRateHelperRate(U44,Trigger),"")</f>
        <v/>
      </c>
      <c r="X44" s="887"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6" t="e">
        <f ca="1"/>
        <v>#NAME?</v>
      </c>
    </row>
    <row r="45" spans="1:28" ht="11.25" customHeight="1" x14ac:dyDescent="0.2">
      <c r="A45" s="873" t="s">
        <v>135</v>
      </c>
      <c r="B45" s="875" t="s">
        <v>55</v>
      </c>
      <c r="C45" s="874">
        <f t="shared" si="10"/>
        <v>2</v>
      </c>
      <c r="D45" s="909"/>
      <c r="E45" s="911" t="str">
        <f t="shared" si="11"/>
        <v>Eonia</v>
      </c>
      <c r="F45" s="1018" t="str">
        <f t="shared" si="12"/>
        <v>EUREON21M_Quote</v>
      </c>
      <c r="G45" s="909"/>
      <c r="H45" s="43" t="e">
        <f ca="1">_xll.qlOISRateHelper(,C45,B45,F45,$E45,,Permanent,Trigger,ObjectOverwrite)</f>
        <v>#NAME?</v>
      </c>
      <c r="J45" s="894" t="str">
        <f t="shared" si="8"/>
        <v>OIS</v>
      </c>
      <c r="K45" s="890" t="e">
        <f t="shared" ca="1" si="9"/>
        <v>#NAME?</v>
      </c>
      <c r="L45" s="893" t="str">
        <f ca="1">IFERROR(_xll.qlRateHelperQuoteName(K45,Trigger),"--")</f>
        <v>--</v>
      </c>
      <c r="M45" s="892" t="str">
        <f ca="1">IFERROR(_xll.qlRateHelperQuoteValue($K45,Trigger),"--")</f>
        <v>--</v>
      </c>
      <c r="N45" s="891" t="b">
        <v>1</v>
      </c>
      <c r="O45" s="890">
        <v>50</v>
      </c>
      <c r="P45" s="890">
        <v>1</v>
      </c>
      <c r="Q45" s="889" t="str">
        <f ca="1">IFERROR(_xll.qlRateHelperEarliestDate(K45,Trigger),"--")</f>
        <v>--</v>
      </c>
      <c r="R45" s="889" t="str">
        <f ca="1">IFERROR(_xll.qlRateHelperPillarDate(K45,Trigger),"--")</f>
        <v>--</v>
      </c>
      <c r="T45" s="4" t="str">
        <f t="shared" ca="1" si="13"/>
        <v/>
      </c>
      <c r="U45" s="4" t="e">
        <f ca="1"/>
        <v>#NAME?</v>
      </c>
      <c r="V45" s="4" t="str">
        <f ca="1">IFERROR(_xll.qlRateHelperQuoteName(U45,Trigger),"")</f>
        <v/>
      </c>
      <c r="W45" s="888" t="str">
        <f ca="1">IFERROR(_xll.qlRateHelperRate(U45,Trigger),"")</f>
        <v/>
      </c>
      <c r="X45" s="887"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6" t="e">
        <f ca="1"/>
        <v>#NAME?</v>
      </c>
    </row>
    <row r="46" spans="1:28" ht="11.25" customHeight="1" x14ac:dyDescent="0.2">
      <c r="A46" s="873" t="s">
        <v>135</v>
      </c>
      <c r="B46" s="875" t="s">
        <v>54</v>
      </c>
      <c r="C46" s="874">
        <f t="shared" si="10"/>
        <v>2</v>
      </c>
      <c r="D46" s="909"/>
      <c r="E46" s="911" t="str">
        <f t="shared" si="11"/>
        <v>Eonia</v>
      </c>
      <c r="F46" s="1018" t="str">
        <f t="shared" si="12"/>
        <v>EUREON2Y_Quote</v>
      </c>
      <c r="G46" s="909"/>
      <c r="H46" s="43" t="e">
        <f ca="1">_xll.qlOISRateHelper(,C46,B46,F46,$E46,,Permanent,Trigger,ObjectOverwrite)</f>
        <v>#NAME?</v>
      </c>
      <c r="J46" s="894" t="str">
        <f t="shared" si="8"/>
        <v>OIS</v>
      </c>
      <c r="K46" s="890" t="e">
        <f t="shared" ca="1" si="9"/>
        <v>#NAME?</v>
      </c>
      <c r="L46" s="893" t="str">
        <f ca="1">IFERROR(_xll.qlRateHelperQuoteName(K46,Trigger),"--")</f>
        <v>--</v>
      </c>
      <c r="M46" s="892" t="str">
        <f ca="1">IFERROR(_xll.qlRateHelperQuoteValue($K46,Trigger),"--")</f>
        <v>--</v>
      </c>
      <c r="N46" s="891" t="b">
        <v>1</v>
      </c>
      <c r="O46" s="890">
        <v>50</v>
      </c>
      <c r="P46" s="890">
        <v>1</v>
      </c>
      <c r="Q46" s="889" t="str">
        <f ca="1">IFERROR(_xll.qlRateHelperEarliestDate(K46,Trigger),"--")</f>
        <v>--</v>
      </c>
      <c r="R46" s="889" t="str">
        <f ca="1">IFERROR(_xll.qlRateHelperPillarDate(K46,Trigger),"--")</f>
        <v>--</v>
      </c>
      <c r="T46" s="4" t="str">
        <f t="shared" ca="1" si="13"/>
        <v/>
      </c>
      <c r="U46" s="4" t="e">
        <f ca="1"/>
        <v>#NAME?</v>
      </c>
      <c r="V46" s="4" t="str">
        <f ca="1">IFERROR(_xll.qlRateHelperQuoteName(U46,Trigger),"")</f>
        <v/>
      </c>
      <c r="W46" s="888" t="str">
        <f ca="1">IFERROR(_xll.qlRateHelperRate(U46,Trigger),"")</f>
        <v/>
      </c>
      <c r="X46" s="887"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6" t="e">
        <f ca="1"/>
        <v>#NAME?</v>
      </c>
    </row>
    <row r="47" spans="1:28" ht="11.25" customHeight="1" x14ac:dyDescent="0.2">
      <c r="A47" s="873" t="s">
        <v>135</v>
      </c>
      <c r="B47" s="875" t="s">
        <v>53</v>
      </c>
      <c r="C47" s="874">
        <f t="shared" si="10"/>
        <v>2</v>
      </c>
      <c r="D47" s="909"/>
      <c r="E47" s="911" t="str">
        <f t="shared" si="11"/>
        <v>Eonia</v>
      </c>
      <c r="F47" s="1018" t="str">
        <f t="shared" si="12"/>
        <v>EUREON3Y_Quote</v>
      </c>
      <c r="G47" s="909"/>
      <c r="H47" s="43" t="e">
        <f ca="1">_xll.qlOISRateHelper(,C47,B47,F47,$E47,,Permanent,Trigger,ObjectOverwrite)</f>
        <v>#NAME?</v>
      </c>
      <c r="J47" s="894" t="str">
        <f t="shared" si="8"/>
        <v>OIS</v>
      </c>
      <c r="K47" s="890" t="e">
        <f t="shared" ca="1" si="9"/>
        <v>#NAME?</v>
      </c>
      <c r="L47" s="893" t="str">
        <f ca="1">IFERROR(_xll.qlRateHelperQuoteName(K47,Trigger),"--")</f>
        <v>--</v>
      </c>
      <c r="M47" s="892" t="str">
        <f ca="1">IFERROR(_xll.qlRateHelperQuoteValue($K47,Trigger),"--")</f>
        <v>--</v>
      </c>
      <c r="N47" s="891" t="b">
        <v>1</v>
      </c>
      <c r="O47" s="890">
        <v>50</v>
      </c>
      <c r="P47" s="890">
        <v>1</v>
      </c>
      <c r="Q47" s="889" t="str">
        <f ca="1">IFERROR(_xll.qlRateHelperEarliestDate(K47,Trigger),"--")</f>
        <v>--</v>
      </c>
      <c r="R47" s="889" t="str">
        <f ca="1">IFERROR(_xll.qlRateHelperPillarDate(K47,Trigger),"--")</f>
        <v>--</v>
      </c>
      <c r="T47" s="4" t="str">
        <f t="shared" ca="1" si="13"/>
        <v/>
      </c>
      <c r="U47" s="4" t="e">
        <f ca="1"/>
        <v>#NAME?</v>
      </c>
      <c r="V47" s="4" t="str">
        <f ca="1">IFERROR(_xll.qlRateHelperQuoteName(U47,Trigger),"")</f>
        <v/>
      </c>
      <c r="W47" s="888" t="str">
        <f ca="1">IFERROR(_xll.qlRateHelperRate(U47,Trigger),"")</f>
        <v/>
      </c>
      <c r="X47" s="887"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6" t="e">
        <f ca="1"/>
        <v>#NAME?</v>
      </c>
    </row>
    <row r="48" spans="1:28" ht="11.25" customHeight="1" x14ac:dyDescent="0.2">
      <c r="A48" s="873" t="s">
        <v>135</v>
      </c>
      <c r="B48" s="875" t="s">
        <v>52</v>
      </c>
      <c r="C48" s="874">
        <f t="shared" si="10"/>
        <v>2</v>
      </c>
      <c r="D48" s="909"/>
      <c r="E48" s="911" t="str">
        <f t="shared" si="11"/>
        <v>Eonia</v>
      </c>
      <c r="F48" s="1018" t="str">
        <f t="shared" si="12"/>
        <v>EUREON4Y_Quote</v>
      </c>
      <c r="G48" s="909"/>
      <c r="H48" s="43" t="e">
        <f ca="1">_xll.qlOISRateHelper(,C48,B48,F48,$E48,,Permanent,Trigger,ObjectOverwrite)</f>
        <v>#NAME?</v>
      </c>
      <c r="J48" s="894" t="str">
        <f t="shared" si="8"/>
        <v>OIS</v>
      </c>
      <c r="K48" s="890" t="e">
        <f t="shared" ca="1" si="9"/>
        <v>#NAME?</v>
      </c>
      <c r="L48" s="893" t="str">
        <f ca="1">IFERROR(_xll.qlRateHelperQuoteName(K48,Trigger),"--")</f>
        <v>--</v>
      </c>
      <c r="M48" s="892" t="str">
        <f ca="1">IFERROR(_xll.qlRateHelperQuoteValue($K48,Trigger),"--")</f>
        <v>--</v>
      </c>
      <c r="N48" s="891" t="b">
        <v>1</v>
      </c>
      <c r="O48" s="890">
        <v>50</v>
      </c>
      <c r="P48" s="890">
        <v>1</v>
      </c>
      <c r="Q48" s="889" t="str">
        <f ca="1">IFERROR(_xll.qlRateHelperEarliestDate(K48,Trigger),"--")</f>
        <v>--</v>
      </c>
      <c r="R48" s="889" t="str">
        <f ca="1">IFERROR(_xll.qlRateHelperPillarDate(K48,Trigger),"--")</f>
        <v>--</v>
      </c>
      <c r="T48" s="4" t="str">
        <f t="shared" ca="1" si="13"/>
        <v/>
      </c>
      <c r="U48" s="4" t="e">
        <f ca="1"/>
        <v>#NAME?</v>
      </c>
      <c r="V48" s="4" t="str">
        <f ca="1">IFERROR(_xll.qlRateHelperQuoteName(U48,Trigger),"")</f>
        <v/>
      </c>
      <c r="W48" s="888" t="str">
        <f ca="1">IFERROR(_xll.qlRateHelperRate(U48,Trigger),"")</f>
        <v/>
      </c>
      <c r="X48" s="887"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6" t="e">
        <f ca="1"/>
        <v>#NAME?</v>
      </c>
    </row>
    <row r="49" spans="1:27" ht="11.25" customHeight="1" x14ac:dyDescent="0.2">
      <c r="A49" s="873" t="s">
        <v>135</v>
      </c>
      <c r="B49" s="875" t="s">
        <v>51</v>
      </c>
      <c r="C49" s="874">
        <f t="shared" si="10"/>
        <v>2</v>
      </c>
      <c r="D49" s="909"/>
      <c r="E49" s="911" t="str">
        <f t="shared" si="11"/>
        <v>Eonia</v>
      </c>
      <c r="F49" s="1018" t="str">
        <f t="shared" si="12"/>
        <v>EUREON5Y_Quote</v>
      </c>
      <c r="G49" s="909"/>
      <c r="H49" s="43" t="e">
        <f ca="1">_xll.qlOISRateHelper(,C49,B49,F49,$E49,,Permanent,Trigger,ObjectOverwrite)</f>
        <v>#NAME?</v>
      </c>
      <c r="J49" s="894" t="str">
        <f t="shared" si="8"/>
        <v>OIS</v>
      </c>
      <c r="K49" s="890" t="e">
        <f t="shared" ca="1" si="9"/>
        <v>#NAME?</v>
      </c>
      <c r="L49" s="893" t="str">
        <f ca="1">IFERROR(_xll.qlRateHelperQuoteName(K49,Trigger),"--")</f>
        <v>--</v>
      </c>
      <c r="M49" s="892" t="str">
        <f ca="1">IFERROR(_xll.qlRateHelperQuoteValue($K49,Trigger),"--")</f>
        <v>--</v>
      </c>
      <c r="N49" s="891" t="b">
        <v>1</v>
      </c>
      <c r="O49" s="890">
        <v>50</v>
      </c>
      <c r="P49" s="890">
        <v>1</v>
      </c>
      <c r="Q49" s="889" t="str">
        <f ca="1">IFERROR(_xll.qlRateHelperEarliestDate(K49,Trigger),"--")</f>
        <v>--</v>
      </c>
      <c r="R49" s="889" t="str">
        <f ca="1">IFERROR(_xll.qlRateHelperPillarDate(K49,Trigger),"--")</f>
        <v>--</v>
      </c>
      <c r="T49" s="4" t="str">
        <f t="shared" ca="1" si="13"/>
        <v/>
      </c>
      <c r="U49" s="4" t="e">
        <f ca="1"/>
        <v>#NAME?</v>
      </c>
      <c r="V49" s="4" t="str">
        <f ca="1">IFERROR(_xll.qlRateHelperQuoteName(U49,Trigger),"")</f>
        <v/>
      </c>
      <c r="W49" s="888" t="str">
        <f ca="1">IFERROR(_xll.qlRateHelperRate(U49,Trigger),"")</f>
        <v/>
      </c>
      <c r="X49" s="887"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6" t="e">
        <f ca="1"/>
        <v>#NAME?</v>
      </c>
    </row>
    <row r="50" spans="1:27" ht="11.25" customHeight="1" x14ac:dyDescent="0.2">
      <c r="A50" s="873" t="s">
        <v>135</v>
      </c>
      <c r="B50" s="875" t="s">
        <v>50</v>
      </c>
      <c r="C50" s="874">
        <f t="shared" si="10"/>
        <v>2</v>
      </c>
      <c r="D50" s="909"/>
      <c r="E50" s="911" t="str">
        <f t="shared" si="11"/>
        <v>Eonia</v>
      </c>
      <c r="F50" s="1018" t="str">
        <f t="shared" si="12"/>
        <v>EUREON6Y_Quote</v>
      </c>
      <c r="G50" s="909"/>
      <c r="H50" s="43" t="e">
        <f ca="1">_xll.qlOISRateHelper(,C50,B50,F50,$E50,,Permanent,Trigger,ObjectOverwrite)</f>
        <v>#NAME?</v>
      </c>
      <c r="J50" s="894" t="str">
        <f t="shared" si="8"/>
        <v>OIS</v>
      </c>
      <c r="K50" s="890" t="e">
        <f t="shared" ca="1" si="9"/>
        <v>#NAME?</v>
      </c>
      <c r="L50" s="893" t="str">
        <f ca="1">IFERROR(_xll.qlRateHelperQuoteName(K50,Trigger),"--")</f>
        <v>--</v>
      </c>
      <c r="M50" s="892" t="str">
        <f ca="1">IFERROR(_xll.qlRateHelperQuoteValue($K50,Trigger),"--")</f>
        <v>--</v>
      </c>
      <c r="N50" s="891" t="b">
        <v>1</v>
      </c>
      <c r="O50" s="890">
        <v>50</v>
      </c>
      <c r="P50" s="890">
        <v>1</v>
      </c>
      <c r="Q50" s="889" t="str">
        <f ca="1">IFERROR(_xll.qlRateHelperEarliestDate(K50,Trigger),"--")</f>
        <v>--</v>
      </c>
      <c r="R50" s="889" t="str">
        <f ca="1">IFERROR(_xll.qlRateHelperPillarDate(K50,Trigger),"--")</f>
        <v>--</v>
      </c>
      <c r="T50" s="4" t="str">
        <f t="shared" ca="1" si="13"/>
        <v/>
      </c>
      <c r="U50" s="4" t="e">
        <f ca="1"/>
        <v>#NAME?</v>
      </c>
      <c r="V50" s="4" t="str">
        <f ca="1">IFERROR(_xll.qlRateHelperQuoteName(U50,Trigger),"")</f>
        <v/>
      </c>
      <c r="W50" s="888" t="str">
        <f ca="1">IFERROR(_xll.qlRateHelperRate(U50,Trigger),"")</f>
        <v/>
      </c>
      <c r="X50" s="887"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6" t="e">
        <f ca="1"/>
        <v>#NAME?</v>
      </c>
    </row>
    <row r="51" spans="1:27" ht="11.25" customHeight="1" x14ac:dyDescent="0.2">
      <c r="A51" s="873" t="s">
        <v>135</v>
      </c>
      <c r="B51" s="875" t="s">
        <v>49</v>
      </c>
      <c r="C51" s="874">
        <f t="shared" si="10"/>
        <v>2</v>
      </c>
      <c r="D51" s="909"/>
      <c r="E51" s="911" t="str">
        <f t="shared" si="11"/>
        <v>Eonia</v>
      </c>
      <c r="F51" s="1018" t="str">
        <f t="shared" si="12"/>
        <v>EUREON7Y_Quote</v>
      </c>
      <c r="G51" s="909"/>
      <c r="H51" s="43" t="e">
        <f ca="1">_xll.qlOISRateHelper(,C51,B51,F51,$E51,,Permanent,Trigger,ObjectOverwrite)</f>
        <v>#NAME?</v>
      </c>
      <c r="J51" s="894" t="str">
        <f t="shared" si="8"/>
        <v>OIS</v>
      </c>
      <c r="K51" s="890" t="e">
        <f t="shared" ca="1" si="9"/>
        <v>#NAME?</v>
      </c>
      <c r="L51" s="893" t="str">
        <f ca="1">IFERROR(_xll.qlRateHelperQuoteName(K51,Trigger),"--")</f>
        <v>--</v>
      </c>
      <c r="M51" s="892" t="str">
        <f ca="1">IFERROR(_xll.qlRateHelperQuoteValue($K51,Trigger),"--")</f>
        <v>--</v>
      </c>
      <c r="N51" s="891" t="b">
        <v>1</v>
      </c>
      <c r="O51" s="890">
        <v>50</v>
      </c>
      <c r="P51" s="890">
        <v>1</v>
      </c>
      <c r="Q51" s="889" t="str">
        <f ca="1">IFERROR(_xll.qlRateHelperEarliestDate(K51,Trigger),"--")</f>
        <v>--</v>
      </c>
      <c r="R51" s="889" t="str">
        <f ca="1">IFERROR(_xll.qlRateHelperPillarDate(K51,Trigger),"--")</f>
        <v>--</v>
      </c>
      <c r="T51" s="4" t="str">
        <f t="shared" ca="1" si="13"/>
        <v/>
      </c>
      <c r="U51" s="4" t="e">
        <f ca="1"/>
        <v>#NAME?</v>
      </c>
      <c r="V51" s="4" t="str">
        <f ca="1">IFERROR(_xll.qlRateHelperQuoteName(U51,Trigger),"")</f>
        <v/>
      </c>
      <c r="W51" s="888" t="str">
        <f ca="1">IFERROR(_xll.qlRateHelperRate(U51,Trigger),"")</f>
        <v/>
      </c>
      <c r="X51" s="887"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3" t="s">
        <v>135</v>
      </c>
      <c r="B52" s="875" t="s">
        <v>48</v>
      </c>
      <c r="C52" s="874">
        <f t="shared" si="10"/>
        <v>2</v>
      </c>
      <c r="D52" s="909"/>
      <c r="E52" s="911" t="str">
        <f t="shared" si="11"/>
        <v>Eonia</v>
      </c>
      <c r="F52" s="1018" t="str">
        <f t="shared" si="12"/>
        <v>EUREON8Y_Quote</v>
      </c>
      <c r="G52" s="909"/>
      <c r="H52" s="43" t="e">
        <f ca="1">_xll.qlOISRateHelper(,C52,B52,F52,$E52,,Permanent,Trigger,ObjectOverwrite)</f>
        <v>#NAME?</v>
      </c>
      <c r="J52" s="894" t="str">
        <f t="shared" si="8"/>
        <v>OIS</v>
      </c>
      <c r="K52" s="890" t="e">
        <f t="shared" ca="1" si="9"/>
        <v>#NAME?</v>
      </c>
      <c r="L52" s="893" t="str">
        <f ca="1">IFERROR(_xll.qlRateHelperQuoteName(K52,Trigger),"--")</f>
        <v>--</v>
      </c>
      <c r="M52" s="892" t="str">
        <f ca="1">IFERROR(_xll.qlRateHelperQuoteValue($K52,Trigger),"--")</f>
        <v>--</v>
      </c>
      <c r="N52" s="891" t="b">
        <v>1</v>
      </c>
      <c r="O52" s="890">
        <v>50</v>
      </c>
      <c r="P52" s="890">
        <v>1</v>
      </c>
      <c r="Q52" s="889" t="str">
        <f ca="1">IFERROR(_xll.qlRateHelperEarliestDate(K52,Trigger),"--")</f>
        <v>--</v>
      </c>
      <c r="R52" s="889" t="str">
        <f ca="1">IFERROR(_xll.qlRateHelperPillarDate(K52,Trigger),"--")</f>
        <v>--</v>
      </c>
      <c r="T52" s="4" t="str">
        <f t="shared" ca="1" si="13"/>
        <v/>
      </c>
      <c r="U52" s="4" t="e">
        <f ca="1"/>
        <v>#NAME?</v>
      </c>
      <c r="V52" s="4" t="str">
        <f ca="1">IFERROR(_xll.qlRateHelperQuoteName(U52,Trigger),"")</f>
        <v/>
      </c>
      <c r="W52" s="888" t="str">
        <f ca="1">IFERROR(_xll.qlRateHelperRate(U52,Trigger),"")</f>
        <v/>
      </c>
      <c r="X52" s="887"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3" t="s">
        <v>135</v>
      </c>
      <c r="B53" s="875" t="s">
        <v>47</v>
      </c>
      <c r="C53" s="874">
        <f t="shared" si="10"/>
        <v>2</v>
      </c>
      <c r="D53" s="909"/>
      <c r="E53" s="911" t="str">
        <f t="shared" si="11"/>
        <v>Eonia</v>
      </c>
      <c r="F53" s="1018" t="str">
        <f t="shared" si="12"/>
        <v>EUREON9Y_Quote</v>
      </c>
      <c r="G53" s="909"/>
      <c r="H53" s="43" t="e">
        <f ca="1">_xll.qlOISRateHelper(,C53,B53,F53,$E53,,Permanent,Trigger,ObjectOverwrite)</f>
        <v>#NAME?</v>
      </c>
      <c r="J53" s="894" t="str">
        <f t="shared" si="8"/>
        <v>OIS</v>
      </c>
      <c r="K53" s="890" t="e">
        <f t="shared" ca="1" si="9"/>
        <v>#NAME?</v>
      </c>
      <c r="L53" s="893" t="str">
        <f ca="1">IFERROR(_xll.qlRateHelperQuoteName(K53,Trigger),"--")</f>
        <v>--</v>
      </c>
      <c r="M53" s="892" t="str">
        <f ca="1">IFERROR(_xll.qlRateHelperQuoteValue($K53,Trigger),"--")</f>
        <v>--</v>
      </c>
      <c r="N53" s="891" t="b">
        <v>1</v>
      </c>
      <c r="O53" s="890">
        <v>50</v>
      </c>
      <c r="P53" s="890">
        <v>1</v>
      </c>
      <c r="Q53" s="889" t="str">
        <f ca="1">IFERROR(_xll.qlRateHelperEarliestDate(K53,Trigger),"--")</f>
        <v>--</v>
      </c>
      <c r="R53" s="889" t="str">
        <f ca="1">IFERROR(_xll.qlRateHelperPillarDate(K53,Trigger),"--")</f>
        <v>--</v>
      </c>
      <c r="T53" s="4" t="str">
        <f t="shared" ca="1" si="13"/>
        <v/>
      </c>
      <c r="U53" s="4" t="e">
        <f ca="1"/>
        <v>#NAME?</v>
      </c>
      <c r="V53" s="4" t="str">
        <f ca="1">IFERROR(_xll.qlRateHelperQuoteName(U53,Trigger),"")</f>
        <v/>
      </c>
      <c r="W53" s="888" t="str">
        <f ca="1">IFERROR(_xll.qlRateHelperRate(U53,Trigger),"")</f>
        <v/>
      </c>
      <c r="X53" s="887"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3" t="s">
        <v>135</v>
      </c>
      <c r="B54" s="875" t="s">
        <v>46</v>
      </c>
      <c r="C54" s="874">
        <f t="shared" si="10"/>
        <v>2</v>
      </c>
      <c r="D54" s="909"/>
      <c r="E54" s="911" t="str">
        <f t="shared" si="11"/>
        <v>Eonia</v>
      </c>
      <c r="F54" s="1018" t="str">
        <f t="shared" si="12"/>
        <v>EUREON10Y_Quote</v>
      </c>
      <c r="G54" s="909"/>
      <c r="H54" s="43" t="e">
        <f ca="1">_xll.qlOISRateHelper(,C54,B54,F54,$E54,,Permanent,Trigger,ObjectOverwrite)</f>
        <v>#NAME?</v>
      </c>
      <c r="J54" s="894" t="str">
        <f t="shared" si="8"/>
        <v>OIS</v>
      </c>
      <c r="K54" s="890" t="e">
        <f t="shared" ca="1" si="9"/>
        <v>#NAME?</v>
      </c>
      <c r="L54" s="893" t="str">
        <f ca="1">IFERROR(_xll.qlRateHelperQuoteName(K54,Trigger),"--")</f>
        <v>--</v>
      </c>
      <c r="M54" s="892" t="str">
        <f ca="1">IFERROR(_xll.qlRateHelperQuoteValue($K54,Trigger),"--")</f>
        <v>--</v>
      </c>
      <c r="N54" s="891" t="b">
        <v>1</v>
      </c>
      <c r="O54" s="890">
        <v>50</v>
      </c>
      <c r="P54" s="890">
        <v>1</v>
      </c>
      <c r="Q54" s="889" t="str">
        <f ca="1">IFERROR(_xll.qlRateHelperEarliestDate(K54,Trigger),"--")</f>
        <v>--</v>
      </c>
      <c r="R54" s="889" t="str">
        <f ca="1">IFERROR(_xll.qlRateHelperPillarDate(K54,Trigger),"--")</f>
        <v>--</v>
      </c>
      <c r="T54" s="4" t="str">
        <f t="shared" ca="1" si="13"/>
        <v/>
      </c>
      <c r="U54" s="4" t="e">
        <f ca="1"/>
        <v>#NAME?</v>
      </c>
      <c r="V54" s="4" t="str">
        <f ca="1">IFERROR(_xll.qlRateHelperQuoteName(U54,Trigger),"")</f>
        <v/>
      </c>
      <c r="W54" s="888" t="str">
        <f ca="1">IFERROR(_xll.qlRateHelperRate(U54,Trigger),"")</f>
        <v/>
      </c>
      <c r="X54" s="887"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3" t="s">
        <v>135</v>
      </c>
      <c r="B55" s="875" t="s">
        <v>45</v>
      </c>
      <c r="C55" s="874">
        <f t="shared" si="10"/>
        <v>2</v>
      </c>
      <c r="D55" s="909"/>
      <c r="E55" s="911" t="str">
        <f t="shared" si="11"/>
        <v>Eonia</v>
      </c>
      <c r="F55" s="1018" t="str">
        <f t="shared" si="12"/>
        <v>EUREON11Y_Quote</v>
      </c>
      <c r="G55" s="909"/>
      <c r="H55" s="43" t="e">
        <f ca="1">_xll.qlOISRateHelper(,C55,B55,F55,$E55,,Permanent,Trigger,ObjectOverwrite)</f>
        <v>#NAME?</v>
      </c>
      <c r="J55" s="894" t="str">
        <f t="shared" si="8"/>
        <v>OIS</v>
      </c>
      <c r="K55" s="890" t="e">
        <f t="shared" ca="1" si="9"/>
        <v>#NAME?</v>
      </c>
      <c r="L55" s="893" t="str">
        <f ca="1">IFERROR(_xll.qlRateHelperQuoteName(K55,Trigger),"--")</f>
        <v>--</v>
      </c>
      <c r="M55" s="892" t="str">
        <f ca="1">IFERROR(_xll.qlRateHelperQuoteValue($K55,Trigger),"--")</f>
        <v>--</v>
      </c>
      <c r="N55" s="891" t="b">
        <v>1</v>
      </c>
      <c r="O55" s="890">
        <v>50</v>
      </c>
      <c r="P55" s="890">
        <v>1</v>
      </c>
      <c r="Q55" s="889" t="str">
        <f ca="1">IFERROR(_xll.qlRateHelperEarliestDate(K55,Trigger),"--")</f>
        <v>--</v>
      </c>
      <c r="R55" s="889" t="str">
        <f ca="1">IFERROR(_xll.qlRateHelperPillarDate(K55,Trigger),"--")</f>
        <v>--</v>
      </c>
      <c r="T55" s="4" t="str">
        <f t="shared" ca="1" si="13"/>
        <v/>
      </c>
      <c r="U55" s="4" t="e">
        <f ca="1"/>
        <v>#NAME?</v>
      </c>
      <c r="V55" s="4" t="str">
        <f ca="1">IFERROR(_xll.qlRateHelperQuoteName(U55,Trigger),"")</f>
        <v/>
      </c>
      <c r="W55" s="888" t="str">
        <f ca="1">IFERROR(_xll.qlRateHelperRate(U55,Trigger),"")</f>
        <v/>
      </c>
      <c r="X55" s="887"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3" t="s">
        <v>135</v>
      </c>
      <c r="B56" s="875" t="s">
        <v>44</v>
      </c>
      <c r="C56" s="874">
        <f t="shared" si="10"/>
        <v>2</v>
      </c>
      <c r="D56" s="909"/>
      <c r="E56" s="911" t="str">
        <f t="shared" si="11"/>
        <v>Eonia</v>
      </c>
      <c r="F56" s="1018" t="str">
        <f t="shared" si="12"/>
        <v>EUREON12Y_Quote</v>
      </c>
      <c r="G56" s="909"/>
      <c r="H56" s="43" t="e">
        <f ca="1">_xll.qlOISRateHelper(,C56,B56,F56,$E56,,Permanent,Trigger,ObjectOverwrite)</f>
        <v>#NAME?</v>
      </c>
      <c r="J56" s="894" t="str">
        <f t="shared" si="8"/>
        <v>OIS</v>
      </c>
      <c r="K56" s="890" t="e">
        <f t="shared" ca="1" si="9"/>
        <v>#NAME?</v>
      </c>
      <c r="L56" s="893" t="str">
        <f ca="1">IFERROR(_xll.qlRateHelperQuoteName(K56,Trigger),"--")</f>
        <v>--</v>
      </c>
      <c r="M56" s="892" t="str">
        <f ca="1">IFERROR(_xll.qlRateHelperQuoteValue($K56,Trigger),"--")</f>
        <v>--</v>
      </c>
      <c r="N56" s="891" t="b">
        <v>1</v>
      </c>
      <c r="O56" s="890">
        <v>50</v>
      </c>
      <c r="P56" s="890">
        <v>1</v>
      </c>
      <c r="Q56" s="889" t="str">
        <f ca="1">IFERROR(_xll.qlRateHelperEarliestDate(K56,Trigger),"--")</f>
        <v>--</v>
      </c>
      <c r="R56" s="889" t="str">
        <f ca="1">IFERROR(_xll.qlRateHelperPillarDate(K56,Trigger),"--")</f>
        <v>--</v>
      </c>
      <c r="T56" s="4" t="str">
        <f t="shared" ca="1" si="13"/>
        <v/>
      </c>
      <c r="U56" s="4" t="e">
        <f ca="1"/>
        <v>#NAME?</v>
      </c>
      <c r="V56" s="4" t="str">
        <f ca="1">IFERROR(_xll.qlRateHelperQuoteName(U56,Trigger),"")</f>
        <v/>
      </c>
      <c r="W56" s="888" t="str">
        <f ca="1">IFERROR(_xll.qlRateHelperRate(U56,Trigger),"")</f>
        <v/>
      </c>
      <c r="X56" s="887"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3" t="s">
        <v>135</v>
      </c>
      <c r="B57" s="875" t="s">
        <v>41</v>
      </c>
      <c r="C57" s="874">
        <f t="shared" si="10"/>
        <v>2</v>
      </c>
      <c r="D57" s="909"/>
      <c r="E57" s="911" t="str">
        <f t="shared" si="11"/>
        <v>Eonia</v>
      </c>
      <c r="F57" s="1018" t="str">
        <f t="shared" si="12"/>
        <v>EUREON15Y_Quote</v>
      </c>
      <c r="G57" s="909"/>
      <c r="H57" s="43" t="e">
        <f ca="1">_xll.qlOISRateHelper(,C57,B57,F57,$E57,,Permanent,Trigger,ObjectOverwrite)</f>
        <v>#NAME?</v>
      </c>
      <c r="J57" s="885" t="str">
        <f t="shared" si="8"/>
        <v>OIS</v>
      </c>
      <c r="K57" s="881" t="e">
        <f t="shared" ca="1" si="9"/>
        <v>#NAME?</v>
      </c>
      <c r="L57" s="884" t="str">
        <f ca="1">IFERROR(_xll.qlRateHelperQuoteName(K57,Trigger),"--")</f>
        <v>--</v>
      </c>
      <c r="M57" s="883" t="str">
        <f ca="1">IFERROR(_xll.qlRateHelperQuoteValue($K57,Trigger),"--")</f>
        <v>--</v>
      </c>
      <c r="N57" s="882" t="b">
        <v>1</v>
      </c>
      <c r="O57" s="881">
        <v>50</v>
      </c>
      <c r="P57" s="881">
        <v>1</v>
      </c>
      <c r="Q57" s="880" t="str">
        <f ca="1">IFERROR(_xll.qlRateHelperEarliestDate(K57,Trigger),"--")</f>
        <v>--</v>
      </c>
      <c r="R57" s="880" t="str">
        <f ca="1">IFERROR(_xll.qlRateHelperPillarDate(K57,Trigger),"--")</f>
        <v>--</v>
      </c>
      <c r="T57" s="2" t="str">
        <f t="shared" ca="1" si="13"/>
        <v/>
      </c>
      <c r="U57" s="2" t="e">
        <f ca="1"/>
        <v>#NAME?</v>
      </c>
      <c r="V57" s="2" t="str">
        <f ca="1">IFERROR(_xll.qlRateHelperQuoteName(U57,Trigger),"")</f>
        <v/>
      </c>
      <c r="W57" s="879" t="str">
        <f ca="1">IFERROR(_xll.qlRateHelperRate(U57,Trigger),"")</f>
        <v/>
      </c>
      <c r="X57" s="878"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3" t="s">
        <v>135</v>
      </c>
      <c r="B58" s="875" t="s">
        <v>36</v>
      </c>
      <c r="C58" s="874">
        <f t="shared" si="10"/>
        <v>2</v>
      </c>
      <c r="D58" s="909"/>
      <c r="E58" s="911" t="str">
        <f t="shared" si="11"/>
        <v>Eonia</v>
      </c>
      <c r="F58" s="1018" t="str">
        <f t="shared" si="12"/>
        <v>EUREON20Y_Quote</v>
      </c>
      <c r="G58" s="909"/>
      <c r="H58" s="43" t="e">
        <f ca="1">_xll.qlOISRateHelper(,C58,B58,F58,$E58,,Permanent,Trigger,ObjectOverwrite)</f>
        <v>#NAME?</v>
      </c>
    </row>
    <row r="59" spans="1:27" ht="11.25" customHeight="1" x14ac:dyDescent="0.2">
      <c r="A59" s="873" t="s">
        <v>135</v>
      </c>
      <c r="B59" s="875" t="s">
        <v>31</v>
      </c>
      <c r="C59" s="874">
        <f t="shared" si="10"/>
        <v>2</v>
      </c>
      <c r="D59" s="909"/>
      <c r="E59" s="911" t="str">
        <f t="shared" si="11"/>
        <v>Eonia</v>
      </c>
      <c r="F59" s="1018" t="str">
        <f t="shared" si="12"/>
        <v>EUREON25Y_Quote</v>
      </c>
      <c r="G59" s="909"/>
      <c r="H59" s="43" t="e">
        <f ca="1">_xll.qlOISRateHelper(,C59,B59,F59,$E59,,Permanent,Trigger,ObjectOverwrite)</f>
        <v>#NAME?</v>
      </c>
    </row>
    <row r="60" spans="1:27" ht="11.25" customHeight="1" x14ac:dyDescent="0.2">
      <c r="A60" s="873" t="s">
        <v>135</v>
      </c>
      <c r="B60" s="875" t="s">
        <v>26</v>
      </c>
      <c r="C60" s="874">
        <f t="shared" si="10"/>
        <v>2</v>
      </c>
      <c r="D60" s="909"/>
      <c r="E60" s="911" t="str">
        <f t="shared" si="11"/>
        <v>Eonia</v>
      </c>
      <c r="F60" s="1018" t="str">
        <f t="shared" si="12"/>
        <v>EUREON30Y_Quote</v>
      </c>
      <c r="G60" s="909"/>
      <c r="H60" s="43" t="e">
        <f ca="1">_xll.qlOISRateHelper(,C60,B60,F60,$E60,,Permanent,Trigger,ObjectOverwrite)</f>
        <v>#NAME?</v>
      </c>
    </row>
    <row r="61" spans="1:27" ht="11.25" customHeight="1" x14ac:dyDescent="0.2">
      <c r="A61" s="873" t="s">
        <v>135</v>
      </c>
      <c r="B61" s="875" t="s">
        <v>24</v>
      </c>
      <c r="C61" s="874">
        <f t="shared" si="10"/>
        <v>2</v>
      </c>
      <c r="D61" s="909"/>
      <c r="E61" s="911" t="str">
        <f t="shared" si="11"/>
        <v>Eonia</v>
      </c>
      <c r="F61" s="1018" t="str">
        <f t="shared" si="12"/>
        <v>EUREON40Y_Quote</v>
      </c>
      <c r="G61" s="909"/>
      <c r="H61" s="43" t="e">
        <f ca="1">_xll.qlOISRateHelper(,C61,B61,F61,$E61,,Permanent,Trigger,ObjectOverwrite)</f>
        <v>#NAME?</v>
      </c>
    </row>
    <row r="62" spans="1:27" ht="11.25" customHeight="1" x14ac:dyDescent="0.2">
      <c r="A62" s="873" t="s">
        <v>135</v>
      </c>
      <c r="B62" s="875" t="s">
        <v>23</v>
      </c>
      <c r="C62" s="874">
        <f t="shared" si="10"/>
        <v>2</v>
      </c>
      <c r="D62" s="909"/>
      <c r="E62" s="911" t="str">
        <f t="shared" si="11"/>
        <v>Eonia</v>
      </c>
      <c r="F62" s="1018" t="str">
        <f t="shared" si="12"/>
        <v>EUREON50Y_Quote</v>
      </c>
      <c r="G62" s="909"/>
      <c r="H62" s="43" t="e">
        <f ca="1">_xll.qlOISRateHelper(,C62,B62,F62,$E62,,Permanent,Trigger,ObjectOverwrite)</f>
        <v>#NAME?</v>
      </c>
    </row>
    <row r="63" spans="1:27" ht="11.25" customHeight="1" x14ac:dyDescent="0.2">
      <c r="A63" s="869" t="s">
        <v>135</v>
      </c>
      <c r="B63" s="871" t="s">
        <v>22</v>
      </c>
      <c r="C63" s="870">
        <f t="shared" si="10"/>
        <v>2</v>
      </c>
      <c r="D63" s="899"/>
      <c r="E63" s="901" t="str">
        <f t="shared" si="11"/>
        <v>Eonia</v>
      </c>
      <c r="F63" s="1017" t="str">
        <f t="shared" si="12"/>
        <v>EUREON60Y_Quote</v>
      </c>
      <c r="G63" s="899"/>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127</v>
      </c>
      <c r="H1" s="238" t="str">
        <f>"_SYNTH"&amp;$G$1</f>
        <v>_SYNTH3M</v>
      </c>
      <c r="L1" s="964" t="s">
        <v>383</v>
      </c>
      <c r="M1" s="963"/>
      <c r="N1" s="963"/>
      <c r="O1" s="963"/>
      <c r="P1" s="963"/>
      <c r="Q1" s="963"/>
      <c r="R1" s="963"/>
      <c r="S1" s="963"/>
      <c r="T1" s="962"/>
      <c r="U1" s="957"/>
      <c r="V1" s="961" t="str">
        <f>Currency&amp;$G$1</f>
        <v>EUR3M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124" ca="1">_xll.qlPiecewiseYieldCurveData(YieldCurve_3M,Trigger)</f>
        <v>#NAME?</v>
      </c>
      <c r="AF2" s="953" t="s">
        <v>397</v>
      </c>
      <c r="AG2" s="993"/>
      <c r="AH2" s="993"/>
      <c r="AI2" s="993"/>
      <c r="AJ2" s="952"/>
    </row>
    <row r="3" spans="1:40" ht="11.25" customHeight="1" x14ac:dyDescent="0.25">
      <c r="A3" s="951" t="s">
        <v>391</v>
      </c>
      <c r="B3" s="950" t="s">
        <v>183</v>
      </c>
      <c r="C3" s="949" t="s">
        <v>242</v>
      </c>
      <c r="D3" s="949" t="b">
        <v>0</v>
      </c>
      <c r="E3" s="948" t="s">
        <v>417</v>
      </c>
      <c r="F3" s="949" t="s">
        <v>295</v>
      </c>
      <c r="G3" s="948" t="e">
        <f ca="1">_xll.qlIborIndex(,FamilyName,C3,2,Currency,Calendar,E3,D3,F3,,Permanent,Trigger,ObjectOverwrite)</f>
        <v>#NAME?</v>
      </c>
      <c r="H3" s="947" t="str">
        <f t="shared" ref="H3:H9" si="0">Currency&amp;$B3&amp;"D"&amp;$H$1&amp;QuoteSuffix</f>
        <v>EURSND_SYNTH3M_Quote</v>
      </c>
      <c r="I3" s="946"/>
      <c r="J3" s="945"/>
      <c r="K3" s="153"/>
      <c r="L3" s="908" t="str">
        <f t="shared" ref="L3:L9" si="1">A3</f>
        <v>Dp</v>
      </c>
      <c r="M3" s="904" t="str">
        <f t="shared" ref="M3:M9"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J3" s="943">
        <v>8</v>
      </c>
      <c r="AM3" s="1360" t="s">
        <v>529</v>
      </c>
      <c r="AN3" s="1363" t="e">
        <f ca="1">_xll.ohTrigger(GeneralSettings!Trigger)</f>
        <v>#NAME?</v>
      </c>
    </row>
    <row r="4" spans="1:40" ht="11.25" customHeight="1" thickBot="1" x14ac:dyDescent="0.3">
      <c r="A4" s="873" t="s">
        <v>391</v>
      </c>
      <c r="B4" s="875" t="s">
        <v>178</v>
      </c>
      <c r="C4" s="911" t="s">
        <v>353</v>
      </c>
      <c r="D4" s="909"/>
      <c r="E4" s="909"/>
      <c r="F4" s="909"/>
      <c r="G4" s="874" t="str">
        <f>PROPER(Currency)&amp;FamilyName&amp;B4</f>
        <v>EuriborSW</v>
      </c>
      <c r="H4" s="933" t="str">
        <f t="shared" si="0"/>
        <v>EURSWD_SYNTH3M_Quote</v>
      </c>
      <c r="I4" s="909"/>
      <c r="J4" s="43"/>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 t="shared" si="0"/>
        <v>EUR2WD_SYNTH3M_Quote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4</v>
      </c>
    </row>
    <row r="6" spans="1:40" ht="11.25" customHeight="1" x14ac:dyDescent="0.2">
      <c r="A6" s="942" t="s">
        <v>391</v>
      </c>
      <c r="B6" s="941" t="s">
        <v>176</v>
      </c>
      <c r="C6" s="940" t="str">
        <f>B6</f>
        <v>3W</v>
      </c>
      <c r="D6" s="937"/>
      <c r="E6" s="937"/>
      <c r="F6" s="937"/>
      <c r="G6" s="939" t="e">
        <f ca="1">_xll.qlEuribor(,C6,,Permanent,Trigger,ObjectOverwrite)</f>
        <v>#NAME?</v>
      </c>
      <c r="H6" s="938" t="str">
        <f t="shared" si="0"/>
        <v>EUR3WD_SYNTH3M_Quote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B7</f>
        <v>1M</v>
      </c>
      <c r="D7" s="909"/>
      <c r="E7" s="909"/>
      <c r="F7" s="909"/>
      <c r="G7" s="874" t="str">
        <f>PROPER(Currency)&amp;FamilyName&amp;B7</f>
        <v>Euribor1M</v>
      </c>
      <c r="H7" s="933" t="str">
        <f t="shared" si="0"/>
        <v>EUR1MD_SYNTH3M_Quote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B8</f>
        <v>2M</v>
      </c>
      <c r="D8" s="909"/>
      <c r="E8" s="909"/>
      <c r="F8" s="909"/>
      <c r="G8" s="874" t="str">
        <f>PROPER(Currency)&amp;FamilyName&amp;B8</f>
        <v>Euribor2M</v>
      </c>
      <c r="H8" s="933" t="str">
        <f t="shared" si="0"/>
        <v>EUR2MD_SYNTH3M_Quote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69" t="s">
        <v>391</v>
      </c>
      <c r="B9" s="871" t="s">
        <v>127</v>
      </c>
      <c r="C9" s="901" t="str">
        <f>B9</f>
        <v>3M</v>
      </c>
      <c r="D9" s="899"/>
      <c r="E9" s="899"/>
      <c r="F9" s="899"/>
      <c r="G9" s="870" t="str">
        <f>PROPER(Currency)&amp;FamilyName&amp;B9</f>
        <v>Euribor3M</v>
      </c>
      <c r="H9" s="918" t="str">
        <f t="shared" si="0"/>
        <v>EUR3MD_SYNTH3M_Quote</v>
      </c>
      <c r="I9" s="899"/>
      <c r="J9" s="38" t="e">
        <f ca="1">_xll.qlDepositRateHelper(,H9,G9,Permanent,Trigger,ObjectOverwrite)</f>
        <v>#NAME?</v>
      </c>
      <c r="K9" s="23"/>
      <c r="L9" s="885" t="str">
        <f t="shared" si="1"/>
        <v>Dp</v>
      </c>
      <c r="M9" s="881" t="e">
        <f t="shared" ca="1" si="2"/>
        <v>#NAME?</v>
      </c>
      <c r="N9" s="884" t="str">
        <f ca="1">IFERROR(_xll.qlRateHelperQuoteName(M9,Trigger),"--")</f>
        <v>--</v>
      </c>
      <c r="O9" s="883" t="str">
        <f ca="1">IFERROR(_xll.qlRateHelperQuoteValue($M9,Trigger),"--")</f>
        <v>--</v>
      </c>
      <c r="P9" s="882" t="b">
        <v>1</v>
      </c>
      <c r="Q9" s="881">
        <v>10</v>
      </c>
      <c r="R9" s="881">
        <v>1</v>
      </c>
      <c r="S9" s="880" t="str">
        <f ca="1">IFERROR(_xll.qlRateHelperEarliestDate(M9,Trigger),"--")</f>
        <v>--</v>
      </c>
      <c r="T9" s="880"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B10" s="1"/>
      <c r="C10" s="1"/>
      <c r="D10" s="1"/>
      <c r="E10" s="1"/>
      <c r="F10" s="1"/>
      <c r="G10" s="1"/>
      <c r="H10" s="1"/>
      <c r="K10" s="23"/>
      <c r="L10" s="908" t="str">
        <f t="shared" ref="L10:L21" si="4">A12</f>
        <v>FRA</v>
      </c>
      <c r="M10" s="904" t="str">
        <f t="shared" ref="M10:M21" si="5">IF(ISBLANK(J12),"--",J12)</f>
        <v>qlFraRateHelper(,H12,B12&amp;"M",G12,PillarDate,,Permanent,Trigger,ObjectOverwrite)</v>
      </c>
      <c r="N10" s="907" t="str">
        <f ca="1">IFERROR(_xll.qlRateHelperQuoteName(M10,Trigger),"--")</f>
        <v>--</v>
      </c>
      <c r="O10" s="906" t="str">
        <f ca="1">IFERROR(_xll.qlRateHelperQuoteValue($M10,Trigger),"--")</f>
        <v>--</v>
      </c>
      <c r="P10" s="905" t="b">
        <v>0</v>
      </c>
      <c r="Q10" s="904">
        <v>20</v>
      </c>
      <c r="R10" s="904">
        <v>1</v>
      </c>
      <c r="S10" s="903" t="str">
        <f ca="1">IFERROR(_xll.qlRateHelperEarliestDate(M10,Trigger),"--")</f>
        <v>--</v>
      </c>
      <c r="T10" s="903"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145" t="s">
        <v>388</v>
      </c>
      <c r="B11" s="145" t="s">
        <v>390</v>
      </c>
      <c r="C11" s="145" t="s">
        <v>389</v>
      </c>
      <c r="D11" s="145"/>
      <c r="E11" s="145"/>
      <c r="F11" s="145"/>
      <c r="G11" s="145" t="s">
        <v>14</v>
      </c>
      <c r="H11" s="145" t="s">
        <v>384</v>
      </c>
      <c r="I11" s="145"/>
      <c r="J11" s="145" t="s">
        <v>383</v>
      </c>
      <c r="K11" s="23"/>
      <c r="L11" s="894" t="str">
        <f t="shared" si="4"/>
        <v>FRA</v>
      </c>
      <c r="M11" s="890" t="str">
        <f t="shared" si="5"/>
        <v>--</v>
      </c>
      <c r="N11" s="893" t="str">
        <f ca="1">IFERROR(_xll.qlRateHelperQuoteName(M11,Trigger),"--")</f>
        <v>--</v>
      </c>
      <c r="O11" s="892" t="str">
        <f ca="1">IFERROR(_xll.qlRateHelperQuoteValue($M11,Trigger),"--")</f>
        <v>--</v>
      </c>
      <c r="P11" s="891" t="b">
        <v>0</v>
      </c>
      <c r="Q11" s="890">
        <v>20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6">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7">-LN(AI11)/AH11</f>
        <v>#NAME?</v>
      </c>
      <c r="AK11" s="996"/>
      <c r="AL11" s="985" t="str">
        <f t="shared" ref="AL11:AL23" si="8">IF(ISBLANK(AK11),AG11,EXP(-AK11*AH11))</f>
        <v>EURJump1_SYNTHON_Quote</v>
      </c>
    </row>
    <row r="12" spans="1:40" ht="11.25" customHeight="1" x14ac:dyDescent="0.2">
      <c r="A12" s="896" t="s">
        <v>181</v>
      </c>
      <c r="B12" s="917">
        <v>1</v>
      </c>
      <c r="C12" s="916" t="str">
        <f t="shared" ref="C12:C23" si="9">"x"&amp;B12+SUBSTITUTE($G$1,"M","")&amp;"F"</f>
        <v>x4F</v>
      </c>
      <c r="D12" s="909"/>
      <c r="E12" s="909"/>
      <c r="F12" s="909"/>
      <c r="G12" s="897" t="str">
        <f t="shared" ref="G12:G23" si="10">PROPER(Currency)&amp;FamilyName&amp;Tenor</f>
        <v>Euribor3M</v>
      </c>
      <c r="H12" s="915" t="str">
        <f t="shared" ref="H12:H23" si="11">Currency&amp;B12&amp;C12&amp;QuoteSuffix</f>
        <v>EUR1x4F_Quote</v>
      </c>
      <c r="I12" s="909"/>
      <c r="J12" s="47" t="s">
        <v>416</v>
      </c>
      <c r="K12" s="23" t="s">
        <v>148</v>
      </c>
      <c r="L12" s="894" t="str">
        <f t="shared" si="4"/>
        <v>FRA</v>
      </c>
      <c r="M12" s="890" t="str">
        <f t="shared" si="5"/>
        <v>--</v>
      </c>
      <c r="N12" s="893" t="str">
        <f ca="1">IFERROR(_xll.qlRateHelperQuoteName(M12,Trigger),"--")</f>
        <v>--</v>
      </c>
      <c r="O12" s="892" t="str">
        <f ca="1">IFERROR(_xll.qlRateHelperQuoteValue($M12,Trigger),"--")</f>
        <v>--</v>
      </c>
      <c r="P12" s="891" t="b">
        <v>0</v>
      </c>
      <c r="Q12" s="890">
        <v>20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6"/>
        <v>EURJump2_SYNTHON_Quote</v>
      </c>
      <c r="AH12" s="981" t="e">
        <f ca="1">_xll.qlDayCounterYearFraction("actual/360",AF12,_xll.qlCalendarAdvance(Calendar,AF12,"1D",,,Trigger))</f>
        <v>#NAME?</v>
      </c>
      <c r="AI12" s="978" t="e">
        <f ca="1">IF(_xll.qlQuoteIsValid(AG12,Trigger),_xll.qlQuoteValue(AG12,Trigger),1)</f>
        <v>#NAME?</v>
      </c>
      <c r="AJ12" s="980" t="e">
        <f t="shared" ca="1" si="7"/>
        <v>#NAME?</v>
      </c>
      <c r="AK12" s="995"/>
      <c r="AL12" s="978" t="str">
        <f t="shared" si="8"/>
        <v>EURJump2_SYNTHON_Quote</v>
      </c>
    </row>
    <row r="13" spans="1:40" ht="11.25" customHeight="1" x14ac:dyDescent="0.2">
      <c r="A13" s="873" t="s">
        <v>181</v>
      </c>
      <c r="B13" s="912">
        <v>2</v>
      </c>
      <c r="C13" s="911" t="str">
        <f t="shared" si="9"/>
        <v>x5F</v>
      </c>
      <c r="D13" s="909"/>
      <c r="E13" s="909"/>
      <c r="F13" s="909"/>
      <c r="G13" s="874" t="str">
        <f t="shared" si="10"/>
        <v>Euribor3M</v>
      </c>
      <c r="H13" s="910" t="str">
        <f t="shared" si="11"/>
        <v>EUR2x5F_Quote</v>
      </c>
      <c r="I13" s="909"/>
      <c r="J13" s="43"/>
      <c r="K13" s="23"/>
      <c r="L13" s="894" t="str">
        <f t="shared" si="4"/>
        <v>FRA</v>
      </c>
      <c r="M13" s="890" t="str">
        <f t="shared" si="5"/>
        <v>--</v>
      </c>
      <c r="N13" s="893" t="str">
        <f ca="1">IFERROR(_xll.qlRateHelperQuoteName(M13,Trigger),"--")</f>
        <v>--</v>
      </c>
      <c r="O13" s="892" t="str">
        <f ca="1">IFERROR(_xll.qlRateHelperQuoteValue($M13,Trigger),"--")</f>
        <v>--</v>
      </c>
      <c r="P13" s="891" t="b">
        <v>0</v>
      </c>
      <c r="Q13" s="890">
        <v>20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6"/>
        <v>EURJump3_SYNTHON_Quote</v>
      </c>
      <c r="AH13" s="981" t="e">
        <f ca="1">_xll.qlDayCounterYearFraction("actual/360",AF13,_xll.qlCalendarAdvance(Calendar,AF13,"1D",,,Trigger))</f>
        <v>#NAME?</v>
      </c>
      <c r="AI13" s="978" t="e">
        <f ca="1">IF(_xll.qlQuoteIsValid(AG13,Trigger),_xll.qlQuoteValue(AG13,Trigger),1)</f>
        <v>#NAME?</v>
      </c>
      <c r="AJ13" s="980" t="e">
        <f t="shared" ca="1" si="7"/>
        <v>#NAME?</v>
      </c>
      <c r="AK13" s="995"/>
      <c r="AL13" s="978" t="str">
        <f t="shared" si="8"/>
        <v>EURJump3_SYNTHON_Quote</v>
      </c>
    </row>
    <row r="14" spans="1:40" ht="11.25" customHeight="1" x14ac:dyDescent="0.2">
      <c r="A14" s="873" t="s">
        <v>181</v>
      </c>
      <c r="B14" s="912">
        <v>3</v>
      </c>
      <c r="C14" s="911" t="str">
        <f t="shared" si="9"/>
        <v>x6F</v>
      </c>
      <c r="D14" s="909"/>
      <c r="E14" s="909"/>
      <c r="F14" s="909"/>
      <c r="G14" s="874" t="str">
        <f t="shared" si="10"/>
        <v>Euribor3M</v>
      </c>
      <c r="H14" s="910" t="str">
        <f t="shared" si="11"/>
        <v>EUR3x6F_Quote</v>
      </c>
      <c r="I14" s="909"/>
      <c r="J14" s="43"/>
      <c r="K14" s="23"/>
      <c r="L14" s="894" t="str">
        <f t="shared" si="4"/>
        <v>FRA</v>
      </c>
      <c r="M14" s="890" t="str">
        <f t="shared" si="5"/>
        <v>--</v>
      </c>
      <c r="N14" s="893" t="str">
        <f ca="1">IFERROR(_xll.qlRateHelperQuoteName(M14,Trigger),"--")</f>
        <v>--</v>
      </c>
      <c r="O14" s="892" t="str">
        <f ca="1">IFERROR(_xll.qlRateHelperQuoteValue($M14,Trigger),"--")</f>
        <v>--</v>
      </c>
      <c r="P14" s="891" t="b">
        <v>0</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6"/>
        <v>EURJump4_SYNTHON_Quote</v>
      </c>
      <c r="AH14" s="981" t="e">
        <f ca="1">_xll.qlDayCounterYearFraction("actual/360",AF14,_xll.qlCalendarAdvance(Calendar,AF14,"1D",,,Trigger))</f>
        <v>#NAME?</v>
      </c>
      <c r="AI14" s="978" t="e">
        <f ca="1">IF(_xll.qlQuoteIsValid(AG14,Trigger),_xll.qlQuoteValue(AG14,Trigger),1)</f>
        <v>#NAME?</v>
      </c>
      <c r="AJ14" s="980" t="e">
        <f t="shared" ca="1" si="7"/>
        <v>#NAME?</v>
      </c>
      <c r="AK14" s="995"/>
      <c r="AL14" s="978" t="str">
        <f t="shared" si="8"/>
        <v>EURJump4_SYNTHON_Quote</v>
      </c>
    </row>
    <row r="15" spans="1:40" ht="11.25" customHeight="1" x14ac:dyDescent="0.2">
      <c r="A15" s="873" t="s">
        <v>181</v>
      </c>
      <c r="B15" s="912">
        <v>4</v>
      </c>
      <c r="C15" s="911" t="str">
        <f t="shared" si="9"/>
        <v>x7F</v>
      </c>
      <c r="D15" s="909"/>
      <c r="E15" s="909"/>
      <c r="F15" s="909"/>
      <c r="G15" s="874" t="str">
        <f t="shared" si="10"/>
        <v>Euribor3M</v>
      </c>
      <c r="H15" s="910" t="str">
        <f t="shared" si="11"/>
        <v>EUR4x7F_Quote</v>
      </c>
      <c r="I15" s="909"/>
      <c r="J15" s="43"/>
      <c r="K15" s="23"/>
      <c r="L15" s="894" t="str">
        <f t="shared" si="4"/>
        <v>FRA</v>
      </c>
      <c r="M15" s="890" t="str">
        <f t="shared" si="5"/>
        <v>--</v>
      </c>
      <c r="N15" s="893" t="str">
        <f ca="1">IFERROR(_xll.qlRateHelperQuoteName(M15,Trigger),"--")</f>
        <v>--</v>
      </c>
      <c r="O15" s="892" t="str">
        <f ca="1">IFERROR(_xll.qlRateHelperQuoteValue($M15,Trigger),"--")</f>
        <v>--</v>
      </c>
      <c r="P15" s="891" t="b">
        <v>0</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6"/>
        <v>EURJump5_SYNTHON_Quote</v>
      </c>
      <c r="AH15" s="981" t="e">
        <f ca="1">_xll.qlDayCounterYearFraction("actual/360",AF15,_xll.qlCalendarAdvance(Calendar,AF15,"1D",,,Trigger))</f>
        <v>#NAME?</v>
      </c>
      <c r="AI15" s="978" t="e">
        <f ca="1">IF(_xll.qlQuoteIsValid(AG15,Trigger),_xll.qlQuoteValue(AG15,Trigger),1)</f>
        <v>#NAME?</v>
      </c>
      <c r="AJ15" s="980" t="e">
        <f t="shared" ca="1" si="7"/>
        <v>#NAME?</v>
      </c>
      <c r="AK15" s="995"/>
      <c r="AL15" s="978" t="str">
        <f t="shared" si="8"/>
        <v>EURJump5_SYNTHON_Quote</v>
      </c>
    </row>
    <row r="16" spans="1:40" ht="11.25" customHeight="1" x14ac:dyDescent="0.2">
      <c r="A16" s="873" t="s">
        <v>181</v>
      </c>
      <c r="B16" s="912">
        <v>5</v>
      </c>
      <c r="C16" s="911" t="str">
        <f t="shared" si="9"/>
        <v>x8F</v>
      </c>
      <c r="D16" s="909"/>
      <c r="E16" s="909"/>
      <c r="F16" s="909"/>
      <c r="G16" s="874" t="str">
        <f t="shared" si="10"/>
        <v>Euribor3M</v>
      </c>
      <c r="H16" s="910" t="str">
        <f t="shared" si="11"/>
        <v>EUR5x8F_Quote</v>
      </c>
      <c r="I16" s="909"/>
      <c r="J16" s="43"/>
      <c r="K16" s="23"/>
      <c r="L16" s="894" t="str">
        <f t="shared" si="4"/>
        <v>FRA</v>
      </c>
      <c r="M16" s="890" t="str">
        <f t="shared" si="5"/>
        <v>--</v>
      </c>
      <c r="N16" s="893" t="str">
        <f ca="1">IFERROR(_xll.qlRateHelperQuoteName(M16,Trigger),"--")</f>
        <v>--</v>
      </c>
      <c r="O16" s="892" t="str">
        <f ca="1">IFERROR(_xll.qlRateHelperQuoteValue($M16,Trigger),"--")</f>
        <v>--</v>
      </c>
      <c r="P16" s="891" t="b">
        <v>0</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6"/>
        <v>EURJump6_SYNTHON_Quote</v>
      </c>
      <c r="AH16" s="981" t="e">
        <f ca="1">_xll.qlDayCounterYearFraction("actual/360",AF16,_xll.qlCalendarAdvance(Calendar,AF16,"1D",,,Trigger))</f>
        <v>#NAME?</v>
      </c>
      <c r="AI16" s="978" t="e">
        <f ca="1">IF(_xll.qlQuoteIsValid(AG16,Trigger),_xll.qlQuoteValue(AG16,Trigger),1)</f>
        <v>#NAME?</v>
      </c>
      <c r="AJ16" s="980" t="e">
        <f t="shared" ca="1" si="7"/>
        <v>#NAME?</v>
      </c>
      <c r="AK16" s="995"/>
      <c r="AL16" s="978" t="str">
        <f t="shared" si="8"/>
        <v>EURJump6_SYNTHON_Quote</v>
      </c>
    </row>
    <row r="17" spans="1:38" ht="11.25" customHeight="1" x14ac:dyDescent="0.2">
      <c r="A17" s="873" t="s">
        <v>181</v>
      </c>
      <c r="B17" s="912">
        <v>6</v>
      </c>
      <c r="C17" s="911" t="str">
        <f t="shared" si="9"/>
        <v>x9F</v>
      </c>
      <c r="D17" s="909"/>
      <c r="E17" s="909"/>
      <c r="F17" s="909"/>
      <c r="G17" s="874" t="str">
        <f t="shared" si="10"/>
        <v>Euribor3M</v>
      </c>
      <c r="H17" s="910" t="str">
        <f t="shared" si="11"/>
        <v>EUR6x9F_Quote</v>
      </c>
      <c r="I17" s="909"/>
      <c r="J17" s="43"/>
      <c r="K17" s="23"/>
      <c r="L17" s="894" t="str">
        <f t="shared" si="4"/>
        <v>FRA</v>
      </c>
      <c r="M17" s="890" t="str">
        <f t="shared" si="5"/>
        <v>--</v>
      </c>
      <c r="N17" s="893" t="str">
        <f ca="1">IFERROR(_xll.qlRateHelperQuoteName(M17,Trigger),"--")</f>
        <v>--</v>
      </c>
      <c r="O17" s="892" t="str">
        <f ca="1">IFERROR(_xll.qlRateHelperQuoteValue($M17,Trigger),"--")</f>
        <v>--</v>
      </c>
      <c r="P17" s="891" t="b">
        <v>0</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6"/>
        <v>EURJump7_SYNTHON_Quote</v>
      </c>
      <c r="AH17" s="981" t="e">
        <f ca="1">_xll.qlDayCounterYearFraction("actual/360",AF17,_xll.qlCalendarAdvance(Calendar,AF17,"1D",,,Trigger))</f>
        <v>#NAME?</v>
      </c>
      <c r="AI17" s="978" t="e">
        <f ca="1">IF(_xll.qlQuoteIsValid(AG17,Trigger),_xll.qlQuoteValue(AG17,Trigger),1)</f>
        <v>#NAME?</v>
      </c>
      <c r="AJ17" s="980" t="e">
        <f t="shared" ca="1" si="7"/>
        <v>#NAME?</v>
      </c>
      <c r="AK17" s="995"/>
      <c r="AL17" s="978" t="str">
        <f t="shared" si="8"/>
        <v>EURJump7_SYNTHON_Quote</v>
      </c>
    </row>
    <row r="18" spans="1:38" ht="11.25" customHeight="1" x14ac:dyDescent="0.2">
      <c r="A18" s="873" t="s">
        <v>181</v>
      </c>
      <c r="B18" s="912">
        <v>7</v>
      </c>
      <c r="C18" s="911" t="str">
        <f t="shared" si="9"/>
        <v>x10F</v>
      </c>
      <c r="D18" s="909"/>
      <c r="E18" s="909"/>
      <c r="F18" s="909"/>
      <c r="G18" s="874" t="str">
        <f t="shared" si="10"/>
        <v>Euribor3M</v>
      </c>
      <c r="H18" s="910" t="str">
        <f t="shared" si="11"/>
        <v>EUR7x10F_Quote</v>
      </c>
      <c r="I18" s="909"/>
      <c r="J18" s="43"/>
      <c r="K18" s="23"/>
      <c r="L18" s="894" t="str">
        <f t="shared" si="4"/>
        <v>FRA</v>
      </c>
      <c r="M18" s="890" t="str">
        <f t="shared" si="5"/>
        <v>--</v>
      </c>
      <c r="N18" s="893" t="str">
        <f ca="1">IFERROR(_xll.qlRateHelperQuoteName(M18,Trigger),"--")</f>
        <v>--</v>
      </c>
      <c r="O18" s="892" t="str">
        <f ca="1">IFERROR(_xll.qlRateHelperQuoteValue($M18,Trigger),"--")</f>
        <v>--</v>
      </c>
      <c r="P18" s="891" t="b">
        <v>0</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6"/>
        <v>EURJump8_SYNTHON_Quote</v>
      </c>
      <c r="AH18" s="981" t="e">
        <f ca="1">_xll.qlDayCounterYearFraction("actual/360",AF18,_xll.qlCalendarAdvance(Calendar,AF18,"1D",,,Trigger))</f>
        <v>#NAME?</v>
      </c>
      <c r="AI18" s="978" t="e">
        <f ca="1">IF(_xll.qlQuoteIsValid(AG18,Trigger),_xll.qlQuoteValue(AG18,Trigger),1)</f>
        <v>#NAME?</v>
      </c>
      <c r="AJ18" s="980" t="e">
        <f t="shared" ca="1" si="7"/>
        <v>#NAME?</v>
      </c>
      <c r="AK18" s="995"/>
      <c r="AL18" s="978" t="str">
        <f t="shared" si="8"/>
        <v>EURJump8_SYNTHON_Quote</v>
      </c>
    </row>
    <row r="19" spans="1:38" ht="11.25" customHeight="1" x14ac:dyDescent="0.2">
      <c r="A19" s="873" t="s">
        <v>181</v>
      </c>
      <c r="B19" s="912">
        <v>8</v>
      </c>
      <c r="C19" s="911" t="str">
        <f t="shared" si="9"/>
        <v>x11F</v>
      </c>
      <c r="D19" s="909"/>
      <c r="E19" s="909"/>
      <c r="F19" s="909"/>
      <c r="G19" s="874" t="str">
        <f t="shared" si="10"/>
        <v>Euribor3M</v>
      </c>
      <c r="H19" s="910" t="str">
        <f t="shared" si="11"/>
        <v>EUR8x11F_Quote</v>
      </c>
      <c r="I19" s="909"/>
      <c r="J19" s="43"/>
      <c r="K19" s="23"/>
      <c r="L19" s="894" t="str">
        <f t="shared" si="4"/>
        <v>FRA</v>
      </c>
      <c r="M19" s="890" t="str">
        <f t="shared" si="5"/>
        <v>--</v>
      </c>
      <c r="N19" s="893" t="str">
        <f ca="1">IFERROR(_xll.qlRateHelperQuoteName(M19,Trigger),"--")</f>
        <v>--</v>
      </c>
      <c r="O19" s="892" t="str">
        <f ca="1">IFERROR(_xll.qlRateHelperQuoteValue($M19,Trigger),"--")</f>
        <v>--</v>
      </c>
      <c r="P19" s="891" t="b">
        <v>0</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6"/>
        <v>EURJump9_SYNTHON_Quote</v>
      </c>
      <c r="AH19" s="981" t="e">
        <f ca="1">_xll.qlDayCounterYearFraction("actual/360",AF19,_xll.qlCalendarAdvance(Calendar,AF19,"1D",,,Trigger))</f>
        <v>#NAME?</v>
      </c>
      <c r="AI19" s="978" t="e">
        <f ca="1">IF(_xll.qlQuoteIsValid(AG19,Trigger),_xll.qlQuoteValue(AG19,Trigger),1)</f>
        <v>#NAME?</v>
      </c>
      <c r="AJ19" s="980" t="e">
        <f t="shared" ca="1" si="7"/>
        <v>#NAME?</v>
      </c>
      <c r="AK19" s="995"/>
      <c r="AL19" s="978" t="str">
        <f t="shared" si="8"/>
        <v>EURJump9_SYNTHON_Quote</v>
      </c>
    </row>
    <row r="20" spans="1:38" ht="11.25" customHeight="1" x14ac:dyDescent="0.2">
      <c r="A20" s="873" t="s">
        <v>181</v>
      </c>
      <c r="B20" s="912">
        <v>9</v>
      </c>
      <c r="C20" s="911" t="str">
        <f t="shared" si="9"/>
        <v>x12F</v>
      </c>
      <c r="D20" s="909"/>
      <c r="E20" s="909"/>
      <c r="F20" s="909"/>
      <c r="G20" s="874" t="str">
        <f t="shared" si="10"/>
        <v>Euribor3M</v>
      </c>
      <c r="H20" s="910" t="str">
        <f t="shared" si="11"/>
        <v>EUR9x12F_Quote</v>
      </c>
      <c r="I20" s="909"/>
      <c r="J20" s="43"/>
      <c r="K20" s="23"/>
      <c r="L20" s="894" t="str">
        <f t="shared" si="4"/>
        <v>FRA</v>
      </c>
      <c r="M20" s="890" t="str">
        <f t="shared" si="5"/>
        <v>--</v>
      </c>
      <c r="N20" s="893" t="str">
        <f ca="1">IFERROR(_xll.qlRateHelperQuoteName(M20,Trigger),"--")</f>
        <v>--</v>
      </c>
      <c r="O20" s="892" t="str">
        <f ca="1">IFERROR(_xll.qlRateHelperQuoteValue($M20,Trigger),"--")</f>
        <v>--</v>
      </c>
      <c r="P20" s="891" t="b">
        <v>0</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6"/>
        <v>EURJump10_SYNTHON_Quote</v>
      </c>
      <c r="AH20" s="981" t="e">
        <f ca="1">_xll.qlDayCounterYearFraction("actual/360",AF20,_xll.qlCalendarAdvance(Calendar,AF20,"1D",,,Trigger))</f>
        <v>#NAME?</v>
      </c>
      <c r="AI20" s="978" t="e">
        <f ca="1">IF(_xll.qlQuoteIsValid(AG20,Trigger),_xll.qlQuoteValue(AG20,Trigger),1)</f>
        <v>#NAME?</v>
      </c>
      <c r="AJ20" s="980" t="e">
        <f t="shared" ca="1" si="7"/>
        <v>#NAME?</v>
      </c>
      <c r="AK20" s="995"/>
      <c r="AL20" s="978" t="str">
        <f t="shared" si="8"/>
        <v>EURJump10_SYNTHON_Quote</v>
      </c>
    </row>
    <row r="21" spans="1:38" ht="11.25" customHeight="1" x14ac:dyDescent="0.2">
      <c r="A21" s="873" t="s">
        <v>181</v>
      </c>
      <c r="B21" s="912">
        <v>10</v>
      </c>
      <c r="C21" s="911" t="str">
        <f t="shared" si="9"/>
        <v>x13F</v>
      </c>
      <c r="D21" s="909"/>
      <c r="E21" s="909"/>
      <c r="F21" s="909"/>
      <c r="G21" s="874" t="str">
        <f t="shared" si="10"/>
        <v>Euribor3M</v>
      </c>
      <c r="H21" s="910" t="str">
        <f t="shared" si="11"/>
        <v>EUR10x13F_Quote</v>
      </c>
      <c r="I21" s="909"/>
      <c r="J21" s="43"/>
      <c r="K21" s="23"/>
      <c r="L21" s="885" t="str">
        <f t="shared" si="4"/>
        <v>FRA</v>
      </c>
      <c r="M21" s="881" t="str">
        <f t="shared" si="5"/>
        <v>--</v>
      </c>
      <c r="N21" s="884" t="str">
        <f ca="1">IFERROR(_xll.qlRateHelperQuoteName(M21,Trigger),"--")</f>
        <v>--</v>
      </c>
      <c r="O21" s="883" t="str">
        <f ca="1">IFERROR(_xll.qlRateHelperQuoteValue($M21,Trigger),"--")</f>
        <v>--</v>
      </c>
      <c r="P21" s="882" t="b">
        <v>0</v>
      </c>
      <c r="Q21" s="881">
        <v>20</v>
      </c>
      <c r="R21" s="881">
        <v>1</v>
      </c>
      <c r="S21" s="880" t="str">
        <f ca="1">IFERROR(_xll.qlRateHelperEarliestDate(M21,Trigger),"--")</f>
        <v>--</v>
      </c>
      <c r="T21" s="880"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6"/>
        <v>EURJump11_SYNTHON_Quote</v>
      </c>
      <c r="AH21" s="981" t="e">
        <f ca="1">_xll.qlDayCounterYearFraction("actual/360",AF21,_xll.qlCalendarAdvance(Calendar,AF21,"1D",,,Trigger))</f>
        <v>#NAME?</v>
      </c>
      <c r="AI21" s="978" t="e">
        <f ca="1">IF(_xll.qlQuoteIsValid(AG21,Trigger),_xll.qlQuoteValue(AG21,Trigger),1)</f>
        <v>#NAME?</v>
      </c>
      <c r="AJ21" s="980" t="e">
        <f t="shared" ca="1" si="7"/>
        <v>#NAME?</v>
      </c>
      <c r="AK21" s="995"/>
      <c r="AL21" s="978" t="str">
        <f t="shared" si="8"/>
        <v>EURJump11_SYNTHON_Quote</v>
      </c>
    </row>
    <row r="22" spans="1:38" ht="11.25" customHeight="1" x14ac:dyDescent="0.2">
      <c r="A22" s="873" t="s">
        <v>181</v>
      </c>
      <c r="B22" s="912">
        <v>11</v>
      </c>
      <c r="C22" s="911" t="str">
        <f t="shared" si="9"/>
        <v>x14F</v>
      </c>
      <c r="D22" s="909"/>
      <c r="E22" s="909"/>
      <c r="F22" s="909"/>
      <c r="G22" s="874" t="str">
        <f t="shared" si="10"/>
        <v>Euribor3M</v>
      </c>
      <c r="H22" s="910" t="str">
        <f t="shared" si="11"/>
        <v>EUR11x14F_Quote</v>
      </c>
      <c r="I22" s="909"/>
      <c r="J22" s="43"/>
      <c r="K22" s="23"/>
      <c r="L22" s="908" t="str">
        <f t="shared" ref="L22:L43" si="12">A26</f>
        <v>FUT</v>
      </c>
      <c r="M22" s="904" t="e">
        <f t="shared" ref="M22:M43" ca="1" si="13">IF(ISBLANK(J26),"--",J26)</f>
        <v>#NAME?</v>
      </c>
      <c r="N22" s="907" t="str">
        <f ca="1">IFERROR(_xll.qlRateHelperQuoteName(M22,Trigger),"--")</f>
        <v>--</v>
      </c>
      <c r="O22" s="1016" t="str">
        <f ca="1">IFERROR(_xll.qlRateHelperQuoteValue($M22,Trigger),"--")</f>
        <v>--</v>
      </c>
      <c r="P22" s="905" t="b">
        <v>1</v>
      </c>
      <c r="Q22" s="904">
        <v>60</v>
      </c>
      <c r="R22" s="904">
        <v>3</v>
      </c>
      <c r="S22" s="903" t="str">
        <f ca="1">IFERROR(_xll.qlRateHelperEarliestDate(M22,Trigger),"--")</f>
        <v>--</v>
      </c>
      <c r="T22" s="903"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6"/>
        <v>EURJump12_SYNTHON_Quote</v>
      </c>
      <c r="AH22" s="981" t="e">
        <f ca="1">_xll.qlDayCounterYearFraction("actual/360",AF22,_xll.qlCalendarAdvance(Calendar,AF22,"1D",,,Trigger))</f>
        <v>#NAME?</v>
      </c>
      <c r="AI22" s="978" t="e">
        <f ca="1">IF(_xll.qlQuoteIsValid(AG22,Trigger),_xll.qlQuoteValue(AG22,Trigger),1)</f>
        <v>#NAME?</v>
      </c>
      <c r="AJ22" s="980" t="e">
        <f t="shared" ca="1" si="7"/>
        <v>#NAME?</v>
      </c>
      <c r="AK22" s="995"/>
      <c r="AL22" s="978" t="str">
        <f t="shared" si="8"/>
        <v>EURJump12_SYNTHON_Quote</v>
      </c>
    </row>
    <row r="23" spans="1:38" ht="11.25" customHeight="1" x14ac:dyDescent="0.2">
      <c r="A23" s="869" t="s">
        <v>181</v>
      </c>
      <c r="B23" s="902">
        <v>12</v>
      </c>
      <c r="C23" s="901" t="str">
        <f t="shared" si="9"/>
        <v>x15F</v>
      </c>
      <c r="D23" s="899"/>
      <c r="E23" s="899"/>
      <c r="F23" s="899"/>
      <c r="G23" s="870" t="str">
        <f t="shared" si="10"/>
        <v>Euribor3M</v>
      </c>
      <c r="H23" s="900" t="str">
        <f t="shared" si="11"/>
        <v>EUR12x15F_Quote</v>
      </c>
      <c r="I23" s="899"/>
      <c r="J23" s="38"/>
      <c r="K23" s="23"/>
      <c r="L23" s="894" t="str">
        <f t="shared" si="12"/>
        <v>FUT</v>
      </c>
      <c r="M23" s="890" t="e">
        <f t="shared" ca="1" si="13"/>
        <v>#NAME?</v>
      </c>
      <c r="N23" s="893" t="str">
        <f ca="1">IFERROR(_xll.qlRateHelperQuoteName(M23,Trigger),"--")</f>
        <v>--</v>
      </c>
      <c r="O23" s="1015" t="str">
        <f ca="1">IFERROR(_xll.qlRateHelperQuoteValue($M23,Trigger),"--")</f>
        <v>--</v>
      </c>
      <c r="P23" s="891" t="b">
        <v>1</v>
      </c>
      <c r="Q23" s="890">
        <v>60</v>
      </c>
      <c r="R23" s="890">
        <v>3</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6"/>
        <v>EURJump13_SYNTHON_Quote</v>
      </c>
      <c r="AH23" s="975" t="e">
        <f ca="1">_xll.qlDayCounterYearFraction("actual/360",AF23,_xll.qlCalendarAdvance(Calendar,AF23,"1D",,,Trigger))</f>
        <v>#NAME?</v>
      </c>
      <c r="AI23" s="972" t="e">
        <f ca="1">IF(_xll.qlQuoteIsValid(AG23,Trigger),_xll.qlQuoteValue(AG23,Trigger),1)</f>
        <v>#NAME?</v>
      </c>
      <c r="AJ23" s="974" t="e">
        <f t="shared" ca="1" si="7"/>
        <v>#NAME?</v>
      </c>
      <c r="AK23" s="994"/>
      <c r="AL23" s="972" t="str">
        <f t="shared" si="8"/>
        <v>EURJump13_SYNTHON_Quote</v>
      </c>
    </row>
    <row r="24" spans="1:38" ht="11.25" customHeight="1" x14ac:dyDescent="0.2">
      <c r="B24" s="1"/>
      <c r="C24" s="1"/>
      <c r="D24" s="1"/>
      <c r="E24" s="1"/>
      <c r="F24" s="1"/>
      <c r="G24" s="1"/>
      <c r="H24" s="1" t="s">
        <v>415</v>
      </c>
      <c r="K24" s="23"/>
      <c r="L24" s="894" t="str">
        <f t="shared" si="12"/>
        <v>FUT</v>
      </c>
      <c r="M24" s="890" t="e">
        <f t="shared" ca="1" si="13"/>
        <v>#NAME?</v>
      </c>
      <c r="N24" s="893" t="str">
        <f ca="1">IFERROR(_xll.qlRateHelperQuoteName(M24,Trigger),"--")</f>
        <v>--</v>
      </c>
      <c r="O24" s="1015" t="str">
        <f ca="1">IFERROR(_xll.qlRateHelperQuoteValue($M24,Trigger),"--")</f>
        <v>--</v>
      </c>
      <c r="P24" s="891" t="b">
        <v>1</v>
      </c>
      <c r="Q24" s="890">
        <v>60</v>
      </c>
      <c r="R24" s="890">
        <v>3</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145" t="s">
        <v>388</v>
      </c>
      <c r="B25" s="145" t="s">
        <v>414</v>
      </c>
      <c r="C25" s="145" t="s">
        <v>144</v>
      </c>
      <c r="D25" s="145"/>
      <c r="E25" s="145"/>
      <c r="F25" s="145"/>
      <c r="G25" s="145" t="s">
        <v>14</v>
      </c>
      <c r="H25" s="145" t="s">
        <v>384</v>
      </c>
      <c r="I25" s="145" t="s">
        <v>413</v>
      </c>
      <c r="J25" s="145" t="s">
        <v>383</v>
      </c>
      <c r="K25" s="23"/>
      <c r="L25" s="894" t="str">
        <f t="shared" si="12"/>
        <v>FUT</v>
      </c>
      <c r="M25" s="890" t="e">
        <f t="shared" ca="1" si="13"/>
        <v>#NAME?</v>
      </c>
      <c r="N25" s="893" t="str">
        <f ca="1">IFERROR(_xll.qlRateHelperQuoteName(M25,Trigger),"--")</f>
        <v>--</v>
      </c>
      <c r="O25" s="1015" t="str">
        <f ca="1">IFERROR(_xll.qlRateHelperQuoteValue($M25,Trigger),"--")</f>
        <v>--</v>
      </c>
      <c r="P25" s="891" t="b">
        <v>1</v>
      </c>
      <c r="Q25" s="890">
        <v>60</v>
      </c>
      <c r="R25" s="890">
        <v>21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96" t="s">
        <v>128</v>
      </c>
      <c r="B26" s="917" t="b">
        <v>0</v>
      </c>
      <c r="C26" s="916" t="e">
        <f ca="1">_xll.qlIMMNextCode(Evaluationdate-1,B26,Trigger)</f>
        <v>#NAME?</v>
      </c>
      <c r="D26" s="914"/>
      <c r="E26" s="914"/>
      <c r="F26" s="914"/>
      <c r="G26" s="897" t="str">
        <f t="shared" ref="G26:G47" si="14">PROPER(Currency)&amp;FamilyName&amp;Tenor</f>
        <v>Euribor3M</v>
      </c>
      <c r="H26" s="915" t="e">
        <f t="shared" ref="H26:H47" ca="1" si="15">Currency&amp;"FUT"&amp;$G$1&amp;$C26&amp;QuoteSuffix</f>
        <v>#NAME?</v>
      </c>
      <c r="I26" s="915" t="e">
        <f t="shared" ref="I26:I47" ca="1" si="16">Currency&amp;"FUT"&amp;$G$1&amp;$C26&amp;"ConvAdj"&amp;QuoteSuffix</f>
        <v>#NAME?</v>
      </c>
      <c r="J26" s="47" t="e">
        <f ca="1">_xll.qlFuturesRateHelper(,H26,$H$24,C26,G26,I26,Permanent,Trigger,ObjectOverwrite)</f>
        <v>#NAME?</v>
      </c>
      <c r="K26" s="23"/>
      <c r="L26" s="894" t="str">
        <f t="shared" si="12"/>
        <v>FUT</v>
      </c>
      <c r="M26" s="890" t="e">
        <f t="shared" ca="1" si="13"/>
        <v>#NAME?</v>
      </c>
      <c r="N26" s="893" t="str">
        <f ca="1">IFERROR(_xll.qlRateHelperQuoteName(M26,Trigger),"--")</f>
        <v>--</v>
      </c>
      <c r="O26" s="1015" t="str">
        <f ca="1">IFERROR(_xll.qlRateHelperQuoteValue($M26,Trigger),"--")</f>
        <v>--</v>
      </c>
      <c r="P26" s="891" t="b">
        <v>1</v>
      </c>
      <c r="Q26" s="890">
        <v>60</v>
      </c>
      <c r="R26" s="890">
        <v>21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128</v>
      </c>
      <c r="B27" s="912" t="b">
        <v>0</v>
      </c>
      <c r="C27" s="911" t="e">
        <f ca="1">_xll.qlIMMNextCode(C26,B27,Trigger)</f>
        <v>#NAME?</v>
      </c>
      <c r="D27" s="909"/>
      <c r="E27" s="909"/>
      <c r="F27" s="909"/>
      <c r="G27" s="874" t="str">
        <f t="shared" si="14"/>
        <v>Euribor3M</v>
      </c>
      <c r="H27" s="910" t="e">
        <f t="shared" ca="1" si="15"/>
        <v>#NAME?</v>
      </c>
      <c r="I27" s="910" t="e">
        <f t="shared" ca="1" si="16"/>
        <v>#NAME?</v>
      </c>
      <c r="J27" s="43" t="e">
        <f ca="1">_xll.qlFuturesRateHelper(,H27,$H$24,C27,G27,I27,Permanent,Trigger,ObjectOverwrite)</f>
        <v>#NAME?</v>
      </c>
      <c r="K27" s="23"/>
      <c r="L27" s="894" t="str">
        <f t="shared" si="12"/>
        <v>FUT</v>
      </c>
      <c r="M27" s="890" t="e">
        <f t="shared" ca="1" si="13"/>
        <v>#NAME?</v>
      </c>
      <c r="N27" s="893" t="str">
        <f ca="1">IFERROR(_xll.qlRateHelperQuoteName(M27,Trigger),"--")</f>
        <v>--</v>
      </c>
      <c r="O27" s="1015" t="str">
        <f ca="1">IFERROR(_xll.qlRateHelperQuoteValue($M27,Trigger),"--")</f>
        <v>--</v>
      </c>
      <c r="P27" s="891" t="b">
        <v>1</v>
      </c>
      <c r="Q27" s="890">
        <v>60</v>
      </c>
      <c r="R27" s="890">
        <v>21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128</v>
      </c>
      <c r="B28" s="912" t="b">
        <v>0</v>
      </c>
      <c r="C28" s="911" t="e">
        <f ca="1">_xll.qlIMMNextCode(C27,B28,Trigger)</f>
        <v>#NAME?</v>
      </c>
      <c r="D28" s="909"/>
      <c r="E28" s="909"/>
      <c r="F28" s="909"/>
      <c r="G28" s="874" t="str">
        <f t="shared" si="14"/>
        <v>Euribor3M</v>
      </c>
      <c r="H28" s="910" t="e">
        <f t="shared" ca="1" si="15"/>
        <v>#NAME?</v>
      </c>
      <c r="I28" s="910" t="e">
        <f t="shared" ca="1" si="16"/>
        <v>#NAME?</v>
      </c>
      <c r="J28" s="43" t="e">
        <f ca="1">_xll.qlFuturesRateHelper(,H28,$H$24,C28,G28,I28,Permanent,Trigger,ObjectOverwrite)</f>
        <v>#NAME?</v>
      </c>
      <c r="K28" s="23"/>
      <c r="L28" s="894" t="str">
        <f t="shared" si="12"/>
        <v>FUT</v>
      </c>
      <c r="M28" s="890" t="e">
        <f t="shared" ca="1" si="13"/>
        <v>#NAME?</v>
      </c>
      <c r="N28" s="893" t="str">
        <f ca="1">IFERROR(_xll.qlRateHelperQuoteName(M28,Trigger),"--")</f>
        <v>--</v>
      </c>
      <c r="O28" s="1015" t="str">
        <f ca="1">IFERROR(_xll.qlRateHelperQuoteValue($M28,Trigger),"--")</f>
        <v>--</v>
      </c>
      <c r="P28" s="891" t="b">
        <v>1</v>
      </c>
      <c r="Q28" s="890">
        <v>60</v>
      </c>
      <c r="R28" s="890">
        <v>21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128</v>
      </c>
      <c r="B29" s="912" t="b">
        <v>0</v>
      </c>
      <c r="C29" s="911" t="e">
        <f ca="1">_xll.qlIMMNextCode(C28,B29,Trigger)</f>
        <v>#NAME?</v>
      </c>
      <c r="D29" s="909"/>
      <c r="E29" s="909"/>
      <c r="F29" s="909"/>
      <c r="G29" s="874" t="str">
        <f t="shared" si="14"/>
        <v>Euribor3M</v>
      </c>
      <c r="H29" s="910" t="e">
        <f t="shared" ca="1" si="15"/>
        <v>#NAME?</v>
      </c>
      <c r="I29" s="910" t="e">
        <f t="shared" ca="1" si="16"/>
        <v>#NAME?</v>
      </c>
      <c r="J29" s="43" t="e">
        <f ca="1">_xll.qlFuturesRateHelper(,H29,$H$24,C29,G29,I29,Permanent,Trigger,ObjectOverwrite)</f>
        <v>#NAME?</v>
      </c>
      <c r="K29" s="23"/>
      <c r="L29" s="894" t="str">
        <f t="shared" si="12"/>
        <v>FUT</v>
      </c>
      <c r="M29" s="890" t="e">
        <f t="shared" ca="1" si="13"/>
        <v>#NAME?</v>
      </c>
      <c r="N29" s="893" t="str">
        <f ca="1">IFERROR(_xll.qlRateHelperQuoteName(M29,Trigger),"--")</f>
        <v>--</v>
      </c>
      <c r="O29" s="1015" t="str">
        <f ca="1">IFERROR(_xll.qlRateHelperQuoteValue($M29,Trigger),"--")</f>
        <v>--</v>
      </c>
      <c r="P29" s="891" t="b">
        <v>1</v>
      </c>
      <c r="Q29" s="890">
        <v>60</v>
      </c>
      <c r="R29" s="890">
        <v>21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69" t="s">
        <v>128</v>
      </c>
      <c r="B30" s="902" t="b">
        <v>0</v>
      </c>
      <c r="C30" s="901" t="e">
        <f ca="1">_xll.qlIMMNextCode(C29,B30,Trigger)</f>
        <v>#NAME?</v>
      </c>
      <c r="D30" s="899"/>
      <c r="E30" s="899"/>
      <c r="F30" s="899"/>
      <c r="G30" s="870" t="str">
        <f t="shared" si="14"/>
        <v>Euribor3M</v>
      </c>
      <c r="H30" s="900" t="e">
        <f t="shared" ca="1" si="15"/>
        <v>#NAME?</v>
      </c>
      <c r="I30" s="900" t="e">
        <f t="shared" ca="1" si="16"/>
        <v>#NAME?</v>
      </c>
      <c r="J30" s="38" t="e">
        <f ca="1">_xll.qlFuturesRateHelper(,H30,$H$24,C30,G30,I30,Permanent,Trigger,ObjectOverwrite)</f>
        <v>#NAME?</v>
      </c>
      <c r="K30" s="23"/>
      <c r="L30" s="894" t="str">
        <f t="shared" si="12"/>
        <v>FUT</v>
      </c>
      <c r="M30" s="890" t="e">
        <f t="shared" ca="1" si="13"/>
        <v>#NAME?</v>
      </c>
      <c r="N30" s="893" t="str">
        <f ca="1">IFERROR(_xll.qlRateHelperQuoteName(M30,Trigger),"--")</f>
        <v>--</v>
      </c>
      <c r="O30" s="1015" t="str">
        <f ca="1">IFERROR(_xll.qlRateHelperQuoteValue($M30,Trigger),"--")</f>
        <v>--</v>
      </c>
      <c r="P30" s="891" t="b">
        <v>1</v>
      </c>
      <c r="Q30" s="890">
        <v>60</v>
      </c>
      <c r="R30" s="890">
        <v>21</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row>
    <row r="31" spans="1:38" ht="11.25" customHeight="1" x14ac:dyDescent="0.2">
      <c r="A31" s="873" t="s">
        <v>128</v>
      </c>
      <c r="B31" s="912" t="b">
        <v>1</v>
      </c>
      <c r="C31" s="911" t="e">
        <f ca="1">_xll.qlIMMNextCode(C30,B31,Trigger)</f>
        <v>#NAME?</v>
      </c>
      <c r="D31" s="909"/>
      <c r="E31" s="909"/>
      <c r="F31" s="909"/>
      <c r="G31" s="874" t="str">
        <f t="shared" si="14"/>
        <v>Euribor3M</v>
      </c>
      <c r="H31" s="910" t="e">
        <f t="shared" ca="1" si="15"/>
        <v>#NAME?</v>
      </c>
      <c r="I31" s="910" t="e">
        <f t="shared" ca="1" si="16"/>
        <v>#NAME?</v>
      </c>
      <c r="J31" s="43" t="e">
        <f ca="1">_xll.qlFuturesRateHelper(,H31,$H$24,C31,G31,I31,Permanent,Trigger,ObjectOverwrite)</f>
        <v>#NAME?</v>
      </c>
      <c r="K31" s="23"/>
      <c r="L31" s="894" t="str">
        <f t="shared" si="12"/>
        <v>FUT</v>
      </c>
      <c r="M31" s="890" t="e">
        <f t="shared" ca="1" si="13"/>
        <v>#NAME?</v>
      </c>
      <c r="N31" s="893" t="str">
        <f ca="1">IFERROR(_xll.qlRateHelperQuoteName(M31,Trigger),"--")</f>
        <v>--</v>
      </c>
      <c r="O31" s="1015" t="str">
        <f ca="1">IFERROR(_xll.qlRateHelperQuoteValue($M31,Trigger),"--")</f>
        <v>--</v>
      </c>
      <c r="P31" s="891" t="b">
        <v>1</v>
      </c>
      <c r="Q31" s="890">
        <v>60</v>
      </c>
      <c r="R31" s="890">
        <v>21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row>
    <row r="32" spans="1:38" ht="11.25" customHeight="1" x14ac:dyDescent="0.2">
      <c r="A32" s="873" t="s">
        <v>128</v>
      </c>
      <c r="B32" s="912" t="b">
        <v>1</v>
      </c>
      <c r="C32" s="911" t="e">
        <f ca="1">_xll.qlIMMNextCode(C31,B32,Trigger)</f>
        <v>#NAME?</v>
      </c>
      <c r="D32" s="909"/>
      <c r="E32" s="909"/>
      <c r="F32" s="909"/>
      <c r="G32" s="874" t="str">
        <f t="shared" si="14"/>
        <v>Euribor3M</v>
      </c>
      <c r="H32" s="910" t="e">
        <f t="shared" ca="1" si="15"/>
        <v>#NAME?</v>
      </c>
      <c r="I32" s="910" t="e">
        <f t="shared" ca="1" si="16"/>
        <v>#NAME?</v>
      </c>
      <c r="J32" s="43" t="e">
        <f ca="1">_xll.qlFuturesRateHelper(,H32,$H$24,C32,G32,I32,Permanent,Trigger,ObjectOverwrite)</f>
        <v>#NAME?</v>
      </c>
      <c r="K32" s="23"/>
      <c r="L32" s="894" t="str">
        <f t="shared" si="12"/>
        <v>FUT</v>
      </c>
      <c r="M32" s="890" t="e">
        <f t="shared" ca="1" si="13"/>
        <v>#NAME?</v>
      </c>
      <c r="N32" s="893" t="str">
        <f ca="1">IFERROR(_xll.qlRateHelperQuoteName(M32,Trigger),"--")</f>
        <v>--</v>
      </c>
      <c r="O32" s="1015" t="str">
        <f ca="1">IFERROR(_xll.qlRateHelperQuoteValue($M32,Trigger),"--")</f>
        <v>--</v>
      </c>
      <c r="P32" s="891" t="b">
        <v>1</v>
      </c>
      <c r="Q32" s="890">
        <v>60</v>
      </c>
      <c r="R32" s="890">
        <v>21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row>
    <row r="33" spans="1:29" ht="11.25" customHeight="1" x14ac:dyDescent="0.2">
      <c r="A33" s="873" t="s">
        <v>128</v>
      </c>
      <c r="B33" s="912" t="b">
        <v>1</v>
      </c>
      <c r="C33" s="911" t="e">
        <f ca="1">_xll.qlIMMNextCode(C32,B33,Trigger)</f>
        <v>#NAME?</v>
      </c>
      <c r="D33" s="909"/>
      <c r="E33" s="909"/>
      <c r="F33" s="909"/>
      <c r="G33" s="874" t="str">
        <f t="shared" si="14"/>
        <v>Euribor3M</v>
      </c>
      <c r="H33" s="910" t="e">
        <f t="shared" ca="1" si="15"/>
        <v>#NAME?</v>
      </c>
      <c r="I33" s="910" t="e">
        <f t="shared" ca="1" si="16"/>
        <v>#NAME?</v>
      </c>
      <c r="J33" s="43" t="e">
        <f ca="1">_xll.qlFuturesRateHelper(,H33,$H$24,C33,G33,I33,Permanent,Trigger,ObjectOverwrite)</f>
        <v>#NAME?</v>
      </c>
      <c r="K33" s="23"/>
      <c r="L33" s="894" t="str">
        <f t="shared" si="12"/>
        <v>FUT</v>
      </c>
      <c r="M33" s="890" t="e">
        <f t="shared" ca="1" si="13"/>
        <v>#NAME?</v>
      </c>
      <c r="N33" s="893" t="str">
        <f ca="1">IFERROR(_xll.qlRateHelperQuoteName(M33,Trigger),"--")</f>
        <v>--</v>
      </c>
      <c r="O33" s="1015" t="str">
        <f ca="1">IFERROR(_xll.qlRateHelperQuoteValue($M33,Trigger),"--")</f>
        <v>--</v>
      </c>
      <c r="P33" s="891" t="b">
        <v>1</v>
      </c>
      <c r="Q33" s="890">
        <v>60</v>
      </c>
      <c r="R33" s="890">
        <v>21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row>
    <row r="34" spans="1:29" ht="11.25" customHeight="1" x14ac:dyDescent="0.2">
      <c r="A34" s="873" t="s">
        <v>128</v>
      </c>
      <c r="B34" s="912" t="b">
        <v>1</v>
      </c>
      <c r="C34" s="911" t="e">
        <f ca="1">_xll.qlIMMNextCode(C33,B34,Trigger)</f>
        <v>#NAME?</v>
      </c>
      <c r="D34" s="909"/>
      <c r="E34" s="909"/>
      <c r="F34" s="909"/>
      <c r="G34" s="874" t="str">
        <f t="shared" si="14"/>
        <v>Euribor3M</v>
      </c>
      <c r="H34" s="910" t="e">
        <f t="shared" ca="1" si="15"/>
        <v>#NAME?</v>
      </c>
      <c r="I34" s="910" t="e">
        <f t="shared" ca="1" si="16"/>
        <v>#NAME?</v>
      </c>
      <c r="J34" s="43" t="e">
        <f ca="1">_xll.qlFuturesRateHelper(,H34,$H$24,C34,G34,I34,Permanent,Trigger,ObjectOverwrite)</f>
        <v>#NAME?</v>
      </c>
      <c r="K34" s="23"/>
      <c r="L34" s="894" t="str">
        <f t="shared" si="12"/>
        <v>FUT</v>
      </c>
      <c r="M34" s="890" t="e">
        <f t="shared" ca="1" si="13"/>
        <v>#NAME?</v>
      </c>
      <c r="N34" s="893" t="str">
        <f ca="1">IFERROR(_xll.qlRateHelperQuoteName(M34,Trigger),"--")</f>
        <v>--</v>
      </c>
      <c r="O34" s="1015" t="str">
        <f ca="1">IFERROR(_xll.qlRateHelperQuoteValue($M34,Trigger),"--")</f>
        <v>--</v>
      </c>
      <c r="P34" s="891" t="b">
        <v>1</v>
      </c>
      <c r="Q34" s="890">
        <v>60</v>
      </c>
      <c r="R34" s="890">
        <v>21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row>
    <row r="35" spans="1:29" ht="11.25" customHeight="1" x14ac:dyDescent="0.2">
      <c r="A35" s="873" t="s">
        <v>128</v>
      </c>
      <c r="B35" s="912" t="b">
        <v>1</v>
      </c>
      <c r="C35" s="911" t="e">
        <f ca="1">_xll.qlIMMNextCode(C34,B35,Trigger)</f>
        <v>#NAME?</v>
      </c>
      <c r="D35" s="909"/>
      <c r="E35" s="909"/>
      <c r="F35" s="909"/>
      <c r="G35" s="874" t="str">
        <f t="shared" si="14"/>
        <v>Euribor3M</v>
      </c>
      <c r="H35" s="910" t="e">
        <f t="shared" ca="1" si="15"/>
        <v>#NAME?</v>
      </c>
      <c r="I35" s="910" t="e">
        <f t="shared" ca="1" si="16"/>
        <v>#NAME?</v>
      </c>
      <c r="J35" s="43" t="e">
        <f ca="1">_xll.qlFuturesRateHelper(,H35,$H$24,C35,G35,I35,Permanent,Trigger,ObjectOverwrite)</f>
        <v>#NAME?</v>
      </c>
      <c r="K35" s="23"/>
      <c r="L35" s="894" t="str">
        <f t="shared" si="12"/>
        <v>FUT</v>
      </c>
      <c r="M35" s="890" t="e">
        <f t="shared" ca="1" si="13"/>
        <v>#NAME?</v>
      </c>
      <c r="N35" s="893" t="str">
        <f ca="1">IFERROR(_xll.qlRateHelperQuoteName(M35,Trigger),"--")</f>
        <v>--</v>
      </c>
      <c r="O35" s="1015" t="str">
        <f ca="1">IFERROR(_xll.qlRateHelperQuoteValue($M35,Trigger),"--")</f>
        <v>--</v>
      </c>
      <c r="P35" s="891" t="b">
        <v>1</v>
      </c>
      <c r="Q35" s="890">
        <v>30</v>
      </c>
      <c r="R35" s="890">
        <v>21</v>
      </c>
      <c r="S35" s="889" t="str">
        <f ca="1">IFERROR(_xll.qlRateHelperEarliestDate(M35,Trigger),"--")</f>
        <v>--</v>
      </c>
      <c r="T35" s="889" t="str">
        <f ca="1">IFERROR(_xll.qlRateHelperPillarDate(M35,Trigger),"--")</f>
        <v>--</v>
      </c>
      <c r="V35" s="4" t="str">
        <f t="shared" ref="V35:V66" ca="1" si="17">IFERROR(INDEX($L$3:$L$124,MATCH(X35,$N$3:$N$124,0),1),"")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29" ht="11.25" customHeight="1" x14ac:dyDescent="0.2">
      <c r="A36" s="873" t="s">
        <v>128</v>
      </c>
      <c r="B36" s="912" t="b">
        <v>1</v>
      </c>
      <c r="C36" s="911" t="e">
        <f ca="1">_xll.qlIMMNextCode(C35,B36,Trigger)</f>
        <v>#NAME?</v>
      </c>
      <c r="D36" s="909"/>
      <c r="E36" s="909"/>
      <c r="F36" s="909"/>
      <c r="G36" s="874" t="str">
        <f t="shared" si="14"/>
        <v>Euribor3M</v>
      </c>
      <c r="H36" s="910" t="e">
        <f t="shared" ca="1" si="15"/>
        <v>#NAME?</v>
      </c>
      <c r="I36" s="910" t="e">
        <f t="shared" ca="1" si="16"/>
        <v>#NAME?</v>
      </c>
      <c r="J36" s="43" t="e">
        <f ca="1">_xll.qlFuturesRateHelper(,H36,$H$24,C36,G36,I36,Permanent,Trigger,ObjectOverwrite)</f>
        <v>#NAME?</v>
      </c>
      <c r="K36" s="23"/>
      <c r="L36" s="894" t="str">
        <f t="shared" si="12"/>
        <v>FUT</v>
      </c>
      <c r="M36" s="890" t="e">
        <f t="shared" ca="1" si="13"/>
        <v>#NAME?</v>
      </c>
      <c r="N36" s="893" t="str">
        <f ca="1">IFERROR(_xll.qlRateHelperQuoteName(M36,Trigger),"--")</f>
        <v>--</v>
      </c>
      <c r="O36" s="1015" t="str">
        <f ca="1">IFERROR(_xll.qlRateHelperQuoteValue($M36,Trigger),"--")</f>
        <v>--</v>
      </c>
      <c r="P36" s="891" t="b">
        <v>1</v>
      </c>
      <c r="Q36" s="890">
        <v>30</v>
      </c>
      <c r="R36" s="890">
        <v>21</v>
      </c>
      <c r="S36" s="889" t="str">
        <f ca="1">IFERROR(_xll.qlRateHelperEarliestDate(M36,Trigger),"--")</f>
        <v>--</v>
      </c>
      <c r="T36" s="889" t="str">
        <f ca="1">IFERROR(_xll.qlRateHelperPillarDate(M36,Trigger),"--")</f>
        <v>--</v>
      </c>
      <c r="V36" s="4" t="str">
        <f t="shared" ca="1" si="17"/>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29" ht="11.25" customHeight="1" x14ac:dyDescent="0.2">
      <c r="A37" s="873" t="s">
        <v>128</v>
      </c>
      <c r="B37" s="912" t="b">
        <v>1</v>
      </c>
      <c r="C37" s="911" t="e">
        <f ca="1">_xll.qlIMMNextCode(C36,B37,Trigger)</f>
        <v>#NAME?</v>
      </c>
      <c r="D37" s="909"/>
      <c r="E37" s="909"/>
      <c r="F37" s="909"/>
      <c r="G37" s="874" t="str">
        <f t="shared" si="14"/>
        <v>Euribor3M</v>
      </c>
      <c r="H37" s="910" t="e">
        <f t="shared" ca="1" si="15"/>
        <v>#NAME?</v>
      </c>
      <c r="I37" s="910" t="e">
        <f t="shared" ca="1" si="16"/>
        <v>#NAME?</v>
      </c>
      <c r="J37" s="43" t="e">
        <f ca="1">_xll.qlFuturesRateHelper(,H37,$H$24,C37,G37,I37,Permanent,Trigger,ObjectOverwrite)</f>
        <v>#NAME?</v>
      </c>
      <c r="K37" s="23"/>
      <c r="L37" s="894" t="str">
        <f t="shared" si="12"/>
        <v>FUT</v>
      </c>
      <c r="M37" s="890" t="e">
        <f t="shared" ca="1" si="13"/>
        <v>#NAME?</v>
      </c>
      <c r="N37" s="893" t="str">
        <f ca="1">IFERROR(_xll.qlRateHelperQuoteName(M37,Trigger),"--")</f>
        <v>--</v>
      </c>
      <c r="O37" s="1015" t="str">
        <f ca="1">IFERROR(_xll.qlRateHelperQuoteValue($M37,Trigger),"--")</f>
        <v>--</v>
      </c>
      <c r="P37" s="891" t="b">
        <v>1</v>
      </c>
      <c r="Q37" s="890">
        <v>30</v>
      </c>
      <c r="R37" s="890">
        <v>21</v>
      </c>
      <c r="S37" s="889" t="str">
        <f ca="1">IFERROR(_xll.qlRateHelperEarliestDate(M37,Trigger),"--")</f>
        <v>--</v>
      </c>
      <c r="T37" s="889" t="str">
        <f ca="1">IFERROR(_xll.qlRateHelperPillarDate(M37,Trigger),"--")</f>
        <v>--</v>
      </c>
      <c r="V37" s="4" t="str">
        <f t="shared" ca="1" si="17"/>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29" ht="11.25" customHeight="1" x14ac:dyDescent="0.2">
      <c r="A38" s="873" t="s">
        <v>128</v>
      </c>
      <c r="B38" s="912" t="b">
        <v>1</v>
      </c>
      <c r="C38" s="911" t="e">
        <f ca="1">_xll.qlIMMNextCode(C37,B38,Trigger)</f>
        <v>#NAME?</v>
      </c>
      <c r="D38" s="909"/>
      <c r="E38" s="909"/>
      <c r="F38" s="909"/>
      <c r="G38" s="874" t="str">
        <f t="shared" si="14"/>
        <v>Euribor3M</v>
      </c>
      <c r="H38" s="910" t="e">
        <f t="shared" ca="1" si="15"/>
        <v>#NAME?</v>
      </c>
      <c r="I38" s="910" t="e">
        <f t="shared" ca="1" si="16"/>
        <v>#NAME?</v>
      </c>
      <c r="J38" s="43" t="e">
        <f ca="1">_xll.qlFuturesRateHelper(,H38,$H$24,C38,G38,I38,Permanent,Trigger,ObjectOverwrite)</f>
        <v>#NAME?</v>
      </c>
      <c r="K38" s="23"/>
      <c r="L38" s="894" t="str">
        <f t="shared" si="12"/>
        <v>FUT</v>
      </c>
      <c r="M38" s="890" t="e">
        <f t="shared" ca="1" si="13"/>
        <v>#NAME?</v>
      </c>
      <c r="N38" s="893" t="str">
        <f ca="1">IFERROR(_xll.qlRateHelperQuoteName(M38,Trigger),"--")</f>
        <v>--</v>
      </c>
      <c r="O38" s="1015" t="str">
        <f ca="1">IFERROR(_xll.qlRateHelperQuoteValue($M38,Trigger),"--")</f>
        <v>--</v>
      </c>
      <c r="P38" s="891" t="b">
        <v>1</v>
      </c>
      <c r="Q38" s="890">
        <v>30</v>
      </c>
      <c r="R38" s="890">
        <v>21</v>
      </c>
      <c r="S38" s="889" t="str">
        <f ca="1">IFERROR(_xll.qlRateHelperEarliestDate(M38,Trigger),"--")</f>
        <v>--</v>
      </c>
      <c r="T38" s="889" t="str">
        <f ca="1">IFERROR(_xll.qlRateHelperPillarDate(M38,Trigger),"--")</f>
        <v>--</v>
      </c>
      <c r="V38" s="4" t="str">
        <f t="shared" ca="1" si="17"/>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29" ht="11.25" customHeight="1" x14ac:dyDescent="0.2">
      <c r="A39" s="873" t="s">
        <v>128</v>
      </c>
      <c r="B39" s="912" t="b">
        <v>1</v>
      </c>
      <c r="C39" s="911" t="e">
        <f ca="1">_xll.qlIMMNextCode(C38,B39,Trigger)</f>
        <v>#NAME?</v>
      </c>
      <c r="D39" s="909"/>
      <c r="E39" s="909"/>
      <c r="F39" s="909"/>
      <c r="G39" s="874" t="str">
        <f t="shared" si="14"/>
        <v>Euribor3M</v>
      </c>
      <c r="H39" s="910" t="e">
        <f t="shared" ca="1" si="15"/>
        <v>#NAME?</v>
      </c>
      <c r="I39" s="910" t="e">
        <f t="shared" ca="1" si="16"/>
        <v>#NAME?</v>
      </c>
      <c r="J39" s="43" t="e">
        <f ca="1">_xll.qlFuturesRateHelper(,H39,$H$24,C39,G39,I39,Permanent,Trigger,ObjectOverwrite)</f>
        <v>#NAME?</v>
      </c>
      <c r="K39" s="23"/>
      <c r="L39" s="894" t="str">
        <f t="shared" si="12"/>
        <v>FUT</v>
      </c>
      <c r="M39" s="890" t="e">
        <f t="shared" ca="1" si="13"/>
        <v>#NAME?</v>
      </c>
      <c r="N39" s="893" t="str">
        <f ca="1">IFERROR(_xll.qlRateHelperQuoteName(M39,Trigger),"--")</f>
        <v>--</v>
      </c>
      <c r="O39" s="1015" t="str">
        <f ca="1">IFERROR(_xll.qlRateHelperQuoteValue($M39,Trigger),"--")</f>
        <v>--</v>
      </c>
      <c r="P39" s="891" t="b">
        <v>1</v>
      </c>
      <c r="Q39" s="890">
        <v>30</v>
      </c>
      <c r="R39" s="890">
        <v>21</v>
      </c>
      <c r="S39" s="889" t="str">
        <f ca="1">IFERROR(_xll.qlRateHelperEarliestDate(M39,Trigger),"--")</f>
        <v>--</v>
      </c>
      <c r="T39" s="889" t="str">
        <f ca="1">IFERROR(_xll.qlRateHelperPillarDate(M39,Trigger),"--")</f>
        <v>--</v>
      </c>
      <c r="V39" s="4" t="str">
        <f t="shared" ca="1" si="17"/>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29" ht="11.25" customHeight="1" x14ac:dyDescent="0.2">
      <c r="A40" s="873" t="s">
        <v>128</v>
      </c>
      <c r="B40" s="912" t="b">
        <v>1</v>
      </c>
      <c r="C40" s="911" t="e">
        <f ca="1">_xll.qlIMMNextCode(C39,B40,Trigger)</f>
        <v>#NAME?</v>
      </c>
      <c r="D40" s="909"/>
      <c r="E40" s="909"/>
      <c r="F40" s="909"/>
      <c r="G40" s="874" t="str">
        <f t="shared" si="14"/>
        <v>Euribor3M</v>
      </c>
      <c r="H40" s="910" t="e">
        <f t="shared" ca="1" si="15"/>
        <v>#NAME?</v>
      </c>
      <c r="I40" s="910" t="e">
        <f t="shared" ca="1" si="16"/>
        <v>#NAME?</v>
      </c>
      <c r="J40" s="43" t="e">
        <f ca="1">_xll.qlFuturesRateHelper(,H40,$H$24,C40,G40,I40,Permanent,Trigger,ObjectOverwrite)</f>
        <v>#NAME?</v>
      </c>
      <c r="K40" s="23"/>
      <c r="L40" s="894" t="str">
        <f t="shared" si="12"/>
        <v>FUT</v>
      </c>
      <c r="M40" s="890" t="e">
        <f t="shared" ca="1" si="13"/>
        <v>#NAME?</v>
      </c>
      <c r="N40" s="893" t="str">
        <f ca="1">IFERROR(_xll.qlRateHelperQuoteName(M40,Trigger),"--")</f>
        <v>--</v>
      </c>
      <c r="O40" s="1015" t="str">
        <f ca="1">IFERROR(_xll.qlRateHelperQuoteValue($M40,Trigger),"--")</f>
        <v>--</v>
      </c>
      <c r="P40" s="891" t="b">
        <v>1</v>
      </c>
      <c r="Q40" s="890">
        <v>30</v>
      </c>
      <c r="R40" s="890">
        <v>21</v>
      </c>
      <c r="S40" s="889" t="str">
        <f ca="1">IFERROR(_xll.qlRateHelperEarliestDate(M40,Trigger),"--")</f>
        <v>--</v>
      </c>
      <c r="T40" s="889" t="str">
        <f ca="1">IFERROR(_xll.qlRateHelperPillarDate(M40,Trigger),"--")</f>
        <v>--</v>
      </c>
      <c r="V40" s="4" t="str">
        <f t="shared" ca="1" si="17"/>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29" ht="11.25" customHeight="1" x14ac:dyDescent="0.2">
      <c r="A41" s="873" t="s">
        <v>128</v>
      </c>
      <c r="B41" s="912" t="b">
        <v>1</v>
      </c>
      <c r="C41" s="911" t="e">
        <f ca="1">_xll.qlIMMNextCode(C40,B41,Trigger)</f>
        <v>#NAME?</v>
      </c>
      <c r="D41" s="909"/>
      <c r="E41" s="909"/>
      <c r="F41" s="909"/>
      <c r="G41" s="874" t="str">
        <f t="shared" si="14"/>
        <v>Euribor3M</v>
      </c>
      <c r="H41" s="910" t="e">
        <f t="shared" ca="1" si="15"/>
        <v>#NAME?</v>
      </c>
      <c r="I41" s="910" t="e">
        <f t="shared" ca="1" si="16"/>
        <v>#NAME?</v>
      </c>
      <c r="J41" s="43" t="e">
        <f ca="1">_xll.qlFuturesRateHelper(,H41,$H$24,C41,G41,I41,Permanent,Trigger,ObjectOverwrite)</f>
        <v>#NAME?</v>
      </c>
      <c r="L41" s="894" t="str">
        <f t="shared" si="12"/>
        <v>FUT</v>
      </c>
      <c r="M41" s="890" t="e">
        <f t="shared" ca="1" si="13"/>
        <v>#NAME?</v>
      </c>
      <c r="N41" s="893" t="str">
        <f ca="1">IFERROR(_xll.qlRateHelperQuoteName(M41,Trigger),"--")</f>
        <v>--</v>
      </c>
      <c r="O41" s="1015" t="str">
        <f ca="1">IFERROR(_xll.qlRateHelperQuoteValue($M41,Trigger),"--")</f>
        <v>--</v>
      </c>
      <c r="P41" s="891" t="b">
        <v>1</v>
      </c>
      <c r="Q41" s="890">
        <v>30</v>
      </c>
      <c r="R41" s="890">
        <v>21</v>
      </c>
      <c r="S41" s="889" t="str">
        <f ca="1">IFERROR(_xll.qlRateHelperEarliestDate(M41,Trigger),"--")</f>
        <v>--</v>
      </c>
      <c r="T41" s="889" t="str">
        <f ca="1">IFERROR(_xll.qlRateHelperPillarDate(M41,Trigger),"--")</f>
        <v>--</v>
      </c>
      <c r="V41" s="4" t="str">
        <f t="shared" ca="1" si="17"/>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29" ht="11.25" customHeight="1" x14ac:dyDescent="0.2">
      <c r="A42" s="873" t="s">
        <v>128</v>
      </c>
      <c r="B42" s="912" t="b">
        <v>1</v>
      </c>
      <c r="C42" s="911" t="e">
        <f ca="1">_xll.qlIMMNextCode(C41,B42,Trigger)</f>
        <v>#NAME?</v>
      </c>
      <c r="D42" s="909"/>
      <c r="E42" s="909"/>
      <c r="F42" s="909"/>
      <c r="G42" s="874" t="str">
        <f t="shared" si="14"/>
        <v>Euribor3M</v>
      </c>
      <c r="H42" s="910" t="e">
        <f t="shared" ca="1" si="15"/>
        <v>#NAME?</v>
      </c>
      <c r="I42" s="910" t="e">
        <f t="shared" ca="1" si="16"/>
        <v>#NAME?</v>
      </c>
      <c r="J42" s="43" t="e">
        <f ca="1">_xll.qlFuturesRateHelper(,H42,$H$24,C42,G42,I42,Permanent,Trigger,ObjectOverwrite)</f>
        <v>#NAME?</v>
      </c>
      <c r="L42" s="894" t="str">
        <f t="shared" si="12"/>
        <v>FUT</v>
      </c>
      <c r="M42" s="890" t="e">
        <f t="shared" ca="1" si="13"/>
        <v>#NAME?</v>
      </c>
      <c r="N42" s="893" t="str">
        <f ca="1">IFERROR(_xll.qlRateHelperQuoteName(M42,Trigger),"--")</f>
        <v>--</v>
      </c>
      <c r="O42" s="1015" t="str">
        <f ca="1">IFERROR(_xll.qlRateHelperQuoteValue($M42,Trigger),"--")</f>
        <v>--</v>
      </c>
      <c r="P42" s="891" t="b">
        <v>1</v>
      </c>
      <c r="Q42" s="890">
        <v>30</v>
      </c>
      <c r="R42" s="890">
        <v>21</v>
      </c>
      <c r="S42" s="889" t="str">
        <f ca="1">IFERROR(_xll.qlRateHelperEarliestDate(M42,Trigger),"--")</f>
        <v>--</v>
      </c>
      <c r="T42" s="889" t="str">
        <f ca="1">IFERROR(_xll.qlRateHelperPillarDate(M42,Trigger),"--")</f>
        <v>--</v>
      </c>
      <c r="V42" s="4" t="str">
        <f t="shared" ca="1" si="17"/>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29" ht="11.25" customHeight="1" x14ac:dyDescent="0.2">
      <c r="A43" s="873" t="s">
        <v>128</v>
      </c>
      <c r="B43" s="912" t="b">
        <v>1</v>
      </c>
      <c r="C43" s="911" t="e">
        <f ca="1">_xll.qlIMMNextCode(C42,B43,Trigger)</f>
        <v>#NAME?</v>
      </c>
      <c r="D43" s="909"/>
      <c r="E43" s="909"/>
      <c r="F43" s="909"/>
      <c r="G43" s="874" t="str">
        <f t="shared" si="14"/>
        <v>Euribor3M</v>
      </c>
      <c r="H43" s="910" t="e">
        <f t="shared" ca="1" si="15"/>
        <v>#NAME?</v>
      </c>
      <c r="I43" s="910" t="e">
        <f t="shared" ca="1" si="16"/>
        <v>#NAME?</v>
      </c>
      <c r="J43" s="43" t="e">
        <f ca="1">_xll.qlFuturesRateHelper(,H43,$H$24,C43,G43,I43,Permanent,Trigger,ObjectOverwrite)</f>
        <v>#NAME?</v>
      </c>
      <c r="L43" s="885" t="str">
        <f t="shared" si="12"/>
        <v>FUT</v>
      </c>
      <c r="M43" s="881" t="e">
        <f t="shared" ca="1" si="13"/>
        <v>#NAME?</v>
      </c>
      <c r="N43" s="884" t="str">
        <f ca="1">IFERROR(_xll.qlRateHelperQuoteName(M43,Trigger),"--")</f>
        <v>--</v>
      </c>
      <c r="O43" s="1014" t="str">
        <f ca="1">IFERROR(_xll.qlRateHelperQuoteValue($M43,Trigger),"--")</f>
        <v>--</v>
      </c>
      <c r="P43" s="882" t="b">
        <v>1</v>
      </c>
      <c r="Q43" s="881">
        <v>30</v>
      </c>
      <c r="R43" s="881">
        <v>21</v>
      </c>
      <c r="S43" s="880" t="str">
        <f ca="1">IFERROR(_xll.qlRateHelperEarliestDate(M43,Trigger),"--")</f>
        <v>--</v>
      </c>
      <c r="T43" s="880" t="str">
        <f ca="1">IFERROR(_xll.qlRateHelperPillarDate(M43,Trigger),"--")</f>
        <v>--</v>
      </c>
      <c r="V43" s="4" t="str">
        <f t="shared" ca="1" si="17"/>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29" ht="11.25" customHeight="1" x14ac:dyDescent="0.2">
      <c r="A44" s="873" t="s">
        <v>128</v>
      </c>
      <c r="B44" s="912" t="b">
        <v>1</v>
      </c>
      <c r="C44" s="911" t="e">
        <f ca="1">_xll.qlIMMNextCode(C43,B44,Trigger)</f>
        <v>#NAME?</v>
      </c>
      <c r="D44" s="909"/>
      <c r="E44" s="909"/>
      <c r="F44" s="909"/>
      <c r="G44" s="874" t="str">
        <f t="shared" si="14"/>
        <v>Euribor3M</v>
      </c>
      <c r="H44" s="910" t="e">
        <f t="shared" ca="1" si="15"/>
        <v>#NAME?</v>
      </c>
      <c r="I44" s="910" t="e">
        <f t="shared" ca="1" si="16"/>
        <v>#NAME?</v>
      </c>
      <c r="J44" s="43" t="e">
        <f ca="1">_xll.qlFuturesRateHelper(,H44,$H$24,C44,G44,I44,Permanent,Trigger,ObjectOverwrite)</f>
        <v>#NAME?</v>
      </c>
      <c r="L44" s="1004" t="str">
        <f t="shared" ref="L44:L80" si="18">A50</f>
        <v>Sw</v>
      </c>
      <c r="M44" s="1013" t="str">
        <f t="shared" ref="M44:M80" si="19">IF(ISBLANK(J50),"--",J50)</f>
        <v>--</v>
      </c>
      <c r="N44" s="1003" t="str">
        <f ca="1">IFERROR(_xll.qlRateHelperQuoteName(M44,Trigger),"--")</f>
        <v>--</v>
      </c>
      <c r="O44" s="1002" t="str">
        <f ca="1">IFERROR(_xll.qlRateHelperQuoteValue($M44,Trigger),"--")</f>
        <v>--</v>
      </c>
      <c r="P44" s="969" t="b">
        <v>0</v>
      </c>
      <c r="Q44" s="1013">
        <v>50</v>
      </c>
      <c r="R44" s="1013">
        <v>1</v>
      </c>
      <c r="S44" s="1001" t="str">
        <f ca="1">IFERROR(_xll.qlRateHelperEarliestDate(M44,Trigger),"--")</f>
        <v>--</v>
      </c>
      <c r="T44" s="1001" t="str">
        <f ca="1">IFERROR(_xll.qlRateHelperPillarDate(M44,Trigger),"--")</f>
        <v>--</v>
      </c>
      <c r="V44" s="4" t="str">
        <f t="shared" ca="1" si="17"/>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29" ht="11.25" customHeight="1" x14ac:dyDescent="0.2">
      <c r="A45" s="873" t="s">
        <v>128</v>
      </c>
      <c r="B45" s="912" t="b">
        <v>1</v>
      </c>
      <c r="C45" s="911" t="e">
        <f ca="1">_xll.qlIMMNextCode(C44,B45,Trigger)</f>
        <v>#NAME?</v>
      </c>
      <c r="D45" s="909"/>
      <c r="E45" s="909"/>
      <c r="F45" s="909"/>
      <c r="G45" s="874" t="str">
        <f t="shared" si="14"/>
        <v>Euribor3M</v>
      </c>
      <c r="H45" s="910" t="e">
        <f t="shared" ca="1" si="15"/>
        <v>#NAME?</v>
      </c>
      <c r="I45" s="910" t="e">
        <f t="shared" ca="1" si="16"/>
        <v>#NAME?</v>
      </c>
      <c r="J45" s="43" t="e">
        <f ca="1">_xll.qlFuturesRateHelper(,H45,$H$24,C45,G45,I45,Permanent,Trigger,ObjectOverwrite)</f>
        <v>#NAME?</v>
      </c>
      <c r="L45" s="1004" t="str">
        <f t="shared" si="18"/>
        <v>Sw</v>
      </c>
      <c r="M45" s="1013" t="str">
        <f t="shared" si="19"/>
        <v>--</v>
      </c>
      <c r="N45" s="1003" t="str">
        <f ca="1">IFERROR(_xll.qlRateHelperQuoteName(M45,Trigger),"--")</f>
        <v>--</v>
      </c>
      <c r="O45" s="1002" t="str">
        <f ca="1">IFERROR(_xll.qlRateHelperQuoteValue($M45,Trigger),"--")</f>
        <v>--</v>
      </c>
      <c r="P45" s="969" t="b">
        <v>0</v>
      </c>
      <c r="Q45" s="1013">
        <v>50</v>
      </c>
      <c r="R45" s="1013">
        <v>1</v>
      </c>
      <c r="S45" s="1001" t="str">
        <f ca="1">IFERROR(_xll.qlRateHelperEarliestDate(M45,Trigger),"--")</f>
        <v>--</v>
      </c>
      <c r="T45" s="1001" t="str">
        <f ca="1">IFERROR(_xll.qlRateHelperPillarDate(M45,Trigger),"--")</f>
        <v>--</v>
      </c>
      <c r="V45" s="4" t="str">
        <f t="shared" ca="1" si="17"/>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29" ht="11.25" customHeight="1" x14ac:dyDescent="0.2">
      <c r="A46" s="873" t="s">
        <v>128</v>
      </c>
      <c r="B46" s="912" t="b">
        <v>1</v>
      </c>
      <c r="C46" s="911" t="e">
        <f ca="1">_xll.qlIMMNextCode(C45,B46,Trigger)</f>
        <v>#NAME?</v>
      </c>
      <c r="D46" s="909"/>
      <c r="E46" s="909"/>
      <c r="F46" s="909"/>
      <c r="G46" s="874" t="str">
        <f t="shared" si="14"/>
        <v>Euribor3M</v>
      </c>
      <c r="H46" s="910" t="e">
        <f t="shared" ca="1" si="15"/>
        <v>#NAME?</v>
      </c>
      <c r="I46" s="910" t="e">
        <f t="shared" ca="1" si="16"/>
        <v>#NAME?</v>
      </c>
      <c r="J46" s="43" t="e">
        <f ca="1">_xll.qlFuturesRateHelper(,H46,$H$24,C46,G46,I46,Permanent,Trigger,ObjectOverwrite)</f>
        <v>#NAME?</v>
      </c>
      <c r="L46" s="1004" t="str">
        <f t="shared" si="18"/>
        <v>Sw</v>
      </c>
      <c r="M46" s="1013" t="str">
        <f t="shared" si="19"/>
        <v>--</v>
      </c>
      <c r="N46" s="1003" t="str">
        <f ca="1">IFERROR(_xll.qlRateHelperQuoteName(M46,Trigger),"--")</f>
        <v>--</v>
      </c>
      <c r="O46" s="1002" t="str">
        <f ca="1">IFERROR(_xll.qlRateHelperQuoteValue($M46,Trigger),"--")</f>
        <v>--</v>
      </c>
      <c r="P46" s="969" t="b">
        <v>0</v>
      </c>
      <c r="Q46" s="1013">
        <v>50</v>
      </c>
      <c r="R46" s="1013">
        <v>1</v>
      </c>
      <c r="S46" s="1001" t="str">
        <f ca="1">IFERROR(_xll.qlRateHelperEarliestDate(M46,Trigger),"--")</f>
        <v>--</v>
      </c>
      <c r="T46" s="1001" t="str">
        <f ca="1">IFERROR(_xll.qlRateHelperPillarDate(M46,Trigger),"--")</f>
        <v>--</v>
      </c>
      <c r="V46" s="4" t="str">
        <f t="shared" ca="1" si="17"/>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29" ht="11.25" customHeight="1" x14ac:dyDescent="0.2">
      <c r="A47" s="869" t="s">
        <v>128</v>
      </c>
      <c r="B47" s="902" t="b">
        <v>1</v>
      </c>
      <c r="C47" s="901" t="e">
        <f ca="1">_xll.qlIMMNextCode(C46,B47,Trigger)</f>
        <v>#NAME?</v>
      </c>
      <c r="D47" s="899"/>
      <c r="E47" s="899"/>
      <c r="F47" s="899"/>
      <c r="G47" s="870" t="str">
        <f t="shared" si="14"/>
        <v>Euribor3M</v>
      </c>
      <c r="H47" s="900" t="e">
        <f t="shared" ca="1" si="15"/>
        <v>#NAME?</v>
      </c>
      <c r="I47" s="900" t="e">
        <f t="shared" ca="1" si="16"/>
        <v>#NAME?</v>
      </c>
      <c r="J47" s="38" t="e">
        <f ca="1">_xll.qlFuturesRateHelper(,H47,$H$24,C47,G47,I47,Permanent,Trigger,ObjectOverwrite)</f>
        <v>#NAME?</v>
      </c>
      <c r="L47" s="1004" t="str">
        <f t="shared" si="18"/>
        <v>Sw</v>
      </c>
      <c r="M47" s="1013" t="str">
        <f t="shared" si="19"/>
        <v>--</v>
      </c>
      <c r="N47" s="1003" t="str">
        <f ca="1">IFERROR(_xll.qlRateHelperQuoteName(M47,Trigger),"--")</f>
        <v>--</v>
      </c>
      <c r="O47" s="1002" t="str">
        <f ca="1">IFERROR(_xll.qlRateHelperQuoteValue($M47,Trigger),"--")</f>
        <v>--</v>
      </c>
      <c r="P47" s="969" t="b">
        <v>0</v>
      </c>
      <c r="Q47" s="1013">
        <v>50</v>
      </c>
      <c r="R47" s="1013">
        <v>1</v>
      </c>
      <c r="S47" s="1001" t="str">
        <f ca="1">IFERROR(_xll.qlRateHelperEarliestDate(M47,Trigger),"--")</f>
        <v>--</v>
      </c>
      <c r="T47" s="1001" t="str">
        <f ca="1">IFERROR(_xll.qlRateHelperPillarDate(M47,Trigger),"--")</f>
        <v>--</v>
      </c>
      <c r="V47" s="4" t="str">
        <f t="shared" ca="1" si="17"/>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29" ht="11.25" customHeight="1" x14ac:dyDescent="0.2">
      <c r="G48" s="238" t="s">
        <v>21</v>
      </c>
      <c r="H48" s="238" t="s">
        <v>69</v>
      </c>
      <c r="L48" s="1004" t="str">
        <f t="shared" si="18"/>
        <v>Sw</v>
      </c>
      <c r="M48" s="1013" t="str">
        <f t="shared" si="19"/>
        <v>--</v>
      </c>
      <c r="N48" s="1003" t="str">
        <f ca="1">IFERROR(_xll.qlRateHelperQuoteName(M48,Trigger),"--")</f>
        <v>--</v>
      </c>
      <c r="O48" s="1002" t="str">
        <f ca="1">IFERROR(_xll.qlRateHelperQuoteValue($M48,Trigger),"--")</f>
        <v>--</v>
      </c>
      <c r="P48" s="969" t="b">
        <v>0</v>
      </c>
      <c r="Q48" s="1013">
        <v>50</v>
      </c>
      <c r="R48" s="1013">
        <v>1</v>
      </c>
      <c r="S48" s="1001" t="str">
        <f ca="1">IFERROR(_xll.qlRateHelperEarliestDate(M48,Trigger),"--")</f>
        <v>--</v>
      </c>
      <c r="T48" s="1001" t="str">
        <f ca="1">IFERROR(_xll.qlRateHelperPillarDate(M48,Trigger),"--")</f>
        <v>--</v>
      </c>
      <c r="V48" s="4" t="str">
        <f t="shared" ca="1" si="17"/>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145" t="s">
        <v>388</v>
      </c>
      <c r="B49" s="145" t="s">
        <v>107</v>
      </c>
      <c r="C49" s="145" t="s">
        <v>387</v>
      </c>
      <c r="D49" s="145" t="s">
        <v>330</v>
      </c>
      <c r="E49" s="145" t="s">
        <v>386</v>
      </c>
      <c r="F49" s="145" t="s">
        <v>385</v>
      </c>
      <c r="G49" s="145" t="s">
        <v>14</v>
      </c>
      <c r="H49" s="145" t="s">
        <v>384</v>
      </c>
      <c r="I49" s="145" t="s">
        <v>62</v>
      </c>
      <c r="J49" s="145" t="s">
        <v>383</v>
      </c>
      <c r="L49" s="1004" t="str">
        <f t="shared" si="18"/>
        <v>Sw</v>
      </c>
      <c r="M49" s="1013" t="e">
        <f t="shared" ca="1" si="19"/>
        <v>#NAME?</v>
      </c>
      <c r="N49" s="1003" t="str">
        <f ca="1">IFERROR(_xll.qlRateHelperQuoteName(M49,Trigger),"--")</f>
        <v>--</v>
      </c>
      <c r="O49" s="1002" t="str">
        <f ca="1">IFERROR(_xll.qlRateHelperQuoteValue($M49,Trigger),"--")</f>
        <v>--</v>
      </c>
      <c r="P49" s="969" t="b">
        <v>1</v>
      </c>
      <c r="Q49" s="1013">
        <v>50</v>
      </c>
      <c r="R49" s="1013">
        <v>1</v>
      </c>
      <c r="S49" s="1001" t="str">
        <f ca="1">IFERROR(_xll.qlRateHelperEarliestDate(M49,Trigger),"--")</f>
        <v>--</v>
      </c>
      <c r="T49" s="1001" t="str">
        <f ca="1">IFERROR(_xll.qlRateHelperPillarDate(M49,Trigger),"--")</f>
        <v>--</v>
      </c>
      <c r="V49" s="4" t="str">
        <f t="shared" ca="1" si="17"/>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58</v>
      </c>
      <c r="C50" s="874" t="s">
        <v>324</v>
      </c>
      <c r="D50" s="874" t="s">
        <v>323</v>
      </c>
      <c r="E50" s="874" t="s">
        <v>322</v>
      </c>
      <c r="F50" s="874" t="s">
        <v>221</v>
      </c>
      <c r="G50" s="874" t="str">
        <f t="shared" ref="G50:G86" si="20">PROPER(Currency)&amp;FamilyName&amp;Tenor</f>
        <v>Euribor3M</v>
      </c>
      <c r="H50" s="873" t="str">
        <f t="shared" ref="H50:H86" si="21">Currency&amp;$G$48&amp;$H$48&amp;$B50&amp;QuoteSuffix</f>
        <v>EURAB3E1Y_Quote</v>
      </c>
      <c r="I50" s="876">
        <v>0</v>
      </c>
      <c r="J50" s="43"/>
      <c r="L50" s="1004" t="str">
        <f t="shared" si="18"/>
        <v>Sw</v>
      </c>
      <c r="M50" s="1013" t="e">
        <f t="shared" ca="1" si="19"/>
        <v>#NAME?</v>
      </c>
      <c r="N50" s="1003" t="str">
        <f ca="1">IFERROR(_xll.qlRateHelperQuoteName(M50,Trigger),"--")</f>
        <v>--</v>
      </c>
      <c r="O50" s="1002" t="str">
        <f ca="1">IFERROR(_xll.qlRateHelperQuoteValue($M50,Trigger),"--")</f>
        <v>--</v>
      </c>
      <c r="P50" s="969" t="b">
        <v>1</v>
      </c>
      <c r="Q50" s="1013">
        <v>50</v>
      </c>
      <c r="R50" s="1013">
        <v>1</v>
      </c>
      <c r="S50" s="1001" t="str">
        <f ca="1">IFERROR(_xll.qlRateHelperEarliestDate(M50,Trigger),"--")</f>
        <v>--</v>
      </c>
      <c r="T50" s="1001" t="str">
        <f ca="1">IFERROR(_xll.qlRateHelperPillarDate(M50,Trigger),"--")</f>
        <v>--</v>
      </c>
      <c r="V50" s="4" t="str">
        <f t="shared" ca="1" si="17"/>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57</v>
      </c>
      <c r="C51" s="874" t="s">
        <v>324</v>
      </c>
      <c r="D51" s="874" t="s">
        <v>323</v>
      </c>
      <c r="E51" s="874" t="s">
        <v>322</v>
      </c>
      <c r="F51" s="874" t="s">
        <v>221</v>
      </c>
      <c r="G51" s="874" t="str">
        <f t="shared" si="20"/>
        <v>Euribor3M</v>
      </c>
      <c r="H51" s="873" t="str">
        <f t="shared" si="21"/>
        <v>EURAB3E15M_Quote</v>
      </c>
      <c r="I51" s="876">
        <v>0</v>
      </c>
      <c r="J51" s="43"/>
      <c r="L51" s="1004" t="str">
        <f t="shared" si="18"/>
        <v>Sw</v>
      </c>
      <c r="M51" s="1013" t="e">
        <f t="shared" ca="1" si="19"/>
        <v>#NAME?</v>
      </c>
      <c r="N51" s="1003" t="str">
        <f ca="1">IFERROR(_xll.qlRateHelperQuoteName(M51,Trigger),"--")</f>
        <v>--</v>
      </c>
      <c r="O51" s="1002" t="str">
        <f ca="1">IFERROR(_xll.qlRateHelperQuoteValue($M51,Trigger),"--")</f>
        <v>--</v>
      </c>
      <c r="P51" s="969" t="b">
        <v>1</v>
      </c>
      <c r="Q51" s="1013">
        <v>50</v>
      </c>
      <c r="R51" s="1013">
        <v>1</v>
      </c>
      <c r="S51" s="1001" t="str">
        <f ca="1">IFERROR(_xll.qlRateHelperEarliestDate(M51,Trigger),"--")</f>
        <v>--</v>
      </c>
      <c r="T51" s="1001" t="str">
        <f ca="1">IFERROR(_xll.qlRateHelperPillarDate(M51,Trigger),"--")</f>
        <v>--</v>
      </c>
      <c r="V51" s="4" t="str">
        <f t="shared" ca="1" si="17"/>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56</v>
      </c>
      <c r="C52" s="874" t="s">
        <v>324</v>
      </c>
      <c r="D52" s="874" t="s">
        <v>323</v>
      </c>
      <c r="E52" s="874" t="s">
        <v>322</v>
      </c>
      <c r="F52" s="874" t="s">
        <v>221</v>
      </c>
      <c r="G52" s="874" t="str">
        <f t="shared" si="20"/>
        <v>Euribor3M</v>
      </c>
      <c r="H52" s="873" t="str">
        <f t="shared" si="21"/>
        <v>EURAB3E18M_Quote</v>
      </c>
      <c r="I52" s="876">
        <v>0</v>
      </c>
      <c r="J52" s="43"/>
      <c r="L52" s="1004" t="str">
        <f t="shared" si="18"/>
        <v>Sw</v>
      </c>
      <c r="M52" s="1013" t="e">
        <f t="shared" ca="1" si="19"/>
        <v>#NAME?</v>
      </c>
      <c r="N52" s="1003" t="str">
        <f ca="1">IFERROR(_xll.qlRateHelperQuoteName(M52,Trigger),"--")</f>
        <v>--</v>
      </c>
      <c r="O52" s="1002" t="str">
        <f ca="1">IFERROR(_xll.qlRateHelperQuoteValue($M52,Trigger),"--")</f>
        <v>--</v>
      </c>
      <c r="P52" s="969" t="b">
        <v>1</v>
      </c>
      <c r="Q52" s="1013">
        <v>50</v>
      </c>
      <c r="R52" s="1013">
        <v>1</v>
      </c>
      <c r="S52" s="1001" t="str">
        <f ca="1">IFERROR(_xll.qlRateHelperEarliestDate(M52,Trigger),"--")</f>
        <v>--</v>
      </c>
      <c r="T52" s="1001" t="str">
        <f ca="1">IFERROR(_xll.qlRateHelperPillarDate(M52,Trigger),"--")</f>
        <v>--</v>
      </c>
      <c r="V52" s="4" t="str">
        <f t="shared" ca="1" si="17"/>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55</v>
      </c>
      <c r="C53" s="874" t="s">
        <v>324</v>
      </c>
      <c r="D53" s="874" t="s">
        <v>323</v>
      </c>
      <c r="E53" s="874" t="s">
        <v>322</v>
      </c>
      <c r="F53" s="874" t="s">
        <v>221</v>
      </c>
      <c r="G53" s="874" t="str">
        <f t="shared" si="20"/>
        <v>Euribor3M</v>
      </c>
      <c r="H53" s="873" t="str">
        <f t="shared" si="21"/>
        <v>EURAB3E21M_Quote</v>
      </c>
      <c r="I53" s="876">
        <v>0</v>
      </c>
      <c r="J53" s="43"/>
      <c r="L53" s="1004" t="str">
        <f t="shared" si="18"/>
        <v>Sw</v>
      </c>
      <c r="M53" s="1013" t="e">
        <f t="shared" ca="1" si="19"/>
        <v>#NAME?</v>
      </c>
      <c r="N53" s="1003" t="str">
        <f ca="1">IFERROR(_xll.qlRateHelperQuoteName(M53,Trigger),"--")</f>
        <v>--</v>
      </c>
      <c r="O53" s="1002" t="str">
        <f ca="1">IFERROR(_xll.qlRateHelperQuoteValue($M53,Trigger),"--")</f>
        <v>--</v>
      </c>
      <c r="P53" s="969" t="b">
        <v>1</v>
      </c>
      <c r="Q53" s="1013">
        <v>50</v>
      </c>
      <c r="R53" s="1013">
        <v>1</v>
      </c>
      <c r="S53" s="1001" t="str">
        <f ca="1">IFERROR(_xll.qlRateHelperEarliestDate(M53,Trigger),"--")</f>
        <v>--</v>
      </c>
      <c r="T53" s="1001" t="str">
        <f ca="1">IFERROR(_xll.qlRateHelperPillarDate(M53,Trigger),"--")</f>
        <v>--</v>
      </c>
      <c r="V53" s="4" t="str">
        <f t="shared" ca="1" si="17"/>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54</v>
      </c>
      <c r="C54" s="874" t="s">
        <v>324</v>
      </c>
      <c r="D54" s="874" t="s">
        <v>323</v>
      </c>
      <c r="E54" s="874" t="s">
        <v>322</v>
      </c>
      <c r="F54" s="874" t="s">
        <v>221</v>
      </c>
      <c r="G54" s="874" t="str">
        <f t="shared" si="20"/>
        <v>Euribor3M</v>
      </c>
      <c r="H54" s="873" t="str">
        <f t="shared" si="21"/>
        <v>EURAB3E2Y_Quote</v>
      </c>
      <c r="I54" s="876">
        <v>0</v>
      </c>
      <c r="J54" s="43"/>
      <c r="L54" s="1004" t="str">
        <f t="shared" si="18"/>
        <v>Sw</v>
      </c>
      <c r="M54" s="1013" t="e">
        <f t="shared" ca="1" si="19"/>
        <v>#NAME?</v>
      </c>
      <c r="N54" s="1003" t="str">
        <f ca="1">IFERROR(_xll.qlRateHelperQuoteName(M54,Trigger),"--")</f>
        <v>--</v>
      </c>
      <c r="O54" s="1002" t="str">
        <f ca="1">IFERROR(_xll.qlRateHelperQuoteValue($M54,Trigger),"--")</f>
        <v>--</v>
      </c>
      <c r="P54" s="969" t="b">
        <v>1</v>
      </c>
      <c r="Q54" s="1013">
        <v>50</v>
      </c>
      <c r="R54" s="1013">
        <v>1</v>
      </c>
      <c r="S54" s="1001" t="str">
        <f ca="1">IFERROR(_xll.qlRateHelperEarliestDate(M54,Trigger),"--")</f>
        <v>--</v>
      </c>
      <c r="T54" s="1001" t="str">
        <f ca="1">IFERROR(_xll.qlRateHelperPillarDate(M54,Trigger),"--")</f>
        <v>--</v>
      </c>
      <c r="V54" s="4" t="str">
        <f t="shared" ca="1" si="17"/>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53</v>
      </c>
      <c r="C55" s="874" t="s">
        <v>324</v>
      </c>
      <c r="D55" s="874" t="s">
        <v>323</v>
      </c>
      <c r="E55" s="874" t="s">
        <v>322</v>
      </c>
      <c r="F55" s="874" t="s">
        <v>221</v>
      </c>
      <c r="G55" s="874" t="str">
        <f t="shared" si="20"/>
        <v>Euribor3M</v>
      </c>
      <c r="H55" s="873" t="str">
        <f t="shared" si="21"/>
        <v>EURAB3E3Y_Quote</v>
      </c>
      <c r="I55" s="876">
        <v>0</v>
      </c>
      <c r="J55" s="43" t="e">
        <f ca="1">_xll.qlSwapRateHelper2(,H55,2,B55,Calendar,D55,E55,F55,G55,I55,C55,Discounting,PillarDate,,Permanent,Trigger,ObjectOverwrite)</f>
        <v>#NAME?</v>
      </c>
      <c r="L55" s="1004" t="str">
        <f t="shared" si="18"/>
        <v>Sw</v>
      </c>
      <c r="M55" s="1013" t="e">
        <f t="shared" ca="1" si="19"/>
        <v>#NAME?</v>
      </c>
      <c r="N55" s="1003" t="str">
        <f ca="1">IFERROR(_xll.qlRateHelperQuoteName(M55,Trigger),"--")</f>
        <v>--</v>
      </c>
      <c r="O55" s="1002" t="str">
        <f ca="1">IFERROR(_xll.qlRateHelperQuoteValue($M55,Trigger),"--")</f>
        <v>--</v>
      </c>
      <c r="P55" s="969" t="b">
        <v>1</v>
      </c>
      <c r="Q55" s="1013">
        <v>50</v>
      </c>
      <c r="R55" s="1013">
        <v>1</v>
      </c>
      <c r="S55" s="1001" t="str">
        <f ca="1">IFERROR(_xll.qlRateHelperEarliestDate(M55,Trigger),"--")</f>
        <v>--</v>
      </c>
      <c r="T55" s="1001" t="str">
        <f ca="1">IFERROR(_xll.qlRateHelperPillarDate(M55,Trigger),"--")</f>
        <v>--</v>
      </c>
      <c r="V55" s="4" t="str">
        <f t="shared" ca="1" si="17"/>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52</v>
      </c>
      <c r="C56" s="874" t="s">
        <v>324</v>
      </c>
      <c r="D56" s="874" t="s">
        <v>323</v>
      </c>
      <c r="E56" s="874" t="s">
        <v>322</v>
      </c>
      <c r="F56" s="874" t="s">
        <v>221</v>
      </c>
      <c r="G56" s="874" t="str">
        <f t="shared" si="20"/>
        <v>Euribor3M</v>
      </c>
      <c r="H56" s="873" t="str">
        <f t="shared" si="21"/>
        <v>EURAB3E4Y_Quote</v>
      </c>
      <c r="I56" s="876">
        <v>0</v>
      </c>
      <c r="J56" s="43" t="e">
        <f ca="1">_xll.qlSwapRateHelper2(,H56,2,B56,Calendar,D56,E56,F56,G56,I56,C56,Discounting,PillarDate,,Permanent,Trigger,ObjectOverwrite)</f>
        <v>#NAME?</v>
      </c>
      <c r="L56" s="1004" t="str">
        <f t="shared" si="18"/>
        <v>Sw</v>
      </c>
      <c r="M56" s="969" t="e">
        <f t="shared" ca="1" si="19"/>
        <v>#NAME?</v>
      </c>
      <c r="N56" s="1003" t="str">
        <f ca="1">IFERROR(_xll.qlRateHelperQuoteName(M56,Trigger),"--")</f>
        <v>--</v>
      </c>
      <c r="O56" s="1002" t="str">
        <f ca="1">IFERROR(_xll.qlRateHelperQuoteValue($M56,Trigger),"--")</f>
        <v>--</v>
      </c>
      <c r="P56" s="969" t="b">
        <v>1</v>
      </c>
      <c r="Q56" s="969">
        <v>50</v>
      </c>
      <c r="R56" s="969">
        <v>1</v>
      </c>
      <c r="S56" s="1001" t="str">
        <f ca="1">IFERROR(_xll.qlRateHelperEarliestDate(M56,Trigger),"--")</f>
        <v>--</v>
      </c>
      <c r="T56" s="1001" t="str">
        <f ca="1">IFERROR(_xll.qlRateHelperPillarDate(M56,Trigger),"--")</f>
        <v>--</v>
      </c>
      <c r="V56" s="4" t="str">
        <f t="shared" ca="1" si="17"/>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51</v>
      </c>
      <c r="C57" s="874" t="s">
        <v>324</v>
      </c>
      <c r="D57" s="874" t="s">
        <v>323</v>
      </c>
      <c r="E57" s="874" t="s">
        <v>322</v>
      </c>
      <c r="F57" s="874" t="s">
        <v>221</v>
      </c>
      <c r="G57" s="874" t="str">
        <f t="shared" si="20"/>
        <v>Euribor3M</v>
      </c>
      <c r="H57" s="873" t="str">
        <f t="shared" si="21"/>
        <v>EURAB3E5Y_Quote</v>
      </c>
      <c r="I57" s="876">
        <v>0</v>
      </c>
      <c r="J57" s="43" t="e">
        <f ca="1">_xll.qlSwapRateHelper2(,H57,2,B57,Calendar,D57,E57,F57,G57,I57,C57,Discounting,PillarDate,,Permanent,Trigger,ObjectOverwrite)</f>
        <v>#NAME?</v>
      </c>
      <c r="L57" s="1004" t="str">
        <f t="shared" si="18"/>
        <v>Sw</v>
      </c>
      <c r="M57" s="969" t="str">
        <f t="shared" si="19"/>
        <v>--</v>
      </c>
      <c r="N57" s="1003" t="str">
        <f ca="1">IFERROR(_xll.qlRateHelperQuoteName(M57,Trigger),"--")</f>
        <v>--</v>
      </c>
      <c r="O57" s="1002" t="str">
        <f ca="1">IFERROR(_xll.qlRateHelperQuoteValue($M57,Trigger),"--")</f>
        <v>--</v>
      </c>
      <c r="P57" s="969" t="b">
        <v>0</v>
      </c>
      <c r="Q57" s="969">
        <v>50</v>
      </c>
      <c r="R57" s="969">
        <v>1</v>
      </c>
      <c r="S57" s="1001" t="str">
        <f ca="1">IFERROR(_xll.qlRateHelperEarliestDate(M57,Trigger),"--")</f>
        <v>--</v>
      </c>
      <c r="T57" s="1001" t="str">
        <f ca="1">IFERROR(_xll.qlRateHelperPillarDate(M57,Trigger),"--")</f>
        <v>--</v>
      </c>
      <c r="V57" s="4" t="str">
        <f t="shared" ca="1" si="17"/>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50</v>
      </c>
      <c r="C58" s="874" t="s">
        <v>324</v>
      </c>
      <c r="D58" s="874" t="s">
        <v>323</v>
      </c>
      <c r="E58" s="874" t="s">
        <v>322</v>
      </c>
      <c r="F58" s="874" t="s">
        <v>221</v>
      </c>
      <c r="G58" s="874" t="str">
        <f t="shared" si="20"/>
        <v>Euribor3M</v>
      </c>
      <c r="H58" s="873" t="str">
        <f t="shared" si="21"/>
        <v>EURAB3E6Y_Quote</v>
      </c>
      <c r="I58" s="876">
        <v>0</v>
      </c>
      <c r="J58" s="43" t="e">
        <f ca="1">_xll.qlSwapRateHelper2(,H58,2,B58,Calendar,D58,E58,F58,G58,I58,C58,Discounting,PillarDate,,Permanent,Trigger,ObjectOverwrite)</f>
        <v>#NAME?</v>
      </c>
      <c r="L58" s="1004" t="str">
        <f t="shared" si="18"/>
        <v>Sw</v>
      </c>
      <c r="M58" s="969" t="e">
        <f t="shared" ca="1" si="19"/>
        <v>#NAME?</v>
      </c>
      <c r="N58" s="1003" t="str">
        <f ca="1">IFERROR(_xll.qlRateHelperQuoteName(M58,Trigger),"--")</f>
        <v>--</v>
      </c>
      <c r="O58" s="1002" t="str">
        <f ca="1">IFERROR(_xll.qlRateHelperQuoteValue($M58,Trigger),"--")</f>
        <v>--</v>
      </c>
      <c r="P58" s="969" t="b">
        <v>1</v>
      </c>
      <c r="Q58" s="969">
        <v>50</v>
      </c>
      <c r="R58" s="969">
        <v>1</v>
      </c>
      <c r="S58" s="1001" t="str">
        <f ca="1">IFERROR(_xll.qlRateHelperEarliestDate(M58,Trigger),"--")</f>
        <v>--</v>
      </c>
      <c r="T58" s="1001" t="str">
        <f ca="1">IFERROR(_xll.qlRateHelperPillarDate(M58,Trigger),"--")</f>
        <v>--</v>
      </c>
      <c r="V58" s="4" t="str">
        <f t="shared" ca="1" si="17"/>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49</v>
      </c>
      <c r="C59" s="874" t="s">
        <v>324</v>
      </c>
      <c r="D59" s="874" t="s">
        <v>323</v>
      </c>
      <c r="E59" s="874" t="s">
        <v>322</v>
      </c>
      <c r="F59" s="874" t="s">
        <v>221</v>
      </c>
      <c r="G59" s="874" t="str">
        <f t="shared" si="20"/>
        <v>Euribor3M</v>
      </c>
      <c r="H59" s="873" t="str">
        <f t="shared" si="21"/>
        <v>EURAB3E7Y_Quote</v>
      </c>
      <c r="I59" s="876">
        <v>0</v>
      </c>
      <c r="J59" s="43" t="e">
        <f ca="1">_xll.qlSwapRateHelper2(,H59,2,B59,Calendar,D59,E59,F59,G59,I59,C59,Discounting,PillarDate,,Permanent,Trigger,ObjectOverwrite)</f>
        <v>#NAME?</v>
      </c>
      <c r="L59" s="1004" t="str">
        <f t="shared" si="18"/>
        <v>Sw</v>
      </c>
      <c r="M59" s="969" t="str">
        <f t="shared" si="19"/>
        <v>--</v>
      </c>
      <c r="N59" s="1003" t="str">
        <f ca="1">IFERROR(_xll.qlRateHelperQuoteName(M59,Trigger),"--")</f>
        <v>--</v>
      </c>
      <c r="O59" s="1002" t="str">
        <f ca="1">IFERROR(_xll.qlRateHelperQuoteValue($M59,Trigger),"--")</f>
        <v>--</v>
      </c>
      <c r="P59" s="969" t="b">
        <v>0</v>
      </c>
      <c r="Q59" s="969">
        <v>50</v>
      </c>
      <c r="R59" s="969">
        <v>1</v>
      </c>
      <c r="S59" s="1001" t="str">
        <f ca="1">IFERROR(_xll.qlRateHelperEarliestDate(M59,Trigger),"--")</f>
        <v>--</v>
      </c>
      <c r="T59" s="1001" t="str">
        <f ca="1">IFERROR(_xll.qlRateHelperPillarDate(M59,Trigger),"--")</f>
        <v>--</v>
      </c>
      <c r="V59" s="4" t="str">
        <f t="shared" ca="1" si="17"/>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48</v>
      </c>
      <c r="C60" s="874" t="s">
        <v>324</v>
      </c>
      <c r="D60" s="874" t="s">
        <v>323</v>
      </c>
      <c r="E60" s="874" t="s">
        <v>322</v>
      </c>
      <c r="F60" s="874" t="s">
        <v>221</v>
      </c>
      <c r="G60" s="874" t="str">
        <f t="shared" si="20"/>
        <v>Euribor3M</v>
      </c>
      <c r="H60" s="873" t="str">
        <f t="shared" si="21"/>
        <v>EURAB3E8Y_Quote</v>
      </c>
      <c r="I60" s="876">
        <v>0</v>
      </c>
      <c r="J60" s="43" t="e">
        <f ca="1">_xll.qlSwapRateHelper2(,H60,2,B60,Calendar,D60,E60,F60,G60,I60,C60,Discounting,PillarDate,,Permanent,Trigger,ObjectOverwrite)</f>
        <v>#NAME?</v>
      </c>
      <c r="L60" s="1004" t="str">
        <f t="shared" si="18"/>
        <v>Sw</v>
      </c>
      <c r="M60" s="969" t="str">
        <f t="shared" si="19"/>
        <v>--</v>
      </c>
      <c r="N60" s="1003" t="str">
        <f ca="1">IFERROR(_xll.qlRateHelperQuoteName(M60,Trigger),"--")</f>
        <v>--</v>
      </c>
      <c r="O60" s="1002" t="str">
        <f ca="1">IFERROR(_xll.qlRateHelperQuoteValue($M60,Trigger),"--")</f>
        <v>--</v>
      </c>
      <c r="P60" s="969" t="b">
        <v>0</v>
      </c>
      <c r="Q60" s="969">
        <v>50</v>
      </c>
      <c r="R60" s="969">
        <v>1</v>
      </c>
      <c r="S60" s="1001" t="str">
        <f ca="1">IFERROR(_xll.qlRateHelperEarliestDate(M60,Trigger),"--")</f>
        <v>--</v>
      </c>
      <c r="T60" s="1001" t="str">
        <f ca="1">IFERROR(_xll.qlRateHelperPillarDate(M60,Trigger),"--")</f>
        <v>--</v>
      </c>
      <c r="V60" s="4" t="str">
        <f t="shared" ca="1" si="17"/>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47</v>
      </c>
      <c r="C61" s="874" t="s">
        <v>324</v>
      </c>
      <c r="D61" s="874" t="s">
        <v>323</v>
      </c>
      <c r="E61" s="874" t="s">
        <v>322</v>
      </c>
      <c r="F61" s="874" t="s">
        <v>221</v>
      </c>
      <c r="G61" s="874" t="str">
        <f t="shared" si="20"/>
        <v>Euribor3M</v>
      </c>
      <c r="H61" s="873" t="str">
        <f t="shared" si="21"/>
        <v>EURAB3E9Y_Quote</v>
      </c>
      <c r="I61" s="876">
        <v>0</v>
      </c>
      <c r="J61" s="43" t="e">
        <f ca="1">_xll.qlSwapRateHelper2(,H61,2,B61,Calendar,D61,E61,F61,G61,I61,C61,Discounting,PillarDate,,Permanent,Trigger,ObjectOverwrite)</f>
        <v>#NAME?</v>
      </c>
      <c r="L61" s="1004" t="str">
        <f t="shared" si="18"/>
        <v>Sw</v>
      </c>
      <c r="M61" s="969" t="e">
        <f t="shared" ca="1" si="19"/>
        <v>#NAME?</v>
      </c>
      <c r="N61" s="1003" t="str">
        <f ca="1">IFERROR(_xll.qlRateHelperQuoteName(M61,Trigger),"--")</f>
        <v>--</v>
      </c>
      <c r="O61" s="1002" t="str">
        <f ca="1">IFERROR(_xll.qlRateHelperQuoteValue($M61,Trigger),"--")</f>
        <v>--</v>
      </c>
      <c r="P61" s="969" t="b">
        <v>1</v>
      </c>
      <c r="Q61" s="969">
        <v>50</v>
      </c>
      <c r="R61" s="969">
        <v>1</v>
      </c>
      <c r="S61" s="1001" t="str">
        <f ca="1">IFERROR(_xll.qlRateHelperEarliestDate(M61,Trigger),"--")</f>
        <v>--</v>
      </c>
      <c r="T61" s="1001" t="str">
        <f ca="1">IFERROR(_xll.qlRateHelperPillarDate(M61,Trigger),"--")</f>
        <v>--</v>
      </c>
      <c r="V61" s="4" t="str">
        <f t="shared" ca="1" si="17"/>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46</v>
      </c>
      <c r="C62" s="874" t="s">
        <v>324</v>
      </c>
      <c r="D62" s="874" t="s">
        <v>323</v>
      </c>
      <c r="E62" s="874" t="s">
        <v>322</v>
      </c>
      <c r="F62" s="874" t="s">
        <v>221</v>
      </c>
      <c r="G62" s="874" t="str">
        <f t="shared" si="20"/>
        <v>Euribor3M</v>
      </c>
      <c r="H62" s="873" t="str">
        <f t="shared" si="21"/>
        <v>EURAB3E10Y_Quote</v>
      </c>
      <c r="I62" s="876">
        <v>0</v>
      </c>
      <c r="J62" s="43" t="e">
        <f ca="1">_xll.qlSwapRateHelper2(,H62,2,B62,Calendar,D62,E62,F62,G62,I62,C62,Discounting,PillarDate,,Permanent,Trigger,ObjectOverwrite)</f>
        <v>#NAME?</v>
      </c>
      <c r="L62" s="1004" t="str">
        <f t="shared" si="18"/>
        <v>Sw</v>
      </c>
      <c r="M62" s="969" t="str">
        <f t="shared" si="19"/>
        <v>--</v>
      </c>
      <c r="N62" s="1003" t="str">
        <f ca="1">IFERROR(_xll.qlRateHelperQuoteName(M62,Trigger),"--")</f>
        <v>--</v>
      </c>
      <c r="O62" s="1002" t="str">
        <f ca="1">IFERROR(_xll.qlRateHelperQuoteValue($M62,Trigger),"--")</f>
        <v>--</v>
      </c>
      <c r="P62" s="969" t="b">
        <v>0</v>
      </c>
      <c r="Q62" s="969">
        <v>50</v>
      </c>
      <c r="R62" s="969">
        <v>1</v>
      </c>
      <c r="S62" s="1001" t="str">
        <f ca="1">IFERROR(_xll.qlRateHelperEarliestDate(M62,Trigger),"--")</f>
        <v>--</v>
      </c>
      <c r="T62" s="1001" t="str">
        <f ca="1">IFERROR(_xll.qlRateHelperPillarDate(M62,Trigger),"--")</f>
        <v>--</v>
      </c>
      <c r="V62" s="4" t="str">
        <f t="shared" ca="1" si="17"/>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45</v>
      </c>
      <c r="C63" s="874" t="s">
        <v>324</v>
      </c>
      <c r="D63" s="874" t="s">
        <v>323</v>
      </c>
      <c r="E63" s="874" t="s">
        <v>322</v>
      </c>
      <c r="F63" s="874" t="s">
        <v>221</v>
      </c>
      <c r="G63" s="874" t="str">
        <f t="shared" si="20"/>
        <v>Euribor3M</v>
      </c>
      <c r="H63" s="873" t="str">
        <f t="shared" si="21"/>
        <v>EURAB3E11Y_Quote</v>
      </c>
      <c r="I63" s="876">
        <v>0</v>
      </c>
      <c r="J63" s="43"/>
      <c r="L63" s="1004" t="str">
        <f t="shared" si="18"/>
        <v>Sw</v>
      </c>
      <c r="M63" s="969" t="str">
        <f t="shared" si="19"/>
        <v>--</v>
      </c>
      <c r="N63" s="1003" t="str">
        <f ca="1">IFERROR(_xll.qlRateHelperQuoteName(M63,Trigger),"--")</f>
        <v>--</v>
      </c>
      <c r="O63" s="1002" t="str">
        <f ca="1">IFERROR(_xll.qlRateHelperQuoteValue($M63,Trigger),"--")</f>
        <v>--</v>
      </c>
      <c r="P63" s="969" t="b">
        <v>0</v>
      </c>
      <c r="Q63" s="969">
        <v>50</v>
      </c>
      <c r="R63" s="969">
        <v>1</v>
      </c>
      <c r="S63" s="1001" t="str">
        <f ca="1">IFERROR(_xll.qlRateHelperEarliestDate(M63,Trigger),"--")</f>
        <v>--</v>
      </c>
      <c r="T63" s="1001" t="str">
        <f ca="1">IFERROR(_xll.qlRateHelperPillarDate(M63,Trigger),"--")</f>
        <v>--</v>
      </c>
      <c r="V63" s="4" t="str">
        <f t="shared" ca="1" si="17"/>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44</v>
      </c>
      <c r="C64" s="874" t="s">
        <v>324</v>
      </c>
      <c r="D64" s="874" t="s">
        <v>323</v>
      </c>
      <c r="E64" s="874" t="s">
        <v>322</v>
      </c>
      <c r="F64" s="874" t="s">
        <v>221</v>
      </c>
      <c r="G64" s="874" t="str">
        <f t="shared" si="20"/>
        <v>Euribor3M</v>
      </c>
      <c r="H64" s="873" t="str">
        <f t="shared" si="21"/>
        <v>EURAB3E12Y_Quote</v>
      </c>
      <c r="I64" s="876">
        <v>0</v>
      </c>
      <c r="J64" s="43" t="e">
        <f ca="1">_xll.qlSwapRateHelper2(,H64,2,B64,Calendar,D64,E64,F64,G64,I64,C64,Discounting,PillarDate,,Permanent,Trigger,ObjectOverwrite)</f>
        <v>#NAME?</v>
      </c>
      <c r="L64" s="1004" t="str">
        <f t="shared" si="18"/>
        <v>Sw</v>
      </c>
      <c r="M64" s="969" t="str">
        <f t="shared" si="19"/>
        <v>--</v>
      </c>
      <c r="N64" s="1003" t="str">
        <f ca="1">IFERROR(_xll.qlRateHelperQuoteName(M64,Trigger),"--")</f>
        <v>--</v>
      </c>
      <c r="O64" s="1002" t="str">
        <f ca="1">IFERROR(_xll.qlRateHelperQuoteValue($M64,Trigger),"--")</f>
        <v>--</v>
      </c>
      <c r="P64" s="969" t="b">
        <v>0</v>
      </c>
      <c r="Q64" s="969">
        <v>50</v>
      </c>
      <c r="R64" s="969">
        <v>1</v>
      </c>
      <c r="S64" s="1001" t="str">
        <f ca="1">IFERROR(_xll.qlRateHelperEarliestDate(M64,Trigger),"--")</f>
        <v>--</v>
      </c>
      <c r="T64" s="1001" t="str">
        <f ca="1">IFERROR(_xll.qlRateHelperPillarDate(M64,Trigger),"--")</f>
        <v>--</v>
      </c>
      <c r="V64" s="4" t="str">
        <f t="shared" ca="1" si="17"/>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43</v>
      </c>
      <c r="C65" s="874" t="s">
        <v>324</v>
      </c>
      <c r="D65" s="874" t="s">
        <v>323</v>
      </c>
      <c r="E65" s="874" t="s">
        <v>322</v>
      </c>
      <c r="F65" s="874" t="s">
        <v>221</v>
      </c>
      <c r="G65" s="874" t="str">
        <f t="shared" si="20"/>
        <v>Euribor3M</v>
      </c>
      <c r="H65" s="873" t="str">
        <f t="shared" si="21"/>
        <v>EURAB3E13Y_Quote</v>
      </c>
      <c r="I65" s="876">
        <v>0</v>
      </c>
      <c r="J65" s="43"/>
      <c r="L65" s="1004" t="str">
        <f t="shared" si="18"/>
        <v>Sw</v>
      </c>
      <c r="M65" s="969" t="str">
        <f t="shared" si="19"/>
        <v>--</v>
      </c>
      <c r="N65" s="1003" t="str">
        <f ca="1">IFERROR(_xll.qlRateHelperQuoteName(M65,Trigger),"--")</f>
        <v>--</v>
      </c>
      <c r="O65" s="1002" t="str">
        <f ca="1">IFERROR(_xll.qlRateHelperQuoteValue($M65,Trigger),"--")</f>
        <v>--</v>
      </c>
      <c r="P65" s="969" t="b">
        <v>0</v>
      </c>
      <c r="Q65" s="969">
        <v>50</v>
      </c>
      <c r="R65" s="969">
        <v>1</v>
      </c>
      <c r="S65" s="1001" t="str">
        <f ca="1">IFERROR(_xll.qlRateHelperEarliestDate(M65,Trigger),"--")</f>
        <v>--</v>
      </c>
      <c r="T65" s="1001" t="str">
        <f ca="1">IFERROR(_xll.qlRateHelperPillarDate(M65,Trigger),"--")</f>
        <v>--</v>
      </c>
      <c r="V65" s="4" t="str">
        <f t="shared" ca="1" si="17"/>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42</v>
      </c>
      <c r="C66" s="874" t="s">
        <v>324</v>
      </c>
      <c r="D66" s="874" t="s">
        <v>323</v>
      </c>
      <c r="E66" s="874" t="s">
        <v>322</v>
      </c>
      <c r="F66" s="874" t="s">
        <v>221</v>
      </c>
      <c r="G66" s="874" t="str">
        <f t="shared" si="20"/>
        <v>Euribor3M</v>
      </c>
      <c r="H66" s="873" t="str">
        <f t="shared" si="21"/>
        <v>EURAB3E14Y_Quote</v>
      </c>
      <c r="I66" s="876">
        <v>0</v>
      </c>
      <c r="J66" s="43"/>
      <c r="L66" s="1004" t="str">
        <f t="shared" si="18"/>
        <v>Sw</v>
      </c>
      <c r="M66" s="969" t="e">
        <f t="shared" ca="1" si="19"/>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7"/>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41</v>
      </c>
      <c r="C67" s="874" t="s">
        <v>324</v>
      </c>
      <c r="D67" s="874" t="s">
        <v>323</v>
      </c>
      <c r="E67" s="874" t="s">
        <v>322</v>
      </c>
      <c r="F67" s="874" t="s">
        <v>221</v>
      </c>
      <c r="G67" s="874" t="str">
        <f t="shared" si="20"/>
        <v>Euribor3M</v>
      </c>
      <c r="H67" s="873" t="str">
        <f t="shared" si="21"/>
        <v>EURAB3E15Y_Quote</v>
      </c>
      <c r="I67" s="876">
        <v>0</v>
      </c>
      <c r="J67" s="43" t="e">
        <f ca="1">_xll.qlSwapRateHelper2(,H67,2,B67,Calendar,D67,E67,F67,G67,I67,C67,Discounting,PillarDate,,Permanent,Trigger,ObjectOverwrite)</f>
        <v>#NAME?</v>
      </c>
      <c r="L67" s="1004" t="str">
        <f t="shared" si="18"/>
        <v>Sw</v>
      </c>
      <c r="M67" s="969" t="str">
        <f t="shared" si="19"/>
        <v>--</v>
      </c>
      <c r="N67" s="1003" t="str">
        <f ca="1">IFERROR(_xll.qlRateHelperQuoteName(M67,Trigger),"--")</f>
        <v>--</v>
      </c>
      <c r="O67" s="1002" t="str">
        <f ca="1">IFERROR(_xll.qlRateHelperQuoteValue($M67,Trigger),"--")</f>
        <v>--</v>
      </c>
      <c r="P67" s="969" t="b">
        <v>0</v>
      </c>
      <c r="Q67" s="969">
        <v>50</v>
      </c>
      <c r="R67" s="969">
        <v>1</v>
      </c>
      <c r="S67" s="1001" t="str">
        <f ca="1">IFERROR(_xll.qlRateHelperEarliestDate(M67,Trigger),"--")</f>
        <v>--</v>
      </c>
      <c r="T67" s="1001" t="str">
        <f ca="1">IFERROR(_xll.qlRateHelperPillarDate(M67,Trigger),"--")</f>
        <v>--</v>
      </c>
      <c r="V67" s="4" t="str">
        <f t="shared" ref="V67:V98" ca="1" si="22">IFERROR(INDEX($L$3:$L$124,MATCH(X67,$N$3:$N$124,0),1),"")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40</v>
      </c>
      <c r="C68" s="874" t="s">
        <v>324</v>
      </c>
      <c r="D68" s="874" t="s">
        <v>323</v>
      </c>
      <c r="E68" s="874" t="s">
        <v>322</v>
      </c>
      <c r="F68" s="874" t="s">
        <v>221</v>
      </c>
      <c r="G68" s="874" t="str">
        <f t="shared" si="20"/>
        <v>Euribor3M</v>
      </c>
      <c r="H68" s="873" t="str">
        <f t="shared" si="21"/>
        <v>EURAB3E16Y_Quote</v>
      </c>
      <c r="I68" s="876">
        <v>0</v>
      </c>
      <c r="J68" s="43"/>
      <c r="L68" s="1004" t="str">
        <f t="shared" si="18"/>
        <v>Sw</v>
      </c>
      <c r="M68" s="969" t="str">
        <f t="shared" si="19"/>
        <v>--</v>
      </c>
      <c r="N68" s="1003" t="str">
        <f ca="1">IFERROR(_xll.qlRateHelperQuoteName(M68,Trigger),"--")</f>
        <v>--</v>
      </c>
      <c r="O68" s="1002" t="str">
        <f ca="1">IFERROR(_xll.qlRateHelperQuoteValue($M68,Trigger),"--")</f>
        <v>--</v>
      </c>
      <c r="P68" s="969" t="b">
        <v>0</v>
      </c>
      <c r="Q68" s="969">
        <v>50</v>
      </c>
      <c r="R68" s="969">
        <v>1</v>
      </c>
      <c r="S68" s="1001" t="str">
        <f ca="1">IFERROR(_xll.qlRateHelperEarliestDate(M68,Trigger),"--")</f>
        <v>--</v>
      </c>
      <c r="T68" s="1001" t="str">
        <f ca="1">IFERROR(_xll.qlRateHelperPillarDate(M68,Trigger),"--")</f>
        <v>--</v>
      </c>
      <c r="V68" s="4" t="str">
        <f t="shared" ca="1" si="22"/>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39</v>
      </c>
      <c r="C69" s="874" t="s">
        <v>324</v>
      </c>
      <c r="D69" s="874" t="s">
        <v>323</v>
      </c>
      <c r="E69" s="874" t="s">
        <v>322</v>
      </c>
      <c r="F69" s="874" t="s">
        <v>221</v>
      </c>
      <c r="G69" s="874" t="str">
        <f t="shared" si="20"/>
        <v>Euribor3M</v>
      </c>
      <c r="H69" s="873" t="str">
        <f t="shared" si="21"/>
        <v>EURAB3E17Y_Quote</v>
      </c>
      <c r="I69" s="876">
        <v>0</v>
      </c>
      <c r="J69" s="43"/>
      <c r="L69" s="1004" t="str">
        <f t="shared" si="18"/>
        <v>Sw</v>
      </c>
      <c r="M69" s="969" t="str">
        <f t="shared" si="19"/>
        <v>--</v>
      </c>
      <c r="N69" s="1003" t="str">
        <f ca="1">IFERROR(_xll.qlRateHelperQuoteName(M69,Trigger),"--")</f>
        <v>--</v>
      </c>
      <c r="O69" s="1002" t="str">
        <f ca="1">IFERROR(_xll.qlRateHelperQuoteValue($M69,Trigger),"--")</f>
        <v>--</v>
      </c>
      <c r="P69" s="969" t="b">
        <v>0</v>
      </c>
      <c r="Q69" s="969">
        <v>50</v>
      </c>
      <c r="R69" s="969">
        <v>1</v>
      </c>
      <c r="S69" s="1001" t="str">
        <f ca="1">IFERROR(_xll.qlRateHelperEarliestDate(M69,Trigger),"--")</f>
        <v>--</v>
      </c>
      <c r="T69" s="1001" t="str">
        <f ca="1">IFERROR(_xll.qlRateHelperPillarDate(M69,Trigger),"--")</f>
        <v>--</v>
      </c>
      <c r="V69" s="4" t="str">
        <f t="shared" ca="1" si="22"/>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38</v>
      </c>
      <c r="C70" s="874" t="s">
        <v>324</v>
      </c>
      <c r="D70" s="874" t="s">
        <v>323</v>
      </c>
      <c r="E70" s="874" t="s">
        <v>322</v>
      </c>
      <c r="F70" s="874" t="s">
        <v>221</v>
      </c>
      <c r="G70" s="874" t="str">
        <f t="shared" si="20"/>
        <v>Euribor3M</v>
      </c>
      <c r="H70" s="873" t="str">
        <f t="shared" si="21"/>
        <v>EURAB3E18Y_Quote</v>
      </c>
      <c r="I70" s="876">
        <v>0</v>
      </c>
      <c r="J70" s="43"/>
      <c r="L70" s="1004" t="str">
        <f t="shared" si="18"/>
        <v>Sw</v>
      </c>
      <c r="M70" s="969" t="str">
        <f t="shared" si="19"/>
        <v>--</v>
      </c>
      <c r="N70" s="1003" t="str">
        <f ca="1">IFERROR(_xll.qlRateHelperQuoteName(M70,Trigger),"--")</f>
        <v>--</v>
      </c>
      <c r="O70" s="1002" t="str">
        <f ca="1">IFERROR(_xll.qlRateHelperQuoteValue($M70,Trigger),"--")</f>
        <v>--</v>
      </c>
      <c r="P70" s="969" t="b">
        <v>0</v>
      </c>
      <c r="Q70" s="969">
        <v>50</v>
      </c>
      <c r="R70" s="969">
        <v>1</v>
      </c>
      <c r="S70" s="1001" t="str">
        <f ca="1">IFERROR(_xll.qlRateHelperEarliestDate(M70,Trigger),"--")</f>
        <v>--</v>
      </c>
      <c r="T70" s="1001" t="str">
        <f ca="1">IFERROR(_xll.qlRateHelperPillarDate(M70,Trigger),"--")</f>
        <v>--</v>
      </c>
      <c r="V70" s="4" t="str">
        <f t="shared" ca="1" si="22"/>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404</v>
      </c>
      <c r="B71" s="875" t="s">
        <v>37</v>
      </c>
      <c r="C71" s="874" t="s">
        <v>324</v>
      </c>
      <c r="D71" s="874" t="s">
        <v>323</v>
      </c>
      <c r="E71" s="874" t="s">
        <v>322</v>
      </c>
      <c r="F71" s="874" t="s">
        <v>221</v>
      </c>
      <c r="G71" s="874" t="str">
        <f t="shared" si="20"/>
        <v>Euribor3M</v>
      </c>
      <c r="H71" s="873" t="str">
        <f t="shared" si="21"/>
        <v>EURAB3E19Y_Quote</v>
      </c>
      <c r="I71" s="876">
        <v>0</v>
      </c>
      <c r="J71" s="43"/>
      <c r="L71" s="1004" t="str">
        <f t="shared" si="18"/>
        <v>Sw</v>
      </c>
      <c r="M71" s="969" t="e">
        <f t="shared" ca="1" si="19"/>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2"/>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404</v>
      </c>
      <c r="B72" s="875" t="s">
        <v>36</v>
      </c>
      <c r="C72" s="874" t="s">
        <v>324</v>
      </c>
      <c r="D72" s="874" t="s">
        <v>323</v>
      </c>
      <c r="E72" s="874" t="s">
        <v>322</v>
      </c>
      <c r="F72" s="874" t="s">
        <v>221</v>
      </c>
      <c r="G72" s="874" t="str">
        <f t="shared" si="20"/>
        <v>Euribor3M</v>
      </c>
      <c r="H72" s="873" t="str">
        <f t="shared" si="21"/>
        <v>EURAB3E20Y_Quote</v>
      </c>
      <c r="I72" s="876">
        <v>0</v>
      </c>
      <c r="J72" s="43" t="e">
        <f ca="1">_xll.qlSwapRateHelper2(,H72,2,B72,Calendar,D72,E72,F72,G72,I72,C72,Discounting,PillarDate,,Permanent,Trigger,ObjectOverwrite)</f>
        <v>#NAME?</v>
      </c>
      <c r="L72" s="1004" t="str">
        <f t="shared" si="18"/>
        <v>Sw</v>
      </c>
      <c r="M72" s="969" t="str">
        <f t="shared" si="19"/>
        <v>--</v>
      </c>
      <c r="N72" s="1003" t="str">
        <f ca="1">IFERROR(_xll.qlRateHelperQuoteName(M72,Trigger),"--")</f>
        <v>--</v>
      </c>
      <c r="O72" s="1002" t="str">
        <f ca="1">IFERROR(_xll.qlRateHelperQuoteValue($M72,Trigger),"--")</f>
        <v>--</v>
      </c>
      <c r="P72" s="969" t="b">
        <v>0</v>
      </c>
      <c r="Q72" s="969">
        <v>50</v>
      </c>
      <c r="R72" s="969">
        <v>1</v>
      </c>
      <c r="S72" s="1001" t="str">
        <f ca="1">IFERROR(_xll.qlRateHelperEarliestDate(M72,Trigger),"--")</f>
        <v>--</v>
      </c>
      <c r="T72" s="1001" t="str">
        <f ca="1">IFERROR(_xll.qlRateHelperPillarDate(M72,Trigger),"--")</f>
        <v>--</v>
      </c>
      <c r="V72" s="4" t="str">
        <f t="shared" ca="1" si="22"/>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404</v>
      </c>
      <c r="B73" s="875" t="s">
        <v>35</v>
      </c>
      <c r="C73" s="874" t="s">
        <v>324</v>
      </c>
      <c r="D73" s="874" t="s">
        <v>323</v>
      </c>
      <c r="E73" s="874" t="s">
        <v>322</v>
      </c>
      <c r="F73" s="874" t="s">
        <v>221</v>
      </c>
      <c r="G73" s="874" t="str">
        <f t="shared" si="20"/>
        <v>Euribor3M</v>
      </c>
      <c r="H73" s="873" t="str">
        <f t="shared" si="21"/>
        <v>EURAB3E21Y_Quote</v>
      </c>
      <c r="I73" s="876">
        <v>0</v>
      </c>
      <c r="J73" s="43"/>
      <c r="L73" s="1004" t="str">
        <f t="shared" si="18"/>
        <v>Sw</v>
      </c>
      <c r="M73" s="969" t="str">
        <f t="shared" si="19"/>
        <v>--</v>
      </c>
      <c r="N73" s="1003" t="str">
        <f ca="1">IFERROR(_xll.qlRateHelperQuoteName(M73,Trigger),"--")</f>
        <v>--</v>
      </c>
      <c r="O73" s="1002" t="str">
        <f ca="1">IFERROR(_xll.qlRateHelperQuoteValue($M73,Trigger),"--")</f>
        <v>--</v>
      </c>
      <c r="P73" s="969" t="b">
        <v>0</v>
      </c>
      <c r="Q73" s="969">
        <v>50</v>
      </c>
      <c r="R73" s="969">
        <v>1</v>
      </c>
      <c r="S73" s="1001" t="str">
        <f ca="1">IFERROR(_xll.qlRateHelperEarliestDate(M73,Trigger),"--")</f>
        <v>--</v>
      </c>
      <c r="T73" s="1001" t="str">
        <f ca="1">IFERROR(_xll.qlRateHelperPillarDate(M73,Trigger),"--")</f>
        <v>--</v>
      </c>
      <c r="V73" s="4" t="str">
        <f t="shared" ca="1" si="22"/>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404</v>
      </c>
      <c r="B74" s="875" t="s">
        <v>34</v>
      </c>
      <c r="C74" s="874" t="s">
        <v>324</v>
      </c>
      <c r="D74" s="874" t="s">
        <v>323</v>
      </c>
      <c r="E74" s="874" t="s">
        <v>322</v>
      </c>
      <c r="F74" s="874" t="s">
        <v>221</v>
      </c>
      <c r="G74" s="874" t="str">
        <f t="shared" si="20"/>
        <v>Euribor3M</v>
      </c>
      <c r="H74" s="873" t="str">
        <f t="shared" si="21"/>
        <v>EURAB3E22Y_Quote</v>
      </c>
      <c r="I74" s="876">
        <v>0</v>
      </c>
      <c r="J74" s="43"/>
      <c r="L74" s="1004" t="str">
        <f t="shared" si="18"/>
        <v>Sw</v>
      </c>
      <c r="M74" s="969" t="str">
        <f t="shared" si="19"/>
        <v>--</v>
      </c>
      <c r="N74" s="1003" t="str">
        <f ca="1">IFERROR(_xll.qlRateHelperQuoteName(M74,Trigger),"--")</f>
        <v>--</v>
      </c>
      <c r="O74" s="1002" t="str">
        <f ca="1">IFERROR(_xll.qlRateHelperQuoteValue($M74,Trigger),"--")</f>
        <v>--</v>
      </c>
      <c r="P74" s="969" t="b">
        <v>0</v>
      </c>
      <c r="Q74" s="969">
        <v>50</v>
      </c>
      <c r="R74" s="969">
        <v>1</v>
      </c>
      <c r="S74" s="1001" t="str">
        <f ca="1">IFERROR(_xll.qlRateHelperEarliestDate(M74,Trigger),"--")</f>
        <v>--</v>
      </c>
      <c r="T74" s="1001" t="str">
        <f ca="1">IFERROR(_xll.qlRateHelperPillarDate(M74,Trigger),"--")</f>
        <v>--</v>
      </c>
      <c r="V74" s="4" t="str">
        <f t="shared" ca="1" si="22"/>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404</v>
      </c>
      <c r="B75" s="875" t="s">
        <v>33</v>
      </c>
      <c r="C75" s="874" t="s">
        <v>324</v>
      </c>
      <c r="D75" s="874" t="s">
        <v>323</v>
      </c>
      <c r="E75" s="874" t="s">
        <v>322</v>
      </c>
      <c r="F75" s="874" t="s">
        <v>221</v>
      </c>
      <c r="G75" s="874" t="str">
        <f t="shared" si="20"/>
        <v>Euribor3M</v>
      </c>
      <c r="H75" s="873" t="str">
        <f t="shared" si="21"/>
        <v>EURAB3E23Y_Quote</v>
      </c>
      <c r="I75" s="876">
        <v>0</v>
      </c>
      <c r="J75" s="43"/>
      <c r="L75" s="1004" t="str">
        <f t="shared" si="18"/>
        <v>Sw</v>
      </c>
      <c r="M75" s="969" t="str">
        <f t="shared" si="19"/>
        <v>--</v>
      </c>
      <c r="N75" s="1003" t="str">
        <f ca="1">IFERROR(_xll.qlRateHelperQuoteName(M75,Trigger),"--")</f>
        <v>--</v>
      </c>
      <c r="O75" s="1002" t="str">
        <f ca="1">IFERROR(_xll.qlRateHelperQuoteValue($M75,Trigger),"--")</f>
        <v>--</v>
      </c>
      <c r="P75" s="969" t="b">
        <v>0</v>
      </c>
      <c r="Q75" s="969">
        <v>50</v>
      </c>
      <c r="R75" s="969">
        <v>1</v>
      </c>
      <c r="S75" s="1001" t="str">
        <f ca="1">IFERROR(_xll.qlRateHelperEarliestDate(M75,Trigger),"--")</f>
        <v>--</v>
      </c>
      <c r="T75" s="1001" t="str">
        <f ca="1">IFERROR(_xll.qlRateHelperPillarDate(M75,Trigger),"--")</f>
        <v>--</v>
      </c>
      <c r="V75" s="4" t="str">
        <f t="shared" ca="1" si="22"/>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404</v>
      </c>
      <c r="B76" s="875" t="s">
        <v>32</v>
      </c>
      <c r="C76" s="874" t="s">
        <v>324</v>
      </c>
      <c r="D76" s="874" t="s">
        <v>323</v>
      </c>
      <c r="E76" s="874" t="s">
        <v>322</v>
      </c>
      <c r="F76" s="874" t="s">
        <v>221</v>
      </c>
      <c r="G76" s="874" t="str">
        <f t="shared" si="20"/>
        <v>Euribor3M</v>
      </c>
      <c r="H76" s="873" t="str">
        <f t="shared" si="21"/>
        <v>EURAB3E24Y_Quote</v>
      </c>
      <c r="I76" s="876">
        <v>0</v>
      </c>
      <c r="J76" s="43"/>
      <c r="L76" s="1004" t="str">
        <f t="shared" si="18"/>
        <v>Sw</v>
      </c>
      <c r="M76" s="969" t="e">
        <f t="shared" ca="1" si="19"/>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2"/>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404</v>
      </c>
      <c r="B77" s="875" t="s">
        <v>31</v>
      </c>
      <c r="C77" s="874" t="s">
        <v>324</v>
      </c>
      <c r="D77" s="874" t="s">
        <v>323</v>
      </c>
      <c r="E77" s="874" t="s">
        <v>322</v>
      </c>
      <c r="F77" s="874" t="s">
        <v>221</v>
      </c>
      <c r="G77" s="874" t="str">
        <f t="shared" si="20"/>
        <v>Euribor3M</v>
      </c>
      <c r="H77" s="873" t="str">
        <f t="shared" si="21"/>
        <v>EURAB3E25Y_Quote</v>
      </c>
      <c r="I77" s="876">
        <v>0</v>
      </c>
      <c r="J77" s="43" t="e">
        <f ca="1">_xll.qlSwapRateHelper2(,H77,2,B77,Calendar,D77,E77,F77,G77,I77,C77,Discounting,PillarDate,,Permanent,Trigger,ObjectOverwrite)</f>
        <v>#NAME?</v>
      </c>
      <c r="L77" s="1004" t="str">
        <f t="shared" si="18"/>
        <v>Sw</v>
      </c>
      <c r="M77" s="969" t="str">
        <f t="shared" si="19"/>
        <v>--</v>
      </c>
      <c r="N77" s="1003" t="str">
        <f ca="1">IFERROR(_xll.qlRateHelperQuoteName(M77,Trigger),"--")</f>
        <v>--</v>
      </c>
      <c r="O77" s="1002" t="str">
        <f ca="1">IFERROR(_xll.qlRateHelperQuoteValue($M77,Trigger),"--")</f>
        <v>--</v>
      </c>
      <c r="P77" s="969" t="b">
        <v>0</v>
      </c>
      <c r="Q77" s="969">
        <v>50</v>
      </c>
      <c r="R77" s="969">
        <v>1</v>
      </c>
      <c r="S77" s="1001" t="str">
        <f ca="1">IFERROR(_xll.qlRateHelperEarliestDate(M77,Trigger),"--")</f>
        <v>--</v>
      </c>
      <c r="T77" s="1001" t="str">
        <f ca="1">IFERROR(_xll.qlRateHelperPillarDate(M77,Trigger),"--")</f>
        <v>--</v>
      </c>
      <c r="V77" s="4" t="str">
        <f t="shared" ca="1" si="22"/>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404</v>
      </c>
      <c r="B78" s="875" t="s">
        <v>30</v>
      </c>
      <c r="C78" s="874" t="s">
        <v>324</v>
      </c>
      <c r="D78" s="874" t="s">
        <v>323</v>
      </c>
      <c r="E78" s="874" t="s">
        <v>322</v>
      </c>
      <c r="F78" s="874" t="s">
        <v>221</v>
      </c>
      <c r="G78" s="874" t="str">
        <f t="shared" si="20"/>
        <v>Euribor3M</v>
      </c>
      <c r="H78" s="873" t="str">
        <f t="shared" si="21"/>
        <v>EURAB3E26Y_Quote</v>
      </c>
      <c r="I78" s="876">
        <v>0</v>
      </c>
      <c r="J78" s="43"/>
      <c r="L78" s="1004" t="str">
        <f t="shared" si="18"/>
        <v>Sw</v>
      </c>
      <c r="M78" s="969" t="e">
        <f t="shared" ca="1" si="19"/>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2"/>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404</v>
      </c>
      <c r="B79" s="875" t="s">
        <v>29</v>
      </c>
      <c r="C79" s="874" t="s">
        <v>324</v>
      </c>
      <c r="D79" s="874" t="s">
        <v>323</v>
      </c>
      <c r="E79" s="874" t="s">
        <v>322</v>
      </c>
      <c r="F79" s="874" t="s">
        <v>221</v>
      </c>
      <c r="G79" s="874" t="str">
        <f t="shared" si="20"/>
        <v>Euribor3M</v>
      </c>
      <c r="H79" s="873" t="str">
        <f t="shared" si="21"/>
        <v>EURAB3E27Y_Quote</v>
      </c>
      <c r="I79" s="876">
        <v>0</v>
      </c>
      <c r="J79" s="43"/>
      <c r="L79" s="1004" t="str">
        <f t="shared" si="18"/>
        <v>Sw</v>
      </c>
      <c r="M79" s="969" t="e">
        <f t="shared" ca="1" si="19"/>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2"/>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404</v>
      </c>
      <c r="B80" s="875" t="s">
        <v>28</v>
      </c>
      <c r="C80" s="874" t="s">
        <v>324</v>
      </c>
      <c r="D80" s="874" t="s">
        <v>323</v>
      </c>
      <c r="E80" s="874" t="s">
        <v>322</v>
      </c>
      <c r="F80" s="874" t="s">
        <v>221</v>
      </c>
      <c r="G80" s="874" t="str">
        <f t="shared" si="20"/>
        <v>Euribor3M</v>
      </c>
      <c r="H80" s="873" t="str">
        <f t="shared" si="21"/>
        <v>EURAB3E28Y_Quote</v>
      </c>
      <c r="I80" s="876">
        <v>0</v>
      </c>
      <c r="J80" s="43"/>
      <c r="L80" s="1000" t="str">
        <f t="shared" si="18"/>
        <v>Sw</v>
      </c>
      <c r="M80" s="968" t="e">
        <f t="shared" ca="1" si="19"/>
        <v>#NAME?</v>
      </c>
      <c r="N80" s="1003" t="str">
        <f ca="1">IFERROR(_xll.qlRateHelperQuoteName(M80,Trigger),"--")</f>
        <v>--</v>
      </c>
      <c r="O80" s="998" t="str">
        <f ca="1">IFERROR(_xll.qlRateHelperQuoteValue($M80,Trigger),"--")</f>
        <v>--</v>
      </c>
      <c r="P80" s="968" t="b">
        <v>1</v>
      </c>
      <c r="Q80" s="968">
        <v>50</v>
      </c>
      <c r="R80" s="968">
        <v>1</v>
      </c>
      <c r="S80" s="1001" t="str">
        <f ca="1">IFERROR(_xll.qlRateHelperEarliestDate(M80,Trigger),"--")</f>
        <v>--</v>
      </c>
      <c r="T80" s="1001" t="str">
        <f ca="1">IFERROR(_xll.qlRateHelperPillarDate(M80,Trigger),"--")</f>
        <v>--</v>
      </c>
      <c r="V80" s="4" t="str">
        <f t="shared" ca="1" si="22"/>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404</v>
      </c>
      <c r="B81" s="875" t="s">
        <v>27</v>
      </c>
      <c r="C81" s="874" t="s">
        <v>324</v>
      </c>
      <c r="D81" s="874" t="s">
        <v>323</v>
      </c>
      <c r="E81" s="874" t="s">
        <v>322</v>
      </c>
      <c r="F81" s="874" t="s">
        <v>221</v>
      </c>
      <c r="G81" s="874" t="str">
        <f t="shared" si="20"/>
        <v>Euribor3M</v>
      </c>
      <c r="H81" s="873" t="str">
        <f t="shared" si="21"/>
        <v>EURAB3E29Y_Quote</v>
      </c>
      <c r="I81" s="876">
        <v>0</v>
      </c>
      <c r="J81" s="43"/>
      <c r="L81" s="1012" t="str">
        <f t="shared" ref="L81:L87" si="23">A89</f>
        <v>Sw</v>
      </c>
      <c r="M81" s="970" t="str">
        <f t="shared" ref="M81:M87" si="24">IF(ISBLANK(J89),"--",J89)</f>
        <v>qlSwapRateHelper2(,H90,,B90&amp;"M",Calendar,D90,E90,F90,G90,I90,C90,Discounting,PillarDate,,Permanent,Trigger,ObjectOverwrite)</v>
      </c>
      <c r="N81" s="1011" t="str">
        <f ca="1">IFERROR(_xll.qlRateHelperQuoteName(M81,Trigger),"--")</f>
        <v>--</v>
      </c>
      <c r="O81" s="1010" t="str">
        <f ca="1">IFERROR(_xll.qlRateHelperQuoteValue($M81,Trigger),"--")</f>
        <v>--</v>
      </c>
      <c r="P81" s="970" t="b">
        <v>0</v>
      </c>
      <c r="Q81" s="970">
        <v>40</v>
      </c>
      <c r="R81" s="970">
        <v>1</v>
      </c>
      <c r="S81" s="1009" t="str">
        <f ca="1">IFERROR(_xll.qlRateHelperEarliestDate(M81,Trigger),"--")</f>
        <v>--</v>
      </c>
      <c r="T81" s="1009" t="str">
        <f ca="1">IFERROR(_xll.qlRateHelperPillarDate(M81,Trigger),"--")</f>
        <v>--</v>
      </c>
      <c r="V81" s="4" t="str">
        <f t="shared" ca="1" si="22"/>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404</v>
      </c>
      <c r="B82" s="875" t="s">
        <v>26</v>
      </c>
      <c r="C82" s="874" t="s">
        <v>324</v>
      </c>
      <c r="D82" s="874" t="s">
        <v>323</v>
      </c>
      <c r="E82" s="874" t="s">
        <v>322</v>
      </c>
      <c r="F82" s="874" t="s">
        <v>221</v>
      </c>
      <c r="G82" s="874" t="str">
        <f t="shared" si="20"/>
        <v>Euribor3M</v>
      </c>
      <c r="H82" s="873" t="str">
        <f t="shared" si="21"/>
        <v>EURAB3E30Y_Quote</v>
      </c>
      <c r="I82" s="876">
        <v>0</v>
      </c>
      <c r="J82" s="43" t="e">
        <f ca="1">_xll.qlSwapRateHelper2(,H82,2,B82,Calendar,D82,E82,F82,G82,I82,C82,Discounting,PillarDate,,Permanent,Trigger,ObjectOverwrite)</f>
        <v>#NAME?</v>
      </c>
      <c r="L82" s="1004" t="str">
        <f t="shared" si="23"/>
        <v>Sw</v>
      </c>
      <c r="M82" s="969" t="str">
        <f t="shared" si="24"/>
        <v>--</v>
      </c>
      <c r="N82" s="1003" t="str">
        <f ca="1">IFERROR(_xll.qlRateHelperQuoteName(M82,Trigger),"--")</f>
        <v>--</v>
      </c>
      <c r="O82" s="1002" t="str">
        <f ca="1">IFERROR(_xll.qlRateHelperQuoteValue($M82,Trigger),"--")</f>
        <v>--</v>
      </c>
      <c r="P82" s="969" t="b">
        <v>0</v>
      </c>
      <c r="Q82" s="969">
        <v>40</v>
      </c>
      <c r="R82" s="969">
        <v>1</v>
      </c>
      <c r="S82" s="1001" t="str">
        <f ca="1">IFERROR(_xll.qlRateHelperEarliestDate(M82,Trigger),"--")</f>
        <v>--</v>
      </c>
      <c r="T82" s="1001" t="str">
        <f ca="1">IFERROR(_xll.qlRateHelperPillarDate(M82,Trigger),"--")</f>
        <v>--</v>
      </c>
      <c r="V82" s="4" t="str">
        <f t="shared" ca="1" si="22"/>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404</v>
      </c>
      <c r="B83" s="875" t="s">
        <v>25</v>
      </c>
      <c r="C83" s="874" t="s">
        <v>324</v>
      </c>
      <c r="D83" s="874" t="s">
        <v>323</v>
      </c>
      <c r="E83" s="874" t="s">
        <v>322</v>
      </c>
      <c r="F83" s="874" t="s">
        <v>221</v>
      </c>
      <c r="G83" s="874" t="str">
        <f t="shared" si="20"/>
        <v>Euribor3M</v>
      </c>
      <c r="H83" s="873" t="str">
        <f t="shared" si="21"/>
        <v>EURAB3E35Y_Quote</v>
      </c>
      <c r="I83" s="872">
        <v>0</v>
      </c>
      <c r="J83" s="43"/>
      <c r="L83" s="1004" t="str">
        <f t="shared" si="23"/>
        <v>Sw</v>
      </c>
      <c r="M83" s="969" t="str">
        <f t="shared" si="24"/>
        <v>--</v>
      </c>
      <c r="N83" s="1003" t="str">
        <f ca="1">IFERROR(_xll.qlRateHelperQuoteName(M83,Trigger),"--")</f>
        <v>--</v>
      </c>
      <c r="O83" s="1002" t="str">
        <f ca="1">IFERROR(_xll.qlRateHelperQuoteValue($M83,Trigger),"--")</f>
        <v>--</v>
      </c>
      <c r="P83" s="969" t="b">
        <v>0</v>
      </c>
      <c r="Q83" s="969">
        <v>40</v>
      </c>
      <c r="R83" s="969">
        <v>1</v>
      </c>
      <c r="S83" s="1001" t="str">
        <f ca="1">IFERROR(_xll.qlRateHelperEarliestDate(M83,Trigger),"--")</f>
        <v>--</v>
      </c>
      <c r="T83" s="1001" t="str">
        <f ca="1">IFERROR(_xll.qlRateHelperPillarDate(M83,Trigger),"--")</f>
        <v>--</v>
      </c>
      <c r="V83" s="4" t="str">
        <f t="shared" ca="1" si="22"/>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404</v>
      </c>
      <c r="B84" s="875" t="s">
        <v>24</v>
      </c>
      <c r="C84" s="874" t="s">
        <v>324</v>
      </c>
      <c r="D84" s="874" t="s">
        <v>323</v>
      </c>
      <c r="E84" s="874" t="s">
        <v>322</v>
      </c>
      <c r="F84" s="874" t="s">
        <v>221</v>
      </c>
      <c r="G84" s="874" t="str">
        <f t="shared" si="20"/>
        <v>Euribor3M</v>
      </c>
      <c r="H84" s="873" t="str">
        <f t="shared" si="21"/>
        <v>EURAB3E40Y_Quote</v>
      </c>
      <c r="I84" s="872">
        <v>0</v>
      </c>
      <c r="J84" s="43" t="e">
        <f ca="1">_xll.qlSwapRateHelper2(,H84,2,B84,Calendar,D84,E84,F84,G84,I84,C84,Discounting,PillarDate,,Permanent,Trigger,ObjectOverwrite)</f>
        <v>#NAME?</v>
      </c>
      <c r="L84" s="1004" t="str">
        <f t="shared" si="23"/>
        <v>Sw</v>
      </c>
      <c r="M84" s="969" t="str">
        <f t="shared" si="24"/>
        <v>--</v>
      </c>
      <c r="N84" s="1003" t="str">
        <f ca="1">IFERROR(_xll.qlRateHelperQuoteName(M84,Trigger),"--")</f>
        <v>--</v>
      </c>
      <c r="O84" s="1002" t="str">
        <f ca="1">IFERROR(_xll.qlRateHelperQuoteValue($M84,Trigger),"--")</f>
        <v>--</v>
      </c>
      <c r="P84" s="969" t="b">
        <v>0</v>
      </c>
      <c r="Q84" s="969">
        <v>40</v>
      </c>
      <c r="R84" s="969">
        <v>1</v>
      </c>
      <c r="S84" s="1001" t="str">
        <f ca="1">IFERROR(_xll.qlRateHelperEarliestDate(M84,Trigger),"--")</f>
        <v>--</v>
      </c>
      <c r="T84" s="1001" t="str">
        <f ca="1">IFERROR(_xll.qlRateHelperPillarDate(M84,Trigger),"--")</f>
        <v>--</v>
      </c>
      <c r="V84" s="4" t="str">
        <f t="shared" ca="1" si="22"/>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404</v>
      </c>
      <c r="B85" s="875" t="s">
        <v>23</v>
      </c>
      <c r="C85" s="874" t="s">
        <v>324</v>
      </c>
      <c r="D85" s="874" t="s">
        <v>323</v>
      </c>
      <c r="E85" s="874" t="s">
        <v>322</v>
      </c>
      <c r="F85" s="874" t="s">
        <v>221</v>
      </c>
      <c r="G85" s="874" t="str">
        <f t="shared" si="20"/>
        <v>Euribor3M</v>
      </c>
      <c r="H85" s="873" t="str">
        <f t="shared" si="21"/>
        <v>EURAB3E50Y_Quote</v>
      </c>
      <c r="I85" s="872">
        <v>0</v>
      </c>
      <c r="J85" s="43" t="e">
        <f ca="1">_xll.qlSwapRateHelper2(,H85,2,B85,Calendar,D85,E85,F85,G85,I85,C85,Discounting,PillarDate,,Permanent,Trigger,ObjectOverwrite)</f>
        <v>#NAME?</v>
      </c>
      <c r="L85" s="1004" t="str">
        <f t="shared" si="23"/>
        <v>Sw</v>
      </c>
      <c r="M85" s="969" t="str">
        <f t="shared" si="24"/>
        <v>--</v>
      </c>
      <c r="N85" s="1003" t="str">
        <f ca="1">IFERROR(_xll.qlRateHelperQuoteName(M85,Trigger),"--")</f>
        <v>--</v>
      </c>
      <c r="O85" s="1002" t="str">
        <f ca="1">IFERROR(_xll.qlRateHelperQuoteValue($M85,Trigger),"--")</f>
        <v>--</v>
      </c>
      <c r="P85" s="969" t="b">
        <v>0</v>
      </c>
      <c r="Q85" s="969">
        <v>40</v>
      </c>
      <c r="R85" s="969">
        <v>1</v>
      </c>
      <c r="S85" s="1001" t="str">
        <f ca="1">IFERROR(_xll.qlRateHelperEarliestDate(M85,Trigger),"--")</f>
        <v>--</v>
      </c>
      <c r="T85" s="1001" t="str">
        <f ca="1">IFERROR(_xll.qlRateHelperPillarDate(M85,Trigger),"--")</f>
        <v>--</v>
      </c>
      <c r="V85" s="4" t="str">
        <f t="shared" ca="1" si="22"/>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69" t="s">
        <v>404</v>
      </c>
      <c r="B86" s="871" t="s">
        <v>22</v>
      </c>
      <c r="C86" s="870" t="s">
        <v>324</v>
      </c>
      <c r="D86" s="870" t="s">
        <v>323</v>
      </c>
      <c r="E86" s="870" t="s">
        <v>322</v>
      </c>
      <c r="F86" s="870" t="s">
        <v>221</v>
      </c>
      <c r="G86" s="870" t="str">
        <f t="shared" si="20"/>
        <v>Euribor3M</v>
      </c>
      <c r="H86" s="869" t="str">
        <f t="shared" si="21"/>
        <v>EURAB3E60Y_Quote</v>
      </c>
      <c r="I86" s="868">
        <v>0</v>
      </c>
      <c r="J86" s="38" t="e">
        <f ca="1">_xll.qlSwapRateHelper2(,H86,2,B86,Calendar,D86,E86,F86,G86,I86,C86,Discounting,PillarDate,,Permanent,Trigger,ObjectOverwrite)</f>
        <v>#NAME?</v>
      </c>
      <c r="L86" s="1004" t="str">
        <f t="shared" si="23"/>
        <v>Sw</v>
      </c>
      <c r="M86" s="969" t="str">
        <f t="shared" si="24"/>
        <v>--</v>
      </c>
      <c r="N86" s="1003" t="str">
        <f ca="1">IFERROR(_xll.qlRateHelperQuoteName(M86,Trigger),"--")</f>
        <v>--</v>
      </c>
      <c r="O86" s="1002" t="str">
        <f ca="1">IFERROR(_xll.qlRateHelperQuoteValue($M86,Trigger),"--")</f>
        <v>--</v>
      </c>
      <c r="P86" s="969" t="b">
        <v>0</v>
      </c>
      <c r="Q86" s="969">
        <v>40</v>
      </c>
      <c r="R86" s="969">
        <v>1</v>
      </c>
      <c r="S86" s="1001" t="str">
        <f ca="1">IFERROR(_xll.qlRateHelperEarliestDate(M86,Trigger),"--")</f>
        <v>--</v>
      </c>
      <c r="T86" s="1001" t="str">
        <f ca="1">IFERROR(_xll.qlRateHelperPillarDate(M86,Trigger),"--")</f>
        <v>--</v>
      </c>
      <c r="V86" s="4" t="str">
        <f t="shared" ca="1" si="22"/>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L87" s="1000" t="str">
        <f t="shared" si="23"/>
        <v>Sw</v>
      </c>
      <c r="M87" s="968" t="str">
        <f t="shared" si="24"/>
        <v>--</v>
      </c>
      <c r="N87" s="999" t="str">
        <f ca="1">IFERROR(_xll.qlRateHelperQuoteName(M87,Trigger),"--")</f>
        <v>--</v>
      </c>
      <c r="O87" s="998" t="str">
        <f ca="1">IFERROR(_xll.qlRateHelperQuoteValue($M87,Trigger),"--")</f>
        <v>--</v>
      </c>
      <c r="P87" s="968" t="b">
        <v>0</v>
      </c>
      <c r="Q87" s="968">
        <v>40</v>
      </c>
      <c r="R87" s="968">
        <v>1</v>
      </c>
      <c r="S87" s="997" t="str">
        <f ca="1">IFERROR(_xll.qlRateHelperEarliestDate(M87,Trigger),"--")</f>
        <v>--</v>
      </c>
      <c r="T87" s="997" t="str">
        <f ca="1">IFERROR(_xll.qlRateHelperPillarDate(M87,Trigger),"--")</f>
        <v>--</v>
      </c>
      <c r="V87" s="4" t="str">
        <f t="shared" ca="1" si="22"/>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145" t="s">
        <v>388</v>
      </c>
      <c r="B88" s="145" t="s">
        <v>107</v>
      </c>
      <c r="C88" s="145" t="s">
        <v>387</v>
      </c>
      <c r="D88" s="145" t="s">
        <v>330</v>
      </c>
      <c r="E88" s="145" t="s">
        <v>386</v>
      </c>
      <c r="F88" s="145" t="s">
        <v>385</v>
      </c>
      <c r="G88" s="145" t="s">
        <v>14</v>
      </c>
      <c r="H88" s="145" t="s">
        <v>384</v>
      </c>
      <c r="I88" s="145" t="s">
        <v>62</v>
      </c>
      <c r="J88" s="145" t="s">
        <v>383</v>
      </c>
      <c r="L88" s="1004" t="str">
        <f t="shared" ref="L88:L124" si="25">A98</f>
        <v>BasSw</v>
      </c>
      <c r="M88" s="969" t="str">
        <f t="shared" ref="M88:M124" si="26">IF(ISBLANK(J98),"--",J98)</f>
        <v>qlSwapRateHelper2(,H99,2,B99,Calendar,D99,E99,F99,G99,I99,C99,Discounting,PillarDate,,Permanent,Trigger,ObjectOverwrite)</v>
      </c>
      <c r="N88" s="1003" t="str">
        <f ca="1">IFERROR(_xll.qlRateHelperQuoteName(M88,Trigger),"--")</f>
        <v>--</v>
      </c>
      <c r="O88" s="1002" t="str">
        <f ca="1">IFERROR(_xll.qlRateHelperQuoteValue($M88,Trigger),"--")</f>
        <v>--</v>
      </c>
      <c r="P88" s="969" t="b">
        <v>0</v>
      </c>
      <c r="Q88" s="969">
        <v>40</v>
      </c>
      <c r="R88" s="969">
        <v>1</v>
      </c>
      <c r="S88" s="1001" t="str">
        <f ca="1">IFERROR(_xll.qlRateHelperEarliestDate(M88,Trigger),"--")</f>
        <v>--</v>
      </c>
      <c r="T88" s="1001" t="str">
        <f ca="1">IFERROR(_xll.qlRateHelperPillarDate(M88,Trigger),"--")</f>
        <v>--</v>
      </c>
      <c r="V88" s="4" t="str">
        <f t="shared" ca="1" si="22"/>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96" t="s">
        <v>404</v>
      </c>
      <c r="B89" s="917">
        <v>12</v>
      </c>
      <c r="C89" s="897" t="s">
        <v>324</v>
      </c>
      <c r="D89" s="897" t="s">
        <v>323</v>
      </c>
      <c r="E89" s="897" t="s">
        <v>322</v>
      </c>
      <c r="F89" s="897" t="s">
        <v>295</v>
      </c>
      <c r="G89" s="897" t="str">
        <f t="shared" ref="G89:G95" si="27">PROPER(Currency)&amp;FamilyName&amp;Tenor</f>
        <v>Euribor3M</v>
      </c>
      <c r="H89" s="896" t="str">
        <f>Currency&amp;"1S"&amp;$B89&amp;QuoteSuffix</f>
        <v>EUR1S12_Quote</v>
      </c>
      <c r="I89" s="895">
        <v>0</v>
      </c>
      <c r="J89" s="47" t="s">
        <v>412</v>
      </c>
      <c r="L89" s="1004" t="str">
        <f t="shared" si="25"/>
        <v>BasSw</v>
      </c>
      <c r="M89" s="969" t="str">
        <f t="shared" si="26"/>
        <v>--</v>
      </c>
      <c r="N89" s="1003" t="str">
        <f ca="1">IFERROR(_xll.qlRateHelperQuoteName(M89,Trigger),"--")</f>
        <v>--</v>
      </c>
      <c r="O89" s="1002" t="str">
        <f ca="1">IFERROR(_xll.qlRateHelperQuoteValue($M89,Trigger),"--")</f>
        <v>--</v>
      </c>
      <c r="P89" s="969" t="b">
        <v>0</v>
      </c>
      <c r="Q89" s="969">
        <v>40</v>
      </c>
      <c r="R89" s="969">
        <v>1</v>
      </c>
      <c r="S89" s="1001" t="str">
        <f ca="1">IFERROR(_xll.qlRateHelperEarliestDate(M89,Trigger),"--")</f>
        <v>--</v>
      </c>
      <c r="T89" s="1001" t="str">
        <f ca="1">IFERROR(_xll.qlRateHelperPillarDate(M89,Trigger),"--")</f>
        <v>--</v>
      </c>
      <c r="V89" s="4" t="str">
        <f t="shared" ca="1" si="22"/>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404</v>
      </c>
      <c r="B90" s="912">
        <v>12</v>
      </c>
      <c r="C90" s="874" t="s">
        <v>324</v>
      </c>
      <c r="D90" s="874" t="s">
        <v>323</v>
      </c>
      <c r="E90" s="874" t="s">
        <v>322</v>
      </c>
      <c r="F90" s="874" t="s">
        <v>295</v>
      </c>
      <c r="G90" s="874" t="str">
        <f t="shared" si="27"/>
        <v>Euribor3M</v>
      </c>
      <c r="H90" s="873" t="str">
        <f>Currency&amp;"2S"&amp;$B90&amp;QuoteSuffix</f>
        <v>EUR2S12_Quote</v>
      </c>
      <c r="I90" s="876">
        <v>0</v>
      </c>
      <c r="J90" s="43"/>
      <c r="K90" s="1" t="s">
        <v>148</v>
      </c>
      <c r="L90" s="1004" t="str">
        <f t="shared" si="25"/>
        <v>BasSw</v>
      </c>
      <c r="M90" s="969" t="str">
        <f t="shared" si="26"/>
        <v>--</v>
      </c>
      <c r="N90" s="1003" t="str">
        <f ca="1">IFERROR(_xll.qlRateHelperQuoteName(M90,Trigger),"--")</f>
        <v>--</v>
      </c>
      <c r="O90" s="1002" t="str">
        <f ca="1">IFERROR(_xll.qlRateHelperQuoteValue($M90,Trigger),"--")</f>
        <v>--</v>
      </c>
      <c r="P90" s="969" t="b">
        <v>0</v>
      </c>
      <c r="Q90" s="969">
        <v>40</v>
      </c>
      <c r="R90" s="969">
        <v>1</v>
      </c>
      <c r="S90" s="1001" t="str">
        <f ca="1">IFERROR(_xll.qlRateHelperEarliestDate(M90,Trigger),"--")</f>
        <v>--</v>
      </c>
      <c r="T90" s="1001" t="str">
        <f ca="1">IFERROR(_xll.qlRateHelperPillarDate(M90,Trigger),"--")</f>
        <v>--</v>
      </c>
      <c r="V90" s="4" t="str">
        <f t="shared" ca="1" si="22"/>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404</v>
      </c>
      <c r="B91" s="912">
        <v>12</v>
      </c>
      <c r="C91" s="874" t="s">
        <v>324</v>
      </c>
      <c r="D91" s="874" t="s">
        <v>323</v>
      </c>
      <c r="E91" s="874" t="s">
        <v>322</v>
      </c>
      <c r="F91" s="874" t="s">
        <v>295</v>
      </c>
      <c r="G91" s="874" t="str">
        <f t="shared" si="27"/>
        <v>Euribor3M</v>
      </c>
      <c r="H91" s="873" t="str">
        <f>Currency&amp;"3S"&amp;$B91&amp;QuoteSuffix</f>
        <v>EUR3S12_Quote</v>
      </c>
      <c r="I91" s="876">
        <v>0</v>
      </c>
      <c r="J91" s="43"/>
      <c r="L91" s="1004" t="str">
        <f t="shared" si="25"/>
        <v>BasSw</v>
      </c>
      <c r="M91" s="969" t="str">
        <f t="shared" si="26"/>
        <v>--</v>
      </c>
      <c r="N91" s="1003" t="str">
        <f ca="1">IFERROR(_xll.qlRateHelperQuoteName(M91,Trigger),"--")</f>
        <v>--</v>
      </c>
      <c r="O91" s="1002" t="str">
        <f ca="1">IFERROR(_xll.qlRateHelperQuoteValue($M91,Trigger),"--")</f>
        <v>--</v>
      </c>
      <c r="P91" s="969" t="b">
        <v>0</v>
      </c>
      <c r="Q91" s="969">
        <v>40</v>
      </c>
      <c r="R91" s="969">
        <v>1</v>
      </c>
      <c r="S91" s="1001" t="str">
        <f ca="1">IFERROR(_xll.qlRateHelperEarliestDate(M91,Trigger),"--")</f>
        <v>--</v>
      </c>
      <c r="T91" s="1001" t="str">
        <f ca="1">IFERROR(_xll.qlRateHelperPillarDate(M91,Trigger),"--")</f>
        <v>--</v>
      </c>
      <c r="V91" s="4" t="str">
        <f t="shared" ca="1" si="22"/>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925" t="s">
        <v>404</v>
      </c>
      <c r="B92" s="1006">
        <v>12</v>
      </c>
      <c r="C92" s="922" t="s">
        <v>324</v>
      </c>
      <c r="D92" s="922" t="s">
        <v>323</v>
      </c>
      <c r="E92" s="922" t="s">
        <v>322</v>
      </c>
      <c r="F92" s="922" t="s">
        <v>295</v>
      </c>
      <c r="G92" s="922" t="str">
        <f t="shared" si="27"/>
        <v>Euribor3M</v>
      </c>
      <c r="H92" s="925" t="str">
        <f>Currency&amp;"4S"&amp;$B92&amp;QuoteSuffix</f>
        <v>EUR4S12_Quote</v>
      </c>
      <c r="I92" s="1005">
        <v>0</v>
      </c>
      <c r="J92" s="919"/>
      <c r="L92" s="1004" t="str">
        <f t="shared" si="25"/>
        <v>BasSw</v>
      </c>
      <c r="M92" s="969" t="str">
        <f t="shared" si="26"/>
        <v>--</v>
      </c>
      <c r="N92" s="1003" t="str">
        <f ca="1">IFERROR(_xll.qlRateHelperQuoteName(M92,Trigger),"--")</f>
        <v>--</v>
      </c>
      <c r="O92" s="1002" t="str">
        <f ca="1">IFERROR(_xll.qlRateHelperQuoteValue($M92,Trigger),"--")</f>
        <v>--</v>
      </c>
      <c r="P92" s="969" t="b">
        <v>0</v>
      </c>
      <c r="Q92" s="969">
        <v>40</v>
      </c>
      <c r="R92" s="969">
        <v>1</v>
      </c>
      <c r="S92" s="1001" t="str">
        <f ca="1">IFERROR(_xll.qlRateHelperEarliestDate(M92,Trigger),"--")</f>
        <v>--</v>
      </c>
      <c r="T92" s="1001" t="str">
        <f ca="1">IFERROR(_xll.qlRateHelperPillarDate(M92,Trigger),"--")</f>
        <v>--</v>
      </c>
      <c r="V92" s="4" t="str">
        <f t="shared" ca="1" si="22"/>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932" t="s">
        <v>404</v>
      </c>
      <c r="B93" s="1008">
        <v>24</v>
      </c>
      <c r="C93" s="929" t="s">
        <v>324</v>
      </c>
      <c r="D93" s="929" t="s">
        <v>323</v>
      </c>
      <c r="E93" s="929" t="s">
        <v>322</v>
      </c>
      <c r="F93" s="929" t="s">
        <v>295</v>
      </c>
      <c r="G93" s="929" t="str">
        <f t="shared" si="27"/>
        <v>Euribor3M</v>
      </c>
      <c r="H93" s="932" t="str">
        <f>Currency&amp;"1S"&amp;$B93&amp;QuoteSuffix</f>
        <v>EUR1S24_Quote</v>
      </c>
      <c r="I93" s="1007">
        <v>0</v>
      </c>
      <c r="J93" s="926"/>
      <c r="L93" s="1004" t="str">
        <f t="shared" si="25"/>
        <v>BasSw</v>
      </c>
      <c r="M93" s="969" t="str">
        <f t="shared" si="26"/>
        <v>--</v>
      </c>
      <c r="N93" s="1003" t="str">
        <f ca="1">IFERROR(_xll.qlRateHelperQuoteName(M93,Trigger),"--")</f>
        <v>--</v>
      </c>
      <c r="O93" s="1002" t="str">
        <f ca="1">IFERROR(_xll.qlRateHelperQuoteValue($M93,Trigger),"--")</f>
        <v>--</v>
      </c>
      <c r="P93" s="969" t="b">
        <v>0</v>
      </c>
      <c r="Q93" s="969">
        <v>40</v>
      </c>
      <c r="R93" s="969">
        <v>1</v>
      </c>
      <c r="S93" s="1001" t="str">
        <f ca="1">IFERROR(_xll.qlRateHelperEarliestDate(M93,Trigger),"--")</f>
        <v>--</v>
      </c>
      <c r="T93" s="1001" t="str">
        <f ca="1">IFERROR(_xll.qlRateHelperPillarDate(M93,Trigger),"--")</f>
        <v>--</v>
      </c>
      <c r="V93" s="4" t="str">
        <f t="shared" ca="1" si="22"/>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925" t="s">
        <v>404</v>
      </c>
      <c r="B94" s="1006">
        <v>24</v>
      </c>
      <c r="C94" s="922" t="s">
        <v>324</v>
      </c>
      <c r="D94" s="922" t="s">
        <v>323</v>
      </c>
      <c r="E94" s="922" t="s">
        <v>322</v>
      </c>
      <c r="F94" s="922" t="s">
        <v>295</v>
      </c>
      <c r="G94" s="922" t="str">
        <f t="shared" si="27"/>
        <v>Euribor3M</v>
      </c>
      <c r="H94" s="925" t="str">
        <f>Currency&amp;"2S"&amp;$B94&amp;QuoteSuffix</f>
        <v>EUR2S24_Quote</v>
      </c>
      <c r="I94" s="1005">
        <v>0</v>
      </c>
      <c r="J94" s="919"/>
      <c r="L94" s="1004" t="str">
        <f t="shared" si="25"/>
        <v>BasSw</v>
      </c>
      <c r="M94" s="969" t="str">
        <f t="shared" si="26"/>
        <v>--</v>
      </c>
      <c r="N94" s="1003" t="str">
        <f ca="1">IFERROR(_xll.qlRateHelperQuoteName(M94,Trigger),"--")</f>
        <v>--</v>
      </c>
      <c r="O94" s="1002" t="str">
        <f ca="1">IFERROR(_xll.qlRateHelperQuoteValue($M94,Trigger),"--")</f>
        <v>--</v>
      </c>
      <c r="P94" s="969" t="b">
        <v>0</v>
      </c>
      <c r="Q94" s="969">
        <v>40</v>
      </c>
      <c r="R94" s="969">
        <v>1</v>
      </c>
      <c r="S94" s="1001" t="str">
        <f ca="1">IFERROR(_xll.qlRateHelperEarliestDate(M94,Trigger),"--")</f>
        <v>--</v>
      </c>
      <c r="T94" s="1001" t="str">
        <f ca="1">IFERROR(_xll.qlRateHelperPillarDate(M94,Trigger),"--")</f>
        <v>--</v>
      </c>
      <c r="V94" s="4" t="str">
        <f t="shared" ca="1" si="22"/>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69" t="s">
        <v>404</v>
      </c>
      <c r="B95" s="902">
        <v>36</v>
      </c>
      <c r="C95" s="870" t="s">
        <v>324</v>
      </c>
      <c r="D95" s="870" t="s">
        <v>323</v>
      </c>
      <c r="E95" s="870" t="s">
        <v>322</v>
      </c>
      <c r="F95" s="870" t="s">
        <v>295</v>
      </c>
      <c r="G95" s="870" t="str">
        <f t="shared" si="27"/>
        <v>Euribor3M</v>
      </c>
      <c r="H95" s="869" t="str">
        <f>Currency&amp;"1S"&amp;$B95&amp;QuoteSuffix</f>
        <v>EUR1S36_Quote</v>
      </c>
      <c r="I95" s="984">
        <v>0</v>
      </c>
      <c r="J95" s="38"/>
      <c r="L95" s="1004" t="str">
        <f t="shared" si="25"/>
        <v>BasSw</v>
      </c>
      <c r="M95" s="969" t="str">
        <f t="shared" si="26"/>
        <v>--</v>
      </c>
      <c r="N95" s="1003" t="str">
        <f ca="1">IFERROR(_xll.qlRateHelperQuoteName(M95,Trigger),"--")</f>
        <v>--</v>
      </c>
      <c r="O95" s="1002" t="str">
        <f ca="1">IFERROR(_xll.qlRateHelperQuoteValue($M95,Trigger),"--")</f>
        <v>--</v>
      </c>
      <c r="P95" s="969" t="b">
        <v>0</v>
      </c>
      <c r="Q95" s="969">
        <v>40</v>
      </c>
      <c r="R95" s="969">
        <v>1</v>
      </c>
      <c r="S95" s="1001" t="str">
        <f ca="1">IFERROR(_xll.qlRateHelperEarliestDate(M95,Trigger),"--")</f>
        <v>--</v>
      </c>
      <c r="T95" s="1001" t="str">
        <f ca="1">IFERROR(_xll.qlRateHelperPillarDate(M95,Trigger),"--")</f>
        <v>--</v>
      </c>
      <c r="V95" s="4" t="str">
        <f t="shared" ca="1" si="22"/>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L96" s="1004" t="str">
        <f t="shared" si="25"/>
        <v>BasSw</v>
      </c>
      <c r="M96" s="969" t="str">
        <f t="shared" si="26"/>
        <v>--</v>
      </c>
      <c r="N96" s="1003" t="str">
        <f ca="1">IFERROR(_xll.qlRateHelperQuoteName(M96,Trigger),"--")</f>
        <v>--</v>
      </c>
      <c r="O96" s="1002" t="str">
        <f ca="1">IFERROR(_xll.qlRateHelperQuoteValue($M96,Trigger),"--")</f>
        <v>--</v>
      </c>
      <c r="P96" s="969" t="b">
        <v>0</v>
      </c>
      <c r="Q96" s="969">
        <v>40</v>
      </c>
      <c r="R96" s="969">
        <v>1</v>
      </c>
      <c r="S96" s="1001" t="str">
        <f ca="1">IFERROR(_xll.qlRateHelperEarliestDate(M96,Trigger),"--")</f>
        <v>--</v>
      </c>
      <c r="T96" s="1001" t="str">
        <f ca="1">IFERROR(_xll.qlRateHelperPillarDate(M96,Trigger),"--")</f>
        <v>--</v>
      </c>
      <c r="V96" s="4" t="str">
        <f t="shared" ca="1" si="22"/>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145" t="s">
        <v>388</v>
      </c>
      <c r="B97" s="145" t="s">
        <v>107</v>
      </c>
      <c r="C97" s="145" t="s">
        <v>387</v>
      </c>
      <c r="D97" s="145" t="s">
        <v>330</v>
      </c>
      <c r="E97" s="145" t="s">
        <v>386</v>
      </c>
      <c r="F97" s="145" t="s">
        <v>385</v>
      </c>
      <c r="G97" s="145" t="s">
        <v>14</v>
      </c>
      <c r="H97" s="145" t="s">
        <v>384</v>
      </c>
      <c r="I97" s="145" t="s">
        <v>62</v>
      </c>
      <c r="J97" s="145" t="s">
        <v>383</v>
      </c>
      <c r="L97" s="1004" t="str">
        <f t="shared" si="25"/>
        <v>BasSw</v>
      </c>
      <c r="M97" s="969" t="str">
        <f t="shared" si="26"/>
        <v>--</v>
      </c>
      <c r="N97" s="1003" t="str">
        <f ca="1">IFERROR(_xll.qlRateHelperQuoteName(M97,Trigger),"--")</f>
        <v>--</v>
      </c>
      <c r="O97" s="1002" t="str">
        <f ca="1">IFERROR(_xll.qlRateHelperQuoteValue($M97,Trigger),"--")</f>
        <v>--</v>
      </c>
      <c r="P97" s="969" t="b">
        <v>0</v>
      </c>
      <c r="Q97" s="969">
        <v>40</v>
      </c>
      <c r="R97" s="969">
        <v>1</v>
      </c>
      <c r="S97" s="1001" t="str">
        <f ca="1">IFERROR(_xll.qlRateHelperEarliestDate(M97,Trigger),"--")</f>
        <v>--</v>
      </c>
      <c r="T97" s="1001" t="str">
        <f ca="1">IFERROR(_xll.qlRateHelperPillarDate(M97,Trigger),"--")</f>
        <v>--</v>
      </c>
      <c r="V97" s="4" t="str">
        <f t="shared" ca="1" si="22"/>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96" t="s">
        <v>382</v>
      </c>
      <c r="B98" s="917" t="s">
        <v>58</v>
      </c>
      <c r="C98" s="897" t="s">
        <v>324</v>
      </c>
      <c r="D98" s="874" t="s">
        <v>323</v>
      </c>
      <c r="E98" s="874" t="s">
        <v>322</v>
      </c>
      <c r="F98" s="874" t="s">
        <v>221</v>
      </c>
      <c r="G98" s="874" t="str">
        <f t="shared" ref="G98:G134" si="28">PROPER(Currency)&amp;FamilyName&amp;Tenor</f>
        <v>Euribor3M</v>
      </c>
      <c r="H98" s="873" t="str">
        <f t="shared" ref="H98:H134" si="29">Currency&amp;$G$48&amp;$H$48&amp;"BASIS"&amp;$B98&amp;QuoteSuffix</f>
        <v>EURAB3EBASIS1Y_Quote</v>
      </c>
      <c r="I98" s="895">
        <v>0</v>
      </c>
      <c r="J98" s="47" t="s">
        <v>411</v>
      </c>
      <c r="L98" s="1004" t="str">
        <f t="shared" si="25"/>
        <v>BasSw</v>
      </c>
      <c r="M98" s="969" t="str">
        <f t="shared" si="26"/>
        <v>--</v>
      </c>
      <c r="N98" s="1003" t="str">
        <f ca="1">IFERROR(_xll.qlRateHelperQuoteName(M98,Trigger),"--")</f>
        <v>--</v>
      </c>
      <c r="O98" s="1002" t="str">
        <f ca="1">IFERROR(_xll.qlRateHelperQuoteValue($M98,Trigger),"--")</f>
        <v>--</v>
      </c>
      <c r="P98" s="969" t="b">
        <v>0</v>
      </c>
      <c r="Q98" s="969">
        <v>40</v>
      </c>
      <c r="R98" s="969">
        <v>1</v>
      </c>
      <c r="S98" s="1001" t="str">
        <f ca="1">IFERROR(_xll.qlRateHelperEarliestDate(M98,Trigger),"--")</f>
        <v>--</v>
      </c>
      <c r="T98" s="1001" t="str">
        <f ca="1">IFERROR(_xll.qlRateHelperPillarDate(M98,Trigger),"--")</f>
        <v>--</v>
      </c>
      <c r="V98" s="4" t="str">
        <f t="shared" ca="1" si="22"/>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382</v>
      </c>
      <c r="B99" s="912" t="s">
        <v>57</v>
      </c>
      <c r="C99" s="874" t="s">
        <v>324</v>
      </c>
      <c r="D99" s="874" t="s">
        <v>323</v>
      </c>
      <c r="E99" s="874" t="s">
        <v>322</v>
      </c>
      <c r="F99" s="874" t="s">
        <v>221</v>
      </c>
      <c r="G99" s="874" t="str">
        <f t="shared" si="28"/>
        <v>Euribor3M</v>
      </c>
      <c r="H99" s="873" t="str">
        <f t="shared" si="29"/>
        <v>EURAB3EBASIS15M_Quote</v>
      </c>
      <c r="I99" s="876">
        <v>0</v>
      </c>
      <c r="J99" s="43"/>
      <c r="L99" s="1004" t="str">
        <f t="shared" si="25"/>
        <v>BasSw</v>
      </c>
      <c r="M99" s="969" t="str">
        <f t="shared" si="26"/>
        <v>--</v>
      </c>
      <c r="N99" s="1003" t="str">
        <f ca="1">IFERROR(_xll.qlRateHelperQuoteName(M99,Trigger),"--")</f>
        <v>--</v>
      </c>
      <c r="O99" s="1002" t="str">
        <f ca="1">IFERROR(_xll.qlRateHelperQuoteValue($M99,Trigger),"--")</f>
        <v>--</v>
      </c>
      <c r="P99" s="969" t="b">
        <v>0</v>
      </c>
      <c r="Q99" s="969">
        <v>40</v>
      </c>
      <c r="R99" s="969">
        <v>1</v>
      </c>
      <c r="S99" s="1001" t="str">
        <f ca="1">IFERROR(_xll.qlRateHelperEarliestDate(M99,Trigger),"--")</f>
        <v>--</v>
      </c>
      <c r="T99" s="1001" t="str">
        <f ca="1">IFERROR(_xll.qlRateHelperPillarDate(M99,Trigger),"--")</f>
        <v>--</v>
      </c>
      <c r="V99" s="4" t="str">
        <f t="shared" ref="V99:V124" ca="1" si="30">IFERROR(INDEX($L$3:$L$124,MATCH(X99,$N$3:$N$124,0),1),"")</f>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382</v>
      </c>
      <c r="B100" s="912" t="s">
        <v>56</v>
      </c>
      <c r="C100" s="874" t="s">
        <v>324</v>
      </c>
      <c r="D100" s="874" t="s">
        <v>323</v>
      </c>
      <c r="E100" s="874" t="s">
        <v>322</v>
      </c>
      <c r="F100" s="874" t="s">
        <v>221</v>
      </c>
      <c r="G100" s="874" t="str">
        <f t="shared" si="28"/>
        <v>Euribor3M</v>
      </c>
      <c r="H100" s="873" t="str">
        <f t="shared" si="29"/>
        <v>EURAB3EBASIS18M_Quote</v>
      </c>
      <c r="I100" s="876">
        <v>0</v>
      </c>
      <c r="J100" s="43"/>
      <c r="L100" s="1004" t="str">
        <f t="shared" si="25"/>
        <v>BasSw</v>
      </c>
      <c r="M100" s="969" t="str">
        <f t="shared" si="26"/>
        <v>--</v>
      </c>
      <c r="N100" s="1003" t="str">
        <f ca="1">IFERROR(_xll.qlRateHelperQuoteName(M100,Trigger),"--")</f>
        <v>--</v>
      </c>
      <c r="O100" s="1002" t="str">
        <f ca="1">IFERROR(_xll.qlRateHelperQuoteValue($M100,Trigger),"--")</f>
        <v>--</v>
      </c>
      <c r="P100" s="969" t="b">
        <v>0</v>
      </c>
      <c r="Q100" s="969">
        <v>40</v>
      </c>
      <c r="R100" s="969">
        <v>1</v>
      </c>
      <c r="S100" s="1001" t="str">
        <f ca="1">IFERROR(_xll.qlRateHelperEarliestDate(M100,Trigger),"--")</f>
        <v>--</v>
      </c>
      <c r="T100" s="1001" t="str">
        <f ca="1">IFERROR(_xll.qlRateHelperPillarDate(M100,Trigger),"--")</f>
        <v>--</v>
      </c>
      <c r="V100" s="4" t="str">
        <f t="shared" ca="1" si="30"/>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382</v>
      </c>
      <c r="B101" s="912" t="s">
        <v>55</v>
      </c>
      <c r="C101" s="874" t="s">
        <v>324</v>
      </c>
      <c r="D101" s="874" t="s">
        <v>323</v>
      </c>
      <c r="E101" s="874" t="s">
        <v>322</v>
      </c>
      <c r="F101" s="874" t="s">
        <v>221</v>
      </c>
      <c r="G101" s="874" t="str">
        <f t="shared" si="28"/>
        <v>Euribor3M</v>
      </c>
      <c r="H101" s="873" t="str">
        <f t="shared" si="29"/>
        <v>EURAB3EBASIS21M_Quote</v>
      </c>
      <c r="I101" s="876">
        <v>0</v>
      </c>
      <c r="J101" s="43"/>
      <c r="L101" s="1004" t="str">
        <f t="shared" si="25"/>
        <v>BasSw</v>
      </c>
      <c r="M101" s="969" t="str">
        <f t="shared" si="26"/>
        <v>--</v>
      </c>
      <c r="N101" s="1003" t="str">
        <f ca="1">IFERROR(_xll.qlRateHelperQuoteName(M101,Trigger),"--")</f>
        <v>--</v>
      </c>
      <c r="O101" s="1002" t="str">
        <f ca="1">IFERROR(_xll.qlRateHelperQuoteValue($M101,Trigger),"--")</f>
        <v>--</v>
      </c>
      <c r="P101" s="969" t="b">
        <v>0</v>
      </c>
      <c r="Q101" s="969">
        <v>40</v>
      </c>
      <c r="R101" s="969">
        <v>1</v>
      </c>
      <c r="S101" s="1001" t="str">
        <f ca="1">IFERROR(_xll.qlRateHelperEarliestDate(M101,Trigger),"--")</f>
        <v>--</v>
      </c>
      <c r="T101" s="1001" t="str">
        <f ca="1">IFERROR(_xll.qlRateHelperPillarDate(M101,Trigger),"--")</f>
        <v>--</v>
      </c>
      <c r="V101" s="4" t="str">
        <f t="shared" ca="1" si="30"/>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382</v>
      </c>
      <c r="B102" s="912" t="s">
        <v>54</v>
      </c>
      <c r="C102" s="874" t="s">
        <v>324</v>
      </c>
      <c r="D102" s="874" t="s">
        <v>323</v>
      </c>
      <c r="E102" s="874" t="s">
        <v>322</v>
      </c>
      <c r="F102" s="874" t="s">
        <v>221</v>
      </c>
      <c r="G102" s="874" t="str">
        <f t="shared" si="28"/>
        <v>Euribor3M</v>
      </c>
      <c r="H102" s="873" t="str">
        <f t="shared" si="29"/>
        <v>EURAB3EBASIS2Y_Quote</v>
      </c>
      <c r="I102" s="876">
        <v>0</v>
      </c>
      <c r="J102" s="43"/>
      <c r="L102" s="1004" t="str">
        <f t="shared" si="25"/>
        <v>BasSw</v>
      </c>
      <c r="M102" s="969" t="str">
        <f t="shared" si="26"/>
        <v>--</v>
      </c>
      <c r="N102" s="1003" t="str">
        <f ca="1">IFERROR(_xll.qlRateHelperQuoteName(M102,Trigger),"--")</f>
        <v>--</v>
      </c>
      <c r="O102" s="1002" t="str">
        <f ca="1">IFERROR(_xll.qlRateHelperQuoteValue($M102,Trigger),"--")</f>
        <v>--</v>
      </c>
      <c r="P102" s="969" t="b">
        <v>0</v>
      </c>
      <c r="Q102" s="969">
        <v>40</v>
      </c>
      <c r="R102" s="969">
        <v>1</v>
      </c>
      <c r="S102" s="1001" t="str">
        <f ca="1">IFERROR(_xll.qlRateHelperEarliestDate(M102,Trigger),"--")</f>
        <v>--</v>
      </c>
      <c r="T102" s="1001" t="str">
        <f ca="1">IFERROR(_xll.qlRateHelperPillarDate(M102,Trigger),"--")</f>
        <v>--</v>
      </c>
      <c r="V102" s="4" t="str">
        <f t="shared" ca="1" si="30"/>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382</v>
      </c>
      <c r="B103" s="912" t="s">
        <v>53</v>
      </c>
      <c r="C103" s="874" t="s">
        <v>324</v>
      </c>
      <c r="D103" s="874" t="s">
        <v>323</v>
      </c>
      <c r="E103" s="874" t="s">
        <v>322</v>
      </c>
      <c r="F103" s="874" t="s">
        <v>221</v>
      </c>
      <c r="G103" s="874" t="str">
        <f t="shared" si="28"/>
        <v>Euribor3M</v>
      </c>
      <c r="H103" s="873" t="str">
        <f t="shared" si="29"/>
        <v>EURAB3EBASIS3Y_Quote</v>
      </c>
      <c r="I103" s="876">
        <v>0</v>
      </c>
      <c r="J103" s="43"/>
      <c r="L103" s="1004" t="str">
        <f t="shared" si="25"/>
        <v>BasSw</v>
      </c>
      <c r="M103" s="969" t="str">
        <f t="shared" si="26"/>
        <v>--</v>
      </c>
      <c r="N103" s="1003" t="str">
        <f ca="1">IFERROR(_xll.qlRateHelperQuoteName(M103,Trigger),"--")</f>
        <v>--</v>
      </c>
      <c r="O103" s="1002" t="str">
        <f ca="1">IFERROR(_xll.qlRateHelperQuoteValue($M103,Trigger),"--")</f>
        <v>--</v>
      </c>
      <c r="P103" s="969" t="b">
        <v>0</v>
      </c>
      <c r="Q103" s="969">
        <v>40</v>
      </c>
      <c r="R103" s="969">
        <v>1</v>
      </c>
      <c r="S103" s="1001" t="str">
        <f ca="1">IFERROR(_xll.qlRateHelperEarliestDate(M103,Trigger),"--")</f>
        <v>--</v>
      </c>
      <c r="T103" s="1001" t="str">
        <f ca="1">IFERROR(_xll.qlRateHelperPillarDate(M103,Trigger),"--")</f>
        <v>--</v>
      </c>
      <c r="V103" s="4" t="str">
        <f t="shared" ca="1" si="30"/>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382</v>
      </c>
      <c r="B104" s="912" t="s">
        <v>52</v>
      </c>
      <c r="C104" s="874" t="s">
        <v>324</v>
      </c>
      <c r="D104" s="874" t="s">
        <v>323</v>
      </c>
      <c r="E104" s="874" t="s">
        <v>322</v>
      </c>
      <c r="F104" s="874" t="s">
        <v>221</v>
      </c>
      <c r="G104" s="874" t="str">
        <f t="shared" si="28"/>
        <v>Euribor3M</v>
      </c>
      <c r="H104" s="873" t="str">
        <f t="shared" si="29"/>
        <v>EURAB3EBASIS4Y_Quote</v>
      </c>
      <c r="I104" s="876">
        <v>0</v>
      </c>
      <c r="J104" s="43"/>
      <c r="L104" s="1004" t="str">
        <f t="shared" si="25"/>
        <v>BasSw</v>
      </c>
      <c r="M104" s="969" t="str">
        <f t="shared" si="26"/>
        <v>--</v>
      </c>
      <c r="N104" s="1003" t="str">
        <f ca="1">IFERROR(_xll.qlRateHelperQuoteName(M104,Trigger),"--")</f>
        <v>--</v>
      </c>
      <c r="O104" s="1002" t="str">
        <f ca="1">IFERROR(_xll.qlRateHelperQuoteValue($M104,Trigger),"--")</f>
        <v>--</v>
      </c>
      <c r="P104" s="969" t="b">
        <v>0</v>
      </c>
      <c r="Q104" s="969">
        <v>40</v>
      </c>
      <c r="R104" s="969">
        <v>1</v>
      </c>
      <c r="S104" s="1001" t="str">
        <f ca="1">IFERROR(_xll.qlRateHelperEarliestDate(M104,Trigger),"--")</f>
        <v>--</v>
      </c>
      <c r="T104" s="1001" t="str">
        <f ca="1">IFERROR(_xll.qlRateHelperPillarDate(M104,Trigger),"--")</f>
        <v>--</v>
      </c>
      <c r="V104" s="4" t="str">
        <f t="shared" ca="1" si="30"/>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382</v>
      </c>
      <c r="B105" s="912" t="s">
        <v>51</v>
      </c>
      <c r="C105" s="874" t="s">
        <v>324</v>
      </c>
      <c r="D105" s="874" t="s">
        <v>323</v>
      </c>
      <c r="E105" s="874" t="s">
        <v>322</v>
      </c>
      <c r="F105" s="874" t="s">
        <v>221</v>
      </c>
      <c r="G105" s="874" t="str">
        <f t="shared" si="28"/>
        <v>Euribor3M</v>
      </c>
      <c r="H105" s="873" t="str">
        <f t="shared" si="29"/>
        <v>EURAB3EBASIS5Y_Quote</v>
      </c>
      <c r="I105" s="876">
        <v>0</v>
      </c>
      <c r="J105" s="43"/>
      <c r="L105" s="1004" t="str">
        <f t="shared" si="25"/>
        <v>BasSw</v>
      </c>
      <c r="M105" s="969" t="str">
        <f t="shared" si="26"/>
        <v>--</v>
      </c>
      <c r="N105" s="1003" t="str">
        <f ca="1">IFERROR(_xll.qlRateHelperQuoteName(M105,Trigger),"--")</f>
        <v>--</v>
      </c>
      <c r="O105" s="1002" t="str">
        <f ca="1">IFERROR(_xll.qlRateHelperQuoteValue($M105,Trigger),"--")</f>
        <v>--</v>
      </c>
      <c r="P105" s="969" t="b">
        <v>0</v>
      </c>
      <c r="Q105" s="969">
        <v>40</v>
      </c>
      <c r="R105" s="969">
        <v>1</v>
      </c>
      <c r="S105" s="1001" t="str">
        <f ca="1">IFERROR(_xll.qlRateHelperEarliestDate(M105,Trigger),"--")</f>
        <v>--</v>
      </c>
      <c r="T105" s="1001" t="str">
        <f ca="1">IFERROR(_xll.qlRateHelperPillarDate(M105,Trigger),"--")</f>
        <v>--</v>
      </c>
      <c r="V105" s="4" t="str">
        <f t="shared" ca="1" si="30"/>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382</v>
      </c>
      <c r="B106" s="912" t="s">
        <v>50</v>
      </c>
      <c r="C106" s="874" t="s">
        <v>324</v>
      </c>
      <c r="D106" s="874" t="s">
        <v>323</v>
      </c>
      <c r="E106" s="874" t="s">
        <v>322</v>
      </c>
      <c r="F106" s="874" t="s">
        <v>221</v>
      </c>
      <c r="G106" s="874" t="str">
        <f t="shared" si="28"/>
        <v>Euribor3M</v>
      </c>
      <c r="H106" s="873" t="str">
        <f t="shared" si="29"/>
        <v>EURAB3EBASIS6Y_Quote</v>
      </c>
      <c r="I106" s="876">
        <v>0</v>
      </c>
      <c r="J106" s="43"/>
      <c r="L106" s="1004" t="str">
        <f t="shared" si="25"/>
        <v>BasSw</v>
      </c>
      <c r="M106" s="969" t="str">
        <f t="shared" si="26"/>
        <v>--</v>
      </c>
      <c r="N106" s="1003" t="str">
        <f ca="1">IFERROR(_xll.qlRateHelperQuoteName(M106,Trigger),"--")</f>
        <v>--</v>
      </c>
      <c r="O106" s="1002" t="str">
        <f ca="1">IFERROR(_xll.qlRateHelperQuoteValue($M106,Trigger),"--")</f>
        <v>--</v>
      </c>
      <c r="P106" s="969" t="b">
        <v>0</v>
      </c>
      <c r="Q106" s="969">
        <v>40</v>
      </c>
      <c r="R106" s="969">
        <v>1</v>
      </c>
      <c r="S106" s="1001" t="str">
        <f ca="1">IFERROR(_xll.qlRateHelperEarliestDate(M106,Trigger),"--")</f>
        <v>--</v>
      </c>
      <c r="T106" s="1001" t="str">
        <f ca="1">IFERROR(_xll.qlRateHelperPillarDate(M106,Trigger),"--")</f>
        <v>--</v>
      </c>
      <c r="V106" s="4" t="str">
        <f t="shared" ca="1" si="30"/>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382</v>
      </c>
      <c r="B107" s="912" t="s">
        <v>49</v>
      </c>
      <c r="C107" s="874" t="s">
        <v>324</v>
      </c>
      <c r="D107" s="874" t="s">
        <v>323</v>
      </c>
      <c r="E107" s="874" t="s">
        <v>322</v>
      </c>
      <c r="F107" s="874" t="s">
        <v>221</v>
      </c>
      <c r="G107" s="874" t="str">
        <f t="shared" si="28"/>
        <v>Euribor3M</v>
      </c>
      <c r="H107" s="873" t="str">
        <f t="shared" si="29"/>
        <v>EURAB3EBASIS7Y_Quote</v>
      </c>
      <c r="I107" s="876">
        <v>0</v>
      </c>
      <c r="J107" s="43"/>
      <c r="L107" s="1004" t="str">
        <f t="shared" si="25"/>
        <v>BasSw</v>
      </c>
      <c r="M107" s="969" t="str">
        <f t="shared" si="26"/>
        <v>--</v>
      </c>
      <c r="N107" s="1003" t="str">
        <f ca="1">IFERROR(_xll.qlRateHelperQuoteName(M107,Trigger),"--")</f>
        <v>--</v>
      </c>
      <c r="O107" s="1002" t="str">
        <f ca="1">IFERROR(_xll.qlRateHelperQuoteValue($M107,Trigger),"--")</f>
        <v>--</v>
      </c>
      <c r="P107" s="969" t="b">
        <v>0</v>
      </c>
      <c r="Q107" s="969">
        <v>40</v>
      </c>
      <c r="R107" s="969">
        <v>1</v>
      </c>
      <c r="S107" s="1001" t="str">
        <f ca="1">IFERROR(_xll.qlRateHelperEarliestDate(M107,Trigger),"--")</f>
        <v>--</v>
      </c>
      <c r="T107" s="1001" t="str">
        <f ca="1">IFERROR(_xll.qlRateHelperPillarDate(M107,Trigger),"--")</f>
        <v>--</v>
      </c>
      <c r="V107" s="4" t="str">
        <f t="shared" ca="1" si="30"/>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382</v>
      </c>
      <c r="B108" s="912" t="s">
        <v>48</v>
      </c>
      <c r="C108" s="874" t="s">
        <v>324</v>
      </c>
      <c r="D108" s="874" t="s">
        <v>323</v>
      </c>
      <c r="E108" s="874" t="s">
        <v>322</v>
      </c>
      <c r="F108" s="874" t="s">
        <v>221</v>
      </c>
      <c r="G108" s="874" t="str">
        <f t="shared" si="28"/>
        <v>Euribor3M</v>
      </c>
      <c r="H108" s="873" t="str">
        <f t="shared" si="29"/>
        <v>EURAB3EBASIS8Y_Quote</v>
      </c>
      <c r="I108" s="876">
        <v>0</v>
      </c>
      <c r="J108" s="43"/>
      <c r="L108" s="1004" t="str">
        <f t="shared" si="25"/>
        <v>BasSw</v>
      </c>
      <c r="M108" s="969" t="str">
        <f t="shared" si="26"/>
        <v>--</v>
      </c>
      <c r="N108" s="1003" t="str">
        <f ca="1">IFERROR(_xll.qlRateHelperQuoteName(M108,Trigger),"--")</f>
        <v>--</v>
      </c>
      <c r="O108" s="1002" t="str">
        <f ca="1">IFERROR(_xll.qlRateHelperQuoteValue($M108,Trigger),"--")</f>
        <v>--</v>
      </c>
      <c r="P108" s="969" t="b">
        <v>0</v>
      </c>
      <c r="Q108" s="969">
        <v>40</v>
      </c>
      <c r="R108" s="969">
        <v>1</v>
      </c>
      <c r="S108" s="1001" t="str">
        <f ca="1">IFERROR(_xll.qlRateHelperEarliestDate(M108,Trigger),"--")</f>
        <v>--</v>
      </c>
      <c r="T108" s="1001" t="str">
        <f ca="1">IFERROR(_xll.qlRateHelperPillarDate(M108,Trigger),"--")</f>
        <v>--</v>
      </c>
      <c r="V108" s="4" t="str">
        <f t="shared" ca="1" si="30"/>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73" t="s">
        <v>382</v>
      </c>
      <c r="B109" s="912" t="s">
        <v>47</v>
      </c>
      <c r="C109" s="874" t="s">
        <v>324</v>
      </c>
      <c r="D109" s="874" t="s">
        <v>323</v>
      </c>
      <c r="E109" s="874" t="s">
        <v>322</v>
      </c>
      <c r="F109" s="874" t="s">
        <v>221</v>
      </c>
      <c r="G109" s="874" t="str">
        <f t="shared" si="28"/>
        <v>Euribor3M</v>
      </c>
      <c r="H109" s="873" t="str">
        <f t="shared" si="29"/>
        <v>EURAB3EBASIS9Y_Quote</v>
      </c>
      <c r="I109" s="876">
        <v>0</v>
      </c>
      <c r="J109" s="43"/>
      <c r="L109" s="1004" t="str">
        <f t="shared" si="25"/>
        <v>BasSw</v>
      </c>
      <c r="M109" s="969" t="str">
        <f t="shared" si="26"/>
        <v>--</v>
      </c>
      <c r="N109" s="1003" t="str">
        <f ca="1">IFERROR(_xll.qlRateHelperQuoteName(M109,Trigger),"--")</f>
        <v>--</v>
      </c>
      <c r="O109" s="1002" t="str">
        <f ca="1">IFERROR(_xll.qlRateHelperQuoteValue($M109,Trigger),"--")</f>
        <v>--</v>
      </c>
      <c r="P109" s="969" t="b">
        <v>0</v>
      </c>
      <c r="Q109" s="969">
        <v>40</v>
      </c>
      <c r="R109" s="969">
        <v>1</v>
      </c>
      <c r="S109" s="1001" t="str">
        <f ca="1">IFERROR(_xll.qlRateHelperEarliestDate(M109,Trigger),"--")</f>
        <v>--</v>
      </c>
      <c r="T109" s="1001" t="str">
        <f ca="1">IFERROR(_xll.qlRateHelperPillarDate(M109,Trigger),"--")</f>
        <v>--</v>
      </c>
      <c r="V109" s="4" t="str">
        <f t="shared" ca="1" si="30"/>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382</v>
      </c>
      <c r="B110" s="912" t="s">
        <v>46</v>
      </c>
      <c r="C110" s="874" t="s">
        <v>324</v>
      </c>
      <c r="D110" s="874" t="s">
        <v>323</v>
      </c>
      <c r="E110" s="874" t="s">
        <v>322</v>
      </c>
      <c r="F110" s="874" t="s">
        <v>221</v>
      </c>
      <c r="G110" s="874" t="str">
        <f t="shared" si="28"/>
        <v>Euribor3M</v>
      </c>
      <c r="H110" s="873" t="str">
        <f t="shared" si="29"/>
        <v>EURAB3EBASIS10Y_Quote</v>
      </c>
      <c r="I110" s="876">
        <v>0</v>
      </c>
      <c r="J110" s="43"/>
      <c r="L110" s="1004" t="str">
        <f t="shared" si="25"/>
        <v>BasSw</v>
      </c>
      <c r="M110" s="969" t="str">
        <f t="shared" si="26"/>
        <v>--</v>
      </c>
      <c r="N110" s="1003" t="str">
        <f ca="1">IFERROR(_xll.qlRateHelperQuoteName(M110,Trigger),"--")</f>
        <v>--</v>
      </c>
      <c r="O110" s="1002" t="str">
        <f ca="1">IFERROR(_xll.qlRateHelperQuoteValue($M110,Trigger),"--")</f>
        <v>--</v>
      </c>
      <c r="P110" s="969" t="b">
        <v>0</v>
      </c>
      <c r="Q110" s="969">
        <v>40</v>
      </c>
      <c r="R110" s="969">
        <v>1</v>
      </c>
      <c r="S110" s="1001" t="str">
        <f ca="1">IFERROR(_xll.qlRateHelperEarliestDate(M110,Trigger),"--")</f>
        <v>--</v>
      </c>
      <c r="T110" s="1001" t="str">
        <f ca="1">IFERROR(_xll.qlRateHelperPillarDate(M110,Trigger),"--")</f>
        <v>--</v>
      </c>
      <c r="V110" s="4" t="str">
        <f t="shared" ca="1" si="30"/>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382</v>
      </c>
      <c r="B111" s="912" t="s">
        <v>45</v>
      </c>
      <c r="C111" s="874" t="s">
        <v>324</v>
      </c>
      <c r="D111" s="874" t="s">
        <v>323</v>
      </c>
      <c r="E111" s="874" t="s">
        <v>322</v>
      </c>
      <c r="F111" s="874" t="s">
        <v>221</v>
      </c>
      <c r="G111" s="874" t="str">
        <f t="shared" si="28"/>
        <v>Euribor3M</v>
      </c>
      <c r="H111" s="873" t="str">
        <f t="shared" si="29"/>
        <v>EURAB3EBASIS11Y_Quote</v>
      </c>
      <c r="I111" s="876">
        <v>0</v>
      </c>
      <c r="J111" s="43"/>
      <c r="L111" s="1004" t="str">
        <f t="shared" si="25"/>
        <v>BasSw</v>
      </c>
      <c r="M111" s="969" t="str">
        <f t="shared" si="26"/>
        <v>--</v>
      </c>
      <c r="N111" s="1003" t="str">
        <f ca="1">IFERROR(_xll.qlRateHelperQuoteName(M111,Trigger),"--")</f>
        <v>--</v>
      </c>
      <c r="O111" s="1002" t="str">
        <f ca="1">IFERROR(_xll.qlRateHelperQuoteValue($M111,Trigger),"--")</f>
        <v>--</v>
      </c>
      <c r="P111" s="969" t="b">
        <v>0</v>
      </c>
      <c r="Q111" s="969">
        <v>40</v>
      </c>
      <c r="R111" s="969">
        <v>1</v>
      </c>
      <c r="S111" s="1001" t="str">
        <f ca="1">IFERROR(_xll.qlRateHelperEarliestDate(M111,Trigger),"--")</f>
        <v>--</v>
      </c>
      <c r="T111" s="1001" t="str">
        <f ca="1">IFERROR(_xll.qlRateHelperPillarDate(M111,Trigger),"--")</f>
        <v>--</v>
      </c>
      <c r="V111" s="4" t="str">
        <f t="shared" ca="1" si="30"/>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382</v>
      </c>
      <c r="B112" s="912" t="s">
        <v>44</v>
      </c>
      <c r="C112" s="874" t="s">
        <v>324</v>
      </c>
      <c r="D112" s="874" t="s">
        <v>323</v>
      </c>
      <c r="E112" s="874" t="s">
        <v>322</v>
      </c>
      <c r="F112" s="874" t="s">
        <v>221</v>
      </c>
      <c r="G112" s="874" t="str">
        <f t="shared" si="28"/>
        <v>Euribor3M</v>
      </c>
      <c r="H112" s="873" t="str">
        <f t="shared" si="29"/>
        <v>EURAB3EBASIS12Y_Quote</v>
      </c>
      <c r="I112" s="876">
        <v>0</v>
      </c>
      <c r="J112" s="43"/>
      <c r="L112" s="1004" t="str">
        <f t="shared" si="25"/>
        <v>BasSw</v>
      </c>
      <c r="M112" s="969" t="str">
        <f t="shared" si="26"/>
        <v>--</v>
      </c>
      <c r="N112" s="1003" t="str">
        <f ca="1">IFERROR(_xll.qlRateHelperQuoteName(M112,Trigger),"--")</f>
        <v>--</v>
      </c>
      <c r="O112" s="1002" t="str">
        <f ca="1">IFERROR(_xll.qlRateHelperQuoteValue($M112,Trigger),"--")</f>
        <v>--</v>
      </c>
      <c r="P112" s="969" t="b">
        <v>0</v>
      </c>
      <c r="Q112" s="969">
        <v>40</v>
      </c>
      <c r="R112" s="969">
        <v>1</v>
      </c>
      <c r="S112" s="1001" t="str">
        <f ca="1">IFERROR(_xll.qlRateHelperEarliestDate(M112,Trigger),"--")</f>
        <v>--</v>
      </c>
      <c r="T112" s="1001" t="str">
        <f ca="1">IFERROR(_xll.qlRateHelperPillarDate(M112,Trigger),"--")</f>
        <v>--</v>
      </c>
      <c r="V112" s="4" t="str">
        <f t="shared" ca="1" si="30"/>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382</v>
      </c>
      <c r="B113" s="912" t="s">
        <v>43</v>
      </c>
      <c r="C113" s="874" t="s">
        <v>324</v>
      </c>
      <c r="D113" s="874" t="s">
        <v>323</v>
      </c>
      <c r="E113" s="874" t="s">
        <v>322</v>
      </c>
      <c r="F113" s="874" t="s">
        <v>221</v>
      </c>
      <c r="G113" s="874" t="str">
        <f t="shared" si="28"/>
        <v>Euribor3M</v>
      </c>
      <c r="H113" s="873" t="str">
        <f t="shared" si="29"/>
        <v>EURAB3EBASIS13Y_Quote</v>
      </c>
      <c r="I113" s="876">
        <v>0</v>
      </c>
      <c r="J113" s="43"/>
      <c r="L113" s="1004" t="str">
        <f t="shared" si="25"/>
        <v>BasSw</v>
      </c>
      <c r="M113" s="969" t="str">
        <f t="shared" si="26"/>
        <v>--</v>
      </c>
      <c r="N113" s="1003" t="str">
        <f ca="1">IFERROR(_xll.qlRateHelperQuoteName(M113,Trigger),"--")</f>
        <v>--</v>
      </c>
      <c r="O113" s="1002" t="str">
        <f ca="1">IFERROR(_xll.qlRateHelperQuoteValue($M113,Trigger),"--")</f>
        <v>--</v>
      </c>
      <c r="P113" s="969" t="b">
        <v>0</v>
      </c>
      <c r="Q113" s="969">
        <v>40</v>
      </c>
      <c r="R113" s="969">
        <v>1</v>
      </c>
      <c r="S113" s="1001" t="str">
        <f ca="1">IFERROR(_xll.qlRateHelperEarliestDate(M113,Trigger),"--")</f>
        <v>--</v>
      </c>
      <c r="T113" s="1001" t="str">
        <f ca="1">IFERROR(_xll.qlRateHelperPillarDate(M113,Trigger),"--")</f>
        <v>--</v>
      </c>
      <c r="V113" s="4" t="str">
        <f t="shared" ca="1" si="30"/>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382</v>
      </c>
      <c r="B114" s="912" t="s">
        <v>42</v>
      </c>
      <c r="C114" s="874" t="s">
        <v>324</v>
      </c>
      <c r="D114" s="874" t="s">
        <v>323</v>
      </c>
      <c r="E114" s="874" t="s">
        <v>322</v>
      </c>
      <c r="F114" s="874" t="s">
        <v>221</v>
      </c>
      <c r="G114" s="874" t="str">
        <f t="shared" si="28"/>
        <v>Euribor3M</v>
      </c>
      <c r="H114" s="873" t="str">
        <f t="shared" si="29"/>
        <v>EURAB3EBASIS14Y_Quote</v>
      </c>
      <c r="I114" s="876">
        <v>0</v>
      </c>
      <c r="J114" s="43"/>
      <c r="L114" s="1004" t="str">
        <f t="shared" si="25"/>
        <v>BasSw</v>
      </c>
      <c r="M114" s="969" t="str">
        <f t="shared" si="26"/>
        <v>--</v>
      </c>
      <c r="N114" s="1003" t="str">
        <f ca="1">IFERROR(_xll.qlRateHelperQuoteName(M114,Trigger),"--")</f>
        <v>--</v>
      </c>
      <c r="O114" s="1002" t="str">
        <f ca="1">IFERROR(_xll.qlRateHelperQuoteValue($M114,Trigger),"--")</f>
        <v>--</v>
      </c>
      <c r="P114" s="969" t="b">
        <v>0</v>
      </c>
      <c r="Q114" s="969">
        <v>40</v>
      </c>
      <c r="R114" s="969">
        <v>1</v>
      </c>
      <c r="S114" s="1001" t="str">
        <f ca="1">IFERROR(_xll.qlRateHelperEarliestDate(M114,Trigger),"--")</f>
        <v>--</v>
      </c>
      <c r="T114" s="1001" t="str">
        <f ca="1">IFERROR(_xll.qlRateHelperPillarDate(M114,Trigger),"--")</f>
        <v>--</v>
      </c>
      <c r="V114" s="4" t="str">
        <f t="shared" ca="1" si="30"/>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382</v>
      </c>
      <c r="B115" s="912" t="s">
        <v>41</v>
      </c>
      <c r="C115" s="874" t="s">
        <v>324</v>
      </c>
      <c r="D115" s="874" t="s">
        <v>323</v>
      </c>
      <c r="E115" s="874" t="s">
        <v>322</v>
      </c>
      <c r="F115" s="874" t="s">
        <v>221</v>
      </c>
      <c r="G115" s="874" t="str">
        <f t="shared" si="28"/>
        <v>Euribor3M</v>
      </c>
      <c r="H115" s="873" t="str">
        <f t="shared" si="29"/>
        <v>EURAB3EBASIS15Y_Quote</v>
      </c>
      <c r="I115" s="876">
        <v>0</v>
      </c>
      <c r="J115" s="43"/>
      <c r="L115" s="1004" t="str">
        <f t="shared" si="25"/>
        <v>BasSw</v>
      </c>
      <c r="M115" s="969" t="str">
        <f t="shared" si="26"/>
        <v>--</v>
      </c>
      <c r="N115" s="1003" t="str">
        <f ca="1">IFERROR(_xll.qlRateHelperQuoteName(M115,Trigger),"--")</f>
        <v>--</v>
      </c>
      <c r="O115" s="1002" t="str">
        <f ca="1">IFERROR(_xll.qlRateHelperQuoteValue($M115,Trigger),"--")</f>
        <v>--</v>
      </c>
      <c r="P115" s="969" t="b">
        <v>0</v>
      </c>
      <c r="Q115" s="969">
        <v>40</v>
      </c>
      <c r="R115" s="969">
        <v>1</v>
      </c>
      <c r="S115" s="1001" t="str">
        <f ca="1">IFERROR(_xll.qlRateHelperEarliestDate(M115,Trigger),"--")</f>
        <v>--</v>
      </c>
      <c r="T115" s="1001" t="str">
        <f ca="1">IFERROR(_xll.qlRateHelperPillarDate(M115,Trigger),"--")</f>
        <v>--</v>
      </c>
      <c r="V115" s="4" t="str">
        <f t="shared" ca="1" si="30"/>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382</v>
      </c>
      <c r="B116" s="912" t="s">
        <v>40</v>
      </c>
      <c r="C116" s="874" t="s">
        <v>324</v>
      </c>
      <c r="D116" s="874" t="s">
        <v>323</v>
      </c>
      <c r="E116" s="874" t="s">
        <v>322</v>
      </c>
      <c r="F116" s="874" t="s">
        <v>221</v>
      </c>
      <c r="G116" s="874" t="str">
        <f t="shared" si="28"/>
        <v>Euribor3M</v>
      </c>
      <c r="H116" s="873" t="str">
        <f t="shared" si="29"/>
        <v>EURAB3EBASIS16Y_Quote</v>
      </c>
      <c r="I116" s="876">
        <v>0</v>
      </c>
      <c r="J116" s="43"/>
      <c r="L116" s="1004" t="str">
        <f t="shared" si="25"/>
        <v>BasSw</v>
      </c>
      <c r="M116" s="969" t="str">
        <f t="shared" si="26"/>
        <v>--</v>
      </c>
      <c r="N116" s="1003" t="str">
        <f ca="1">IFERROR(_xll.qlRateHelperQuoteName(M116,Trigger),"--")</f>
        <v>--</v>
      </c>
      <c r="O116" s="1002" t="str">
        <f ca="1">IFERROR(_xll.qlRateHelperQuoteValue($M116,Trigger),"--")</f>
        <v>--</v>
      </c>
      <c r="P116" s="969" t="b">
        <v>0</v>
      </c>
      <c r="Q116" s="969">
        <v>40</v>
      </c>
      <c r="R116" s="969">
        <v>1</v>
      </c>
      <c r="S116" s="1001" t="str">
        <f ca="1">IFERROR(_xll.qlRateHelperEarliestDate(M116,Trigger),"--")</f>
        <v>--</v>
      </c>
      <c r="T116" s="1001" t="str">
        <f ca="1">IFERROR(_xll.qlRateHelperPillarDate(M116,Trigger),"--")</f>
        <v>--</v>
      </c>
      <c r="V116" s="4" t="str">
        <f t="shared" ca="1" si="30"/>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382</v>
      </c>
      <c r="B117" s="912" t="s">
        <v>39</v>
      </c>
      <c r="C117" s="874" t="s">
        <v>324</v>
      </c>
      <c r="D117" s="874" t="s">
        <v>323</v>
      </c>
      <c r="E117" s="874" t="s">
        <v>322</v>
      </c>
      <c r="F117" s="874" t="s">
        <v>221</v>
      </c>
      <c r="G117" s="874" t="str">
        <f t="shared" si="28"/>
        <v>Euribor3M</v>
      </c>
      <c r="H117" s="873" t="str">
        <f t="shared" si="29"/>
        <v>EURAB3EBASIS17Y_Quote</v>
      </c>
      <c r="I117" s="876">
        <v>0</v>
      </c>
      <c r="J117" s="43"/>
      <c r="L117" s="1004" t="str">
        <f t="shared" si="25"/>
        <v>BasSw</v>
      </c>
      <c r="M117" s="969" t="str">
        <f t="shared" si="26"/>
        <v>--</v>
      </c>
      <c r="N117" s="1003" t="str">
        <f ca="1">IFERROR(_xll.qlRateHelperQuoteName(M117,Trigger),"--")</f>
        <v>--</v>
      </c>
      <c r="O117" s="1002" t="str">
        <f ca="1">IFERROR(_xll.qlRateHelperQuoteValue($M117,Trigger),"--")</f>
        <v>--</v>
      </c>
      <c r="P117" s="969" t="b">
        <v>0</v>
      </c>
      <c r="Q117" s="969">
        <v>40</v>
      </c>
      <c r="R117" s="969">
        <v>1</v>
      </c>
      <c r="S117" s="1001" t="str">
        <f ca="1">IFERROR(_xll.qlRateHelperEarliestDate(M117,Trigger),"--")</f>
        <v>--</v>
      </c>
      <c r="T117" s="1001" t="str">
        <f ca="1">IFERROR(_xll.qlRateHelperPillarDate(M117,Trigger),"--")</f>
        <v>--</v>
      </c>
      <c r="V117" s="4" t="str">
        <f t="shared" ca="1" si="30"/>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382</v>
      </c>
      <c r="B118" s="912" t="s">
        <v>38</v>
      </c>
      <c r="C118" s="874" t="s">
        <v>324</v>
      </c>
      <c r="D118" s="874" t="s">
        <v>323</v>
      </c>
      <c r="E118" s="874" t="s">
        <v>322</v>
      </c>
      <c r="F118" s="874" t="s">
        <v>221</v>
      </c>
      <c r="G118" s="874" t="str">
        <f t="shared" si="28"/>
        <v>Euribor3M</v>
      </c>
      <c r="H118" s="873" t="str">
        <f t="shared" si="29"/>
        <v>EURAB3EBASIS18Y_Quote</v>
      </c>
      <c r="I118" s="876">
        <v>0</v>
      </c>
      <c r="J118" s="43"/>
      <c r="L118" s="1004" t="str">
        <f t="shared" si="25"/>
        <v>BasSw</v>
      </c>
      <c r="M118" s="969" t="str">
        <f t="shared" si="26"/>
        <v>--</v>
      </c>
      <c r="N118" s="1003" t="str">
        <f ca="1">IFERROR(_xll.qlRateHelperQuoteName(M118,Trigger),"--")</f>
        <v>--</v>
      </c>
      <c r="O118" s="1002" t="str">
        <f ca="1">IFERROR(_xll.qlRateHelperQuoteValue($M118,Trigger),"--")</f>
        <v>--</v>
      </c>
      <c r="P118" s="969" t="b">
        <v>0</v>
      </c>
      <c r="Q118" s="969">
        <v>40</v>
      </c>
      <c r="R118" s="969">
        <v>1</v>
      </c>
      <c r="S118" s="1001" t="str">
        <f ca="1">IFERROR(_xll.qlRateHelperEarliestDate(M118,Trigger),"--")</f>
        <v>--</v>
      </c>
      <c r="T118" s="1001" t="str">
        <f ca="1">IFERROR(_xll.qlRateHelperPillarDate(M118,Trigger),"--")</f>
        <v>--</v>
      </c>
      <c r="V118" s="4" t="str">
        <f t="shared" ca="1" si="30"/>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382</v>
      </c>
      <c r="B119" s="912" t="s">
        <v>37</v>
      </c>
      <c r="C119" s="874" t="s">
        <v>324</v>
      </c>
      <c r="D119" s="874" t="s">
        <v>323</v>
      </c>
      <c r="E119" s="874" t="s">
        <v>322</v>
      </c>
      <c r="F119" s="874" t="s">
        <v>221</v>
      </c>
      <c r="G119" s="874" t="str">
        <f t="shared" si="28"/>
        <v>Euribor3M</v>
      </c>
      <c r="H119" s="873" t="str">
        <f t="shared" si="29"/>
        <v>EURAB3EBASIS19Y_Quote</v>
      </c>
      <c r="I119" s="876">
        <v>0</v>
      </c>
      <c r="J119" s="43"/>
      <c r="L119" s="1004" t="str">
        <f t="shared" si="25"/>
        <v>BasSw</v>
      </c>
      <c r="M119" s="969" t="str">
        <f t="shared" si="26"/>
        <v>--</v>
      </c>
      <c r="N119" s="1003" t="str">
        <f ca="1">IFERROR(_xll.qlRateHelperQuoteName(M119,Trigger),"--")</f>
        <v>--</v>
      </c>
      <c r="O119" s="1002" t="str">
        <f ca="1">IFERROR(_xll.qlRateHelperQuoteValue($M119,Trigger),"--")</f>
        <v>--</v>
      </c>
      <c r="P119" s="969" t="b">
        <v>0</v>
      </c>
      <c r="Q119" s="969">
        <v>40</v>
      </c>
      <c r="R119" s="969">
        <v>1</v>
      </c>
      <c r="S119" s="1001" t="str">
        <f ca="1">IFERROR(_xll.qlRateHelperEarliestDate(M119,Trigger),"--")</f>
        <v>--</v>
      </c>
      <c r="T119" s="1001" t="str">
        <f ca="1">IFERROR(_xll.qlRateHelperPillarDate(M119,Trigger),"--")</f>
        <v>--</v>
      </c>
      <c r="V119" s="4" t="str">
        <f t="shared" ca="1" si="30"/>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382</v>
      </c>
      <c r="B120" s="912" t="s">
        <v>36</v>
      </c>
      <c r="C120" s="874" t="s">
        <v>324</v>
      </c>
      <c r="D120" s="874" t="s">
        <v>323</v>
      </c>
      <c r="E120" s="874" t="s">
        <v>322</v>
      </c>
      <c r="F120" s="874" t="s">
        <v>221</v>
      </c>
      <c r="G120" s="874" t="str">
        <f t="shared" si="28"/>
        <v>Euribor3M</v>
      </c>
      <c r="H120" s="873" t="str">
        <f t="shared" si="29"/>
        <v>EURAB3EBASIS20Y_Quote</v>
      </c>
      <c r="I120" s="876">
        <v>0</v>
      </c>
      <c r="J120" s="43"/>
      <c r="L120" s="1004" t="str">
        <f t="shared" si="25"/>
        <v>BasSw</v>
      </c>
      <c r="M120" s="969" t="str">
        <f t="shared" si="26"/>
        <v>--</v>
      </c>
      <c r="N120" s="1003" t="str">
        <f ca="1">IFERROR(_xll.qlRateHelperQuoteName(M120,Trigger),"--")</f>
        <v>--</v>
      </c>
      <c r="O120" s="1002" t="str">
        <f ca="1">IFERROR(_xll.qlRateHelperQuoteValue($M120,Trigger),"--")</f>
        <v>--</v>
      </c>
      <c r="P120" s="969" t="b">
        <v>0</v>
      </c>
      <c r="Q120" s="969">
        <v>40</v>
      </c>
      <c r="R120" s="969">
        <v>1</v>
      </c>
      <c r="S120" s="1001" t="str">
        <f ca="1">IFERROR(_xll.qlRateHelperEarliestDate(M120,Trigger),"--")</f>
        <v>--</v>
      </c>
      <c r="T120" s="1001" t="str">
        <f ca="1">IFERROR(_xll.qlRateHelperPillarDate(M120,Trigger),"--")</f>
        <v>--</v>
      </c>
      <c r="V120" s="4" t="str">
        <f t="shared" ca="1" si="30"/>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382</v>
      </c>
      <c r="B121" s="912" t="s">
        <v>35</v>
      </c>
      <c r="C121" s="874" t="s">
        <v>324</v>
      </c>
      <c r="D121" s="874" t="s">
        <v>323</v>
      </c>
      <c r="E121" s="874" t="s">
        <v>322</v>
      </c>
      <c r="F121" s="874" t="s">
        <v>221</v>
      </c>
      <c r="G121" s="874" t="str">
        <f t="shared" si="28"/>
        <v>Euribor3M</v>
      </c>
      <c r="H121" s="873" t="str">
        <f t="shared" si="29"/>
        <v>EURAB3EBASIS21Y_Quote</v>
      </c>
      <c r="I121" s="876">
        <v>0</v>
      </c>
      <c r="J121" s="43"/>
      <c r="L121" s="1004" t="str">
        <f t="shared" si="25"/>
        <v>BasSw</v>
      </c>
      <c r="M121" s="969" t="str">
        <f t="shared" si="26"/>
        <v>--</v>
      </c>
      <c r="N121" s="1003" t="str">
        <f ca="1">IFERROR(_xll.qlRateHelperQuoteName(M121,Trigger),"--")</f>
        <v>--</v>
      </c>
      <c r="O121" s="1002" t="str">
        <f ca="1">IFERROR(_xll.qlRateHelperQuoteValue($M121,Trigger),"--")</f>
        <v>--</v>
      </c>
      <c r="P121" s="969" t="b">
        <v>0</v>
      </c>
      <c r="Q121" s="969">
        <v>40</v>
      </c>
      <c r="R121" s="969">
        <v>1</v>
      </c>
      <c r="S121" s="1001" t="str">
        <f ca="1">IFERROR(_xll.qlRateHelperEarliestDate(M121,Trigger),"--")</f>
        <v>--</v>
      </c>
      <c r="T121" s="1001" t="str">
        <f ca="1">IFERROR(_xll.qlRateHelperPillarDate(M121,Trigger),"--")</f>
        <v>--</v>
      </c>
      <c r="V121" s="4" t="str">
        <f t="shared" ca="1" si="30"/>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382</v>
      </c>
      <c r="B122" s="912" t="s">
        <v>34</v>
      </c>
      <c r="C122" s="874" t="s">
        <v>324</v>
      </c>
      <c r="D122" s="874" t="s">
        <v>323</v>
      </c>
      <c r="E122" s="874" t="s">
        <v>322</v>
      </c>
      <c r="F122" s="874" t="s">
        <v>221</v>
      </c>
      <c r="G122" s="874" t="str">
        <f t="shared" si="28"/>
        <v>Euribor3M</v>
      </c>
      <c r="H122" s="873" t="str">
        <f t="shared" si="29"/>
        <v>EURAB3EBASIS22Y_Quote</v>
      </c>
      <c r="I122" s="876">
        <v>0</v>
      </c>
      <c r="J122" s="43"/>
      <c r="L122" s="1004" t="str">
        <f t="shared" si="25"/>
        <v>BasSw</v>
      </c>
      <c r="M122" s="969" t="str">
        <f t="shared" si="26"/>
        <v>--</v>
      </c>
      <c r="N122" s="1003" t="str">
        <f ca="1">IFERROR(_xll.qlRateHelperQuoteName(M122,Trigger),"--")</f>
        <v>--</v>
      </c>
      <c r="O122" s="1002" t="str">
        <f ca="1">IFERROR(_xll.qlRateHelperQuoteValue($M122,Trigger),"--")</f>
        <v>--</v>
      </c>
      <c r="P122" s="969" t="b">
        <v>0</v>
      </c>
      <c r="Q122" s="969">
        <v>40</v>
      </c>
      <c r="R122" s="969">
        <v>1</v>
      </c>
      <c r="S122" s="1001" t="str">
        <f ca="1">IFERROR(_xll.qlRateHelperEarliestDate(M122,Trigger),"--")</f>
        <v>--</v>
      </c>
      <c r="T122" s="1001" t="str">
        <f ca="1">IFERROR(_xll.qlRateHelperPillarDate(M122,Trigger),"--")</f>
        <v>--</v>
      </c>
      <c r="V122" s="4" t="str">
        <f t="shared" ca="1" si="30"/>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382</v>
      </c>
      <c r="B123" s="912" t="s">
        <v>33</v>
      </c>
      <c r="C123" s="874" t="s">
        <v>324</v>
      </c>
      <c r="D123" s="874" t="s">
        <v>323</v>
      </c>
      <c r="E123" s="874" t="s">
        <v>322</v>
      </c>
      <c r="F123" s="874" t="s">
        <v>221</v>
      </c>
      <c r="G123" s="874" t="str">
        <f t="shared" si="28"/>
        <v>Euribor3M</v>
      </c>
      <c r="H123" s="873" t="str">
        <f t="shared" si="29"/>
        <v>EURAB3EBASIS23Y_Quote</v>
      </c>
      <c r="I123" s="876">
        <v>0</v>
      </c>
      <c r="J123" s="43"/>
      <c r="L123" s="1004" t="str">
        <f t="shared" si="25"/>
        <v>BasSw</v>
      </c>
      <c r="M123" s="969" t="str">
        <f t="shared" si="26"/>
        <v>--</v>
      </c>
      <c r="N123" s="1003" t="str">
        <f ca="1">IFERROR(_xll.qlRateHelperQuoteName(M123,Trigger),"--")</f>
        <v>--</v>
      </c>
      <c r="O123" s="1002" t="str">
        <f ca="1">IFERROR(_xll.qlRateHelperQuoteValue($M123,Trigger),"--")</f>
        <v>--</v>
      </c>
      <c r="P123" s="969" t="b">
        <v>0</v>
      </c>
      <c r="Q123" s="969">
        <v>40</v>
      </c>
      <c r="R123" s="969">
        <v>1</v>
      </c>
      <c r="S123" s="1001" t="str">
        <f ca="1">IFERROR(_xll.qlRateHelperEarliestDate(M123,Trigger),"--")</f>
        <v>--</v>
      </c>
      <c r="T123" s="1001" t="str">
        <f ca="1">IFERROR(_xll.qlRateHelperPillarDate(M123,Trigger),"--")</f>
        <v>--</v>
      </c>
      <c r="V123" s="4" t="str">
        <f t="shared" ca="1" si="30"/>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382</v>
      </c>
      <c r="B124" s="912" t="s">
        <v>32</v>
      </c>
      <c r="C124" s="874" t="s">
        <v>324</v>
      </c>
      <c r="D124" s="874" t="s">
        <v>323</v>
      </c>
      <c r="E124" s="874" t="s">
        <v>322</v>
      </c>
      <c r="F124" s="874" t="s">
        <v>221</v>
      </c>
      <c r="G124" s="874" t="str">
        <f t="shared" si="28"/>
        <v>Euribor3M</v>
      </c>
      <c r="H124" s="873" t="str">
        <f t="shared" si="29"/>
        <v>EURAB3EBASIS24Y_Quote</v>
      </c>
      <c r="I124" s="876">
        <v>0</v>
      </c>
      <c r="J124" s="43"/>
      <c r="L124" s="1000" t="str">
        <f t="shared" si="25"/>
        <v>BasSw</v>
      </c>
      <c r="M124" s="968" t="str">
        <f t="shared" si="26"/>
        <v>--</v>
      </c>
      <c r="N124" s="999" t="str">
        <f ca="1">IFERROR(_xll.qlRateHelperQuoteName(M124,Trigger),"--")</f>
        <v>--</v>
      </c>
      <c r="O124" s="998" t="str">
        <f ca="1">IFERROR(_xll.qlRateHelperQuoteValue($M124,Trigger),"--")</f>
        <v>--</v>
      </c>
      <c r="P124" s="968" t="b">
        <v>0</v>
      </c>
      <c r="Q124" s="968">
        <v>40</v>
      </c>
      <c r="R124" s="968">
        <v>1</v>
      </c>
      <c r="S124" s="997" t="str">
        <f ca="1">IFERROR(_xll.qlRateHelperEarliestDate(M124,Trigger),"--")</f>
        <v>--</v>
      </c>
      <c r="T124" s="997" t="str">
        <f ca="1">IFERROR(_xll.qlRateHelperPillarDate(M124,Trigger),"--")</f>
        <v>--</v>
      </c>
      <c r="V124" s="2" t="str">
        <f t="shared" ca="1" si="30"/>
        <v/>
      </c>
      <c r="W124" s="2" t="e">
        <f ca="1"/>
        <v>#NAME?</v>
      </c>
      <c r="X124" s="2" t="str">
        <f ca="1">IFERROR(_xll.qlRateHelperQuoteName(W124,Trigger),"")</f>
        <v/>
      </c>
      <c r="Y124" s="879" t="str">
        <f ca="1">IFERROR(_xll.qlRateHelperRate(W124,Trigger),"")</f>
        <v/>
      </c>
      <c r="Z124" s="878"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7" t="e">
        <f ca="1"/>
        <v>#NAME?</v>
      </c>
    </row>
    <row r="125" spans="1:29" x14ac:dyDescent="0.2">
      <c r="A125" s="873" t="s">
        <v>382</v>
      </c>
      <c r="B125" s="912" t="s">
        <v>31</v>
      </c>
      <c r="C125" s="874" t="s">
        <v>324</v>
      </c>
      <c r="D125" s="874" t="s">
        <v>323</v>
      </c>
      <c r="E125" s="874" t="s">
        <v>322</v>
      </c>
      <c r="F125" s="874" t="s">
        <v>221</v>
      </c>
      <c r="G125" s="874" t="str">
        <f t="shared" si="28"/>
        <v>Euribor3M</v>
      </c>
      <c r="H125" s="873" t="str">
        <f t="shared" si="29"/>
        <v>EURAB3EBASIS25Y_Quote</v>
      </c>
      <c r="I125" s="876">
        <v>0</v>
      </c>
      <c r="J125" s="43"/>
      <c r="L125" s="967"/>
    </row>
    <row r="126" spans="1:29" x14ac:dyDescent="0.2">
      <c r="A126" s="873" t="s">
        <v>382</v>
      </c>
      <c r="B126" s="912" t="s">
        <v>30</v>
      </c>
      <c r="C126" s="874" t="s">
        <v>324</v>
      </c>
      <c r="D126" s="874" t="s">
        <v>323</v>
      </c>
      <c r="E126" s="874" t="s">
        <v>322</v>
      </c>
      <c r="F126" s="874" t="s">
        <v>221</v>
      </c>
      <c r="G126" s="874" t="str">
        <f t="shared" si="28"/>
        <v>Euribor3M</v>
      </c>
      <c r="H126" s="873" t="str">
        <f t="shared" si="29"/>
        <v>EURAB3EBASIS26Y_Quote</v>
      </c>
      <c r="I126" s="876">
        <v>0</v>
      </c>
      <c r="J126" s="43"/>
      <c r="L126" s="967"/>
    </row>
    <row r="127" spans="1:29" x14ac:dyDescent="0.2">
      <c r="A127" s="873" t="s">
        <v>382</v>
      </c>
      <c r="B127" s="912" t="s">
        <v>29</v>
      </c>
      <c r="C127" s="874" t="s">
        <v>324</v>
      </c>
      <c r="D127" s="874" t="s">
        <v>323</v>
      </c>
      <c r="E127" s="874" t="s">
        <v>322</v>
      </c>
      <c r="F127" s="874" t="s">
        <v>221</v>
      </c>
      <c r="G127" s="874" t="str">
        <f t="shared" si="28"/>
        <v>Euribor3M</v>
      </c>
      <c r="H127" s="873" t="str">
        <f t="shared" si="29"/>
        <v>EURAB3EBASIS27Y_Quote</v>
      </c>
      <c r="I127" s="876">
        <v>0</v>
      </c>
      <c r="J127" s="43"/>
      <c r="L127" s="967"/>
    </row>
    <row r="128" spans="1:29" x14ac:dyDescent="0.2">
      <c r="A128" s="873" t="s">
        <v>382</v>
      </c>
      <c r="B128" s="912" t="s">
        <v>28</v>
      </c>
      <c r="C128" s="874" t="s">
        <v>324</v>
      </c>
      <c r="D128" s="874" t="s">
        <v>323</v>
      </c>
      <c r="E128" s="874" t="s">
        <v>322</v>
      </c>
      <c r="F128" s="874" t="s">
        <v>221</v>
      </c>
      <c r="G128" s="874" t="str">
        <f t="shared" si="28"/>
        <v>Euribor3M</v>
      </c>
      <c r="H128" s="873" t="str">
        <f t="shared" si="29"/>
        <v>EURAB3EBASIS28Y_Quote</v>
      </c>
      <c r="I128" s="876">
        <v>0</v>
      </c>
      <c r="J128" s="43"/>
      <c r="L128" s="967"/>
    </row>
    <row r="129" spans="1:10" x14ac:dyDescent="0.2">
      <c r="A129" s="873" t="s">
        <v>382</v>
      </c>
      <c r="B129" s="912" t="s">
        <v>27</v>
      </c>
      <c r="C129" s="874" t="s">
        <v>324</v>
      </c>
      <c r="D129" s="874" t="s">
        <v>323</v>
      </c>
      <c r="E129" s="874" t="s">
        <v>322</v>
      </c>
      <c r="F129" s="874" t="s">
        <v>221</v>
      </c>
      <c r="G129" s="874" t="str">
        <f t="shared" si="28"/>
        <v>Euribor3M</v>
      </c>
      <c r="H129" s="873" t="str">
        <f t="shared" si="29"/>
        <v>EURAB3EBASIS29Y_Quote</v>
      </c>
      <c r="I129" s="876">
        <v>0</v>
      </c>
      <c r="J129" s="43"/>
    </row>
    <row r="130" spans="1:10" x14ac:dyDescent="0.2">
      <c r="A130" s="873" t="s">
        <v>382</v>
      </c>
      <c r="B130" s="912" t="s">
        <v>26</v>
      </c>
      <c r="C130" s="874" t="s">
        <v>324</v>
      </c>
      <c r="D130" s="874" t="s">
        <v>323</v>
      </c>
      <c r="E130" s="874" t="s">
        <v>322</v>
      </c>
      <c r="F130" s="874" t="s">
        <v>221</v>
      </c>
      <c r="G130" s="874" t="str">
        <f t="shared" si="28"/>
        <v>Euribor3M</v>
      </c>
      <c r="H130" s="873" t="str">
        <f t="shared" si="29"/>
        <v>EURAB3EBASIS30Y_Quote</v>
      </c>
      <c r="I130" s="876">
        <v>0</v>
      </c>
      <c r="J130" s="43"/>
    </row>
    <row r="131" spans="1:10" x14ac:dyDescent="0.2">
      <c r="A131" s="873" t="s">
        <v>382</v>
      </c>
      <c r="B131" s="912" t="s">
        <v>25</v>
      </c>
      <c r="C131" s="874" t="s">
        <v>324</v>
      </c>
      <c r="D131" s="874" t="s">
        <v>323</v>
      </c>
      <c r="E131" s="874" t="s">
        <v>322</v>
      </c>
      <c r="F131" s="874" t="s">
        <v>221</v>
      </c>
      <c r="G131" s="874" t="str">
        <f t="shared" si="28"/>
        <v>Euribor3M</v>
      </c>
      <c r="H131" s="873" t="str">
        <f t="shared" si="29"/>
        <v>EURAB3EBASIS35Y_Quote</v>
      </c>
      <c r="I131" s="876">
        <v>0</v>
      </c>
      <c r="J131" s="43"/>
    </row>
    <row r="132" spans="1:10" x14ac:dyDescent="0.2">
      <c r="A132" s="873" t="s">
        <v>382</v>
      </c>
      <c r="B132" s="912" t="s">
        <v>24</v>
      </c>
      <c r="C132" s="874" t="s">
        <v>324</v>
      </c>
      <c r="D132" s="874" t="s">
        <v>323</v>
      </c>
      <c r="E132" s="874" t="s">
        <v>322</v>
      </c>
      <c r="F132" s="874" t="s">
        <v>221</v>
      </c>
      <c r="G132" s="874" t="str">
        <f t="shared" si="28"/>
        <v>Euribor3M</v>
      </c>
      <c r="H132" s="873" t="str">
        <f t="shared" si="29"/>
        <v>EURAB3EBASIS40Y_Quote</v>
      </c>
      <c r="I132" s="876">
        <v>0</v>
      </c>
      <c r="J132" s="43"/>
    </row>
    <row r="133" spans="1:10" x14ac:dyDescent="0.2">
      <c r="A133" s="873" t="s">
        <v>382</v>
      </c>
      <c r="B133" s="912" t="s">
        <v>23</v>
      </c>
      <c r="C133" s="874" t="s">
        <v>324</v>
      </c>
      <c r="D133" s="874" t="s">
        <v>323</v>
      </c>
      <c r="E133" s="874" t="s">
        <v>322</v>
      </c>
      <c r="F133" s="874" t="s">
        <v>221</v>
      </c>
      <c r="G133" s="874" t="str">
        <f t="shared" si="28"/>
        <v>Euribor3M</v>
      </c>
      <c r="H133" s="873" t="str">
        <f t="shared" si="29"/>
        <v>EURAB3EBASIS50Y_Quote</v>
      </c>
      <c r="I133" s="876">
        <v>0</v>
      </c>
      <c r="J133" s="43"/>
    </row>
    <row r="134" spans="1:10" x14ac:dyDescent="0.2">
      <c r="A134" s="869" t="s">
        <v>382</v>
      </c>
      <c r="B134" s="902" t="s">
        <v>22</v>
      </c>
      <c r="C134" s="870" t="s">
        <v>324</v>
      </c>
      <c r="D134" s="870" t="s">
        <v>323</v>
      </c>
      <c r="E134" s="870" t="s">
        <v>322</v>
      </c>
      <c r="F134" s="870" t="s">
        <v>221</v>
      </c>
      <c r="G134" s="870" t="str">
        <f t="shared" si="28"/>
        <v>Euribor3M</v>
      </c>
      <c r="H134" s="869" t="str">
        <f t="shared" si="29"/>
        <v>EURAB3EBASIS60Y_Quote</v>
      </c>
      <c r="I134" s="984">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92</v>
      </c>
      <c r="H1" s="238" t="str">
        <f>"_SYNTH"&amp;$G$1</f>
        <v>_SYNTH6M</v>
      </c>
      <c r="L1" s="964" t="s">
        <v>383</v>
      </c>
      <c r="M1" s="963"/>
      <c r="N1" s="963"/>
      <c r="O1" s="963"/>
      <c r="P1" s="963"/>
      <c r="Q1" s="963"/>
      <c r="R1" s="963"/>
      <c r="S1" s="963"/>
      <c r="T1" s="962"/>
      <c r="U1" s="957"/>
      <c r="V1" s="961" t="str">
        <f>Currency&amp;$G$1</f>
        <v>EUR6M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391" ca="1">_xll.qlPiecewiseYieldCurveData(YieldCurve_6M,Trigger)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2" si="0">Currency&amp;$B3&amp;"D"&amp;$H$1&amp;QuoteSuffix</f>
        <v>EURSND_SYNTH6M_Quote</v>
      </c>
      <c r="I3" s="946"/>
      <c r="J3" s="945"/>
      <c r="K3" s="153"/>
      <c r="L3" s="908" t="str">
        <f t="shared" ref="L3:L12" si="1">A3</f>
        <v>Dp</v>
      </c>
      <c r="M3" s="904" t="str">
        <f t="shared" ref="M3:M12" si="2">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 t="shared" si="0"/>
        <v>EURSWD_SYNTH6M_Quote</v>
      </c>
      <c r="I4" s="914"/>
      <c r="J4" s="47"/>
      <c r="K4" s="23"/>
      <c r="L4" s="894" t="str">
        <f t="shared" si="1"/>
        <v>Dp</v>
      </c>
      <c r="M4" s="890" t="str">
        <f t="shared" si="2"/>
        <v>--</v>
      </c>
      <c r="N4" s="893" t="str">
        <f ca="1">IFERROR(_xll.qlRateHelperQuoteName(M4,Trigger),"--")</f>
        <v>--</v>
      </c>
      <c r="O4" s="892" t="str">
        <f ca="1">IFERROR(_xll.qlRateHelperQuoteValue($M4,Trigger),"--")</f>
        <v>--</v>
      </c>
      <c r="P4" s="969"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 t="shared" ref="C5:C12" si="4">B5</f>
        <v>2W</v>
      </c>
      <c r="D5" s="909"/>
      <c r="E5" s="909"/>
      <c r="F5" s="909"/>
      <c r="G5" s="874" t="str">
        <f>PROPER(Currency)&amp;FamilyName&amp;B5</f>
        <v>Euribor2W</v>
      </c>
      <c r="H5" s="933" t="str">
        <f t="shared" si="0"/>
        <v>EUR2WD_SYNTH6M_Quote</v>
      </c>
      <c r="I5" s="909"/>
      <c r="J5" s="43"/>
      <c r="K5" s="23"/>
      <c r="L5" s="894" t="str">
        <f t="shared" si="1"/>
        <v>Dp</v>
      </c>
      <c r="M5" s="890" t="str">
        <f t="shared" si="2"/>
        <v>--</v>
      </c>
      <c r="N5" s="893" t="str">
        <f ca="1">IFERROR(_xll.qlRateHelperQuoteName(M5,Trigger),"--")</f>
        <v>--</v>
      </c>
      <c r="O5" s="892" t="str">
        <f ca="1">IFERROR(_xll.qlRateHelperQuoteValue($M5,Trigger),"--")</f>
        <v>--</v>
      </c>
      <c r="P5" s="969"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0</v>
      </c>
    </row>
    <row r="6" spans="1:40" ht="11.25" customHeight="1" x14ac:dyDescent="0.2">
      <c r="A6" s="942" t="s">
        <v>391</v>
      </c>
      <c r="B6" s="941" t="s">
        <v>176</v>
      </c>
      <c r="C6" s="940" t="str">
        <f t="shared" si="4"/>
        <v>3W</v>
      </c>
      <c r="D6" s="937"/>
      <c r="E6" s="937"/>
      <c r="F6" s="937"/>
      <c r="G6" s="939" t="e">
        <f ca="1">_xll.qlEuribor(,B6,,Permanent,Trigger,ObjectOverwrite)</f>
        <v>#NAME?</v>
      </c>
      <c r="H6" s="938" t="str">
        <f t="shared" si="0"/>
        <v>EUR3WD_SYNTH6M_Quote</v>
      </c>
      <c r="I6" s="937"/>
      <c r="J6" s="936"/>
      <c r="K6" s="23"/>
      <c r="L6" s="894" t="str">
        <f t="shared" si="1"/>
        <v>Dp</v>
      </c>
      <c r="M6" s="890" t="str">
        <f t="shared" si="2"/>
        <v>--</v>
      </c>
      <c r="N6" s="893" t="str">
        <f ca="1">IFERROR(_xll.qlRateHelperQuoteName(M6,Trigger),"--")</f>
        <v>--</v>
      </c>
      <c r="O6" s="892" t="str">
        <f ca="1">IFERROR(_xll.qlRateHelperQuoteValue($M6,Trigger),"--")</f>
        <v>--</v>
      </c>
      <c r="P6" s="969"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 t="shared" si="4"/>
        <v>1M</v>
      </c>
      <c r="D7" s="909"/>
      <c r="E7" s="909"/>
      <c r="F7" s="909"/>
      <c r="G7" s="874" t="str">
        <f>PROPER(Currency)&amp;FamilyName&amp;B7</f>
        <v>Euribor1M</v>
      </c>
      <c r="H7" s="933" t="str">
        <f t="shared" si="0"/>
        <v>EUR1MD_SYNTH6M_Quote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 t="shared" si="4"/>
        <v>2M</v>
      </c>
      <c r="D8" s="909"/>
      <c r="E8" s="909"/>
      <c r="F8" s="909"/>
      <c r="G8" s="874" t="str">
        <f>PROPER(Currency)&amp;FamilyName&amp;B8</f>
        <v>Euribor2M</v>
      </c>
      <c r="H8" s="933" t="str">
        <f t="shared" si="0"/>
        <v>EUR2MD_SYNTH6M_Quote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969"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73" t="s">
        <v>391</v>
      </c>
      <c r="B9" s="875" t="s">
        <v>127</v>
      </c>
      <c r="C9" s="911" t="str">
        <f t="shared" si="4"/>
        <v>3M</v>
      </c>
      <c r="D9" s="909"/>
      <c r="E9" s="909"/>
      <c r="F9" s="909"/>
      <c r="G9" s="874" t="str">
        <f>PROPER(Currency)&amp;FamilyName&amp;B9</f>
        <v>Euribor3M</v>
      </c>
      <c r="H9" s="933" t="str">
        <f t="shared" si="0"/>
        <v>EUR3MD_SYNTH6M_Quote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969"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A10" s="932" t="s">
        <v>391</v>
      </c>
      <c r="B10" s="931" t="s">
        <v>173</v>
      </c>
      <c r="C10" s="930" t="str">
        <f t="shared" si="4"/>
        <v>4M</v>
      </c>
      <c r="D10" s="927"/>
      <c r="E10" s="927"/>
      <c r="F10" s="927"/>
      <c r="G10" s="929" t="e">
        <f ca="1">_xll.qlEuribor(,B10,,Permanent,Trigger,ObjectOverwrite)</f>
        <v>#NAME?</v>
      </c>
      <c r="H10" s="928" t="str">
        <f t="shared" si="0"/>
        <v>EUR4MD_SYNTH6M_Quote</v>
      </c>
      <c r="I10" s="927"/>
      <c r="J10" s="926" t="e">
        <f ca="1">_xll.qlDepositRateHelper(,H10,G10,Permanent,Trigger,ObjectOverwrite)</f>
        <v>#NAME?</v>
      </c>
      <c r="K10" s="23"/>
      <c r="L10" s="894" t="str">
        <f t="shared" si="1"/>
        <v>Dp</v>
      </c>
      <c r="M10" s="890" t="e">
        <f t="shared" ca="1" si="2"/>
        <v>#NAME?</v>
      </c>
      <c r="N10" s="893" t="str">
        <f ca="1">IFERROR(_xll.qlRateHelperQuoteName(M10,Trigger),"--")</f>
        <v>--</v>
      </c>
      <c r="O10" s="892" t="str">
        <f ca="1">IFERROR(_xll.qlRateHelperQuoteValue($M10,Trigger),"--")</f>
        <v>--</v>
      </c>
      <c r="P10" s="969" t="b">
        <v>1</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925" t="s">
        <v>391</v>
      </c>
      <c r="B11" s="924" t="s">
        <v>172</v>
      </c>
      <c r="C11" s="923" t="str">
        <f t="shared" si="4"/>
        <v>5M</v>
      </c>
      <c r="D11" s="920"/>
      <c r="E11" s="920"/>
      <c r="F11" s="920"/>
      <c r="G11" s="922" t="e">
        <f ca="1">_xll.qlEuribor(,B11,,Permanent,Trigger,ObjectOverwrite)</f>
        <v>#NAME?</v>
      </c>
      <c r="H11" s="921" t="str">
        <f t="shared" si="0"/>
        <v>EUR5MD_SYNTH6M_Quote</v>
      </c>
      <c r="I11" s="920"/>
      <c r="J11" s="919" t="e">
        <f ca="1">_xll.qlDepositRateHelper(,H11,G11,Permanent,Trigger,ObjectOverwrite)</f>
        <v>#NAME?</v>
      </c>
      <c r="K11" s="23"/>
      <c r="L11" s="894" t="str">
        <f t="shared" si="1"/>
        <v>Dp</v>
      </c>
      <c r="M11" s="890" t="e">
        <f t="shared" ca="1" si="2"/>
        <v>#NAME?</v>
      </c>
      <c r="N11" s="893" t="str">
        <f ca="1">IFERROR(_xll.qlRateHelperQuoteName(M11,Trigger),"--")</f>
        <v>--</v>
      </c>
      <c r="O11" s="892" t="str">
        <f ca="1">IFERROR(_xll.qlRateHelperQuoteValue($M11,Trigger),"--")</f>
        <v>--</v>
      </c>
      <c r="P11" s="969" t="b">
        <v>1</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96"/>
      <c r="AL11" s="985" t="str">
        <f t="shared" ref="AL11:AL23" si="7">IF(ISBLANK(AK11),AG11,EXP(-AK11*AH11))</f>
        <v>EURJump1_SYNTHON_Quote</v>
      </c>
    </row>
    <row r="12" spans="1:40" ht="11.25" customHeight="1" x14ac:dyDescent="0.2">
      <c r="A12" s="869" t="s">
        <v>391</v>
      </c>
      <c r="B12" s="871" t="s">
        <v>92</v>
      </c>
      <c r="C12" s="901" t="str">
        <f t="shared" si="4"/>
        <v>6M</v>
      </c>
      <c r="D12" s="899"/>
      <c r="E12" s="899"/>
      <c r="F12" s="899"/>
      <c r="G12" s="870" t="str">
        <f>PROPER(Currency)&amp;FamilyName&amp;B12</f>
        <v>Euribor6M</v>
      </c>
      <c r="H12" s="918" t="str">
        <f t="shared" si="0"/>
        <v>EUR6MD_SYNTH6M_Quote</v>
      </c>
      <c r="I12" s="899"/>
      <c r="J12" s="38" t="e">
        <f ca="1">_xll.qlDepositRateHelper(,H12,G12,Permanent,Trigger,ObjectOverwrite)</f>
        <v>#NAME?</v>
      </c>
      <c r="K12" s="23" t="s">
        <v>148</v>
      </c>
      <c r="L12" s="885" t="str">
        <f t="shared" si="1"/>
        <v>Dp</v>
      </c>
      <c r="M12" s="881" t="e">
        <f t="shared" ca="1" si="2"/>
        <v>#NAME?</v>
      </c>
      <c r="N12" s="884" t="str">
        <f ca="1">IFERROR(_xll.qlRateHelperQuoteName(M12,Trigger),"--")</f>
        <v>--</v>
      </c>
      <c r="O12" s="883" t="str">
        <f ca="1">IFERROR(_xll.qlRateHelperQuoteValue($M12,Trigger),"--")</f>
        <v>--</v>
      </c>
      <c r="P12" s="968" t="b">
        <v>1</v>
      </c>
      <c r="Q12" s="881">
        <v>10</v>
      </c>
      <c r="R12" s="881">
        <v>1</v>
      </c>
      <c r="S12" s="880" t="str">
        <f ca="1">IFERROR(_xll.qlRateHelperEarliestDate(M12,Trigger),"--")</f>
        <v>--</v>
      </c>
      <c r="T12" s="880"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95"/>
      <c r="AL12" s="978" t="str">
        <f t="shared" si="7"/>
        <v>EURJump2_SYNTHON_Quote</v>
      </c>
    </row>
    <row r="13" spans="1:40" ht="11.25" customHeight="1" x14ac:dyDescent="0.2">
      <c r="B13" s="1"/>
      <c r="C13" s="1"/>
      <c r="D13" s="1"/>
      <c r="E13" s="1"/>
      <c r="F13" s="1"/>
      <c r="G13" s="1"/>
      <c r="H13" s="1"/>
      <c r="K13" s="23"/>
      <c r="L13" s="908" t="str">
        <f t="shared" ref="L13:L30" si="8">A15</f>
        <v>FRA</v>
      </c>
      <c r="M13" s="904" t="e">
        <f t="shared" ref="M13:M30" ca="1" si="9">IF(ISBLANK(J15),"--",J15)</f>
        <v>#NAME?</v>
      </c>
      <c r="N13" s="907" t="str">
        <f ca="1">IFERROR(_xll.qlRateHelperQuoteName(M13,Trigger),"--")</f>
        <v>--</v>
      </c>
      <c r="O13" s="906" t="str">
        <f ca="1">IFERROR(_xll.qlRateHelperQuoteValue($M13,Trigger),"--")</f>
        <v>--</v>
      </c>
      <c r="P13" s="970" t="b">
        <v>1</v>
      </c>
      <c r="Q13" s="904">
        <v>20</v>
      </c>
      <c r="R13" s="904">
        <v>1</v>
      </c>
      <c r="S13" s="903" t="str">
        <f ca="1">IFERROR(_xll.qlRateHelperEarliestDate(M13,Trigger),"--")</f>
        <v>--</v>
      </c>
      <c r="T13" s="903"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95"/>
      <c r="AL13" s="978" t="str">
        <f t="shared" si="7"/>
        <v>EURJump3_SYNTHON_Quote</v>
      </c>
    </row>
    <row r="14" spans="1:40" ht="11.25" customHeight="1" x14ac:dyDescent="0.2">
      <c r="A14" s="145" t="s">
        <v>388</v>
      </c>
      <c r="B14" s="145" t="s">
        <v>390</v>
      </c>
      <c r="C14" s="145" t="s">
        <v>389</v>
      </c>
      <c r="D14" s="145"/>
      <c r="E14" s="145"/>
      <c r="F14" s="145"/>
      <c r="G14" s="145" t="s">
        <v>14</v>
      </c>
      <c r="H14" s="145" t="s">
        <v>384</v>
      </c>
      <c r="I14" s="145"/>
      <c r="J14" s="145" t="s">
        <v>383</v>
      </c>
      <c r="K14" s="23"/>
      <c r="L14" s="894" t="str">
        <f t="shared" si="8"/>
        <v>FRA</v>
      </c>
      <c r="M14" s="890" t="e">
        <f t="shared" ca="1" si="9"/>
        <v>#NAME?</v>
      </c>
      <c r="N14" s="893" t="str">
        <f ca="1">IFERROR(_xll.qlRateHelperQuoteName(M14,Trigger),"--")</f>
        <v>--</v>
      </c>
      <c r="O14" s="892" t="str">
        <f ca="1">IFERROR(_xll.qlRateHelperQuoteValue($M14,Trigger),"--")</f>
        <v>--</v>
      </c>
      <c r="P14" s="969" t="b">
        <v>1</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95"/>
      <c r="AL14" s="978" t="str">
        <f t="shared" si="7"/>
        <v>EURJump4_SYNTHON_Quote</v>
      </c>
    </row>
    <row r="15" spans="1:40" ht="11.25" customHeight="1" x14ac:dyDescent="0.2">
      <c r="A15" s="896" t="s">
        <v>181</v>
      </c>
      <c r="B15" s="917">
        <v>1</v>
      </c>
      <c r="C15" s="916" t="str">
        <f t="shared" ref="C15:C32" si="10">"x"&amp;B15+SUBSTITUTE($G$1,"M","")&amp;"F"</f>
        <v>x7F</v>
      </c>
      <c r="D15" s="914"/>
      <c r="E15" s="914"/>
      <c r="F15" s="914"/>
      <c r="G15" s="897" t="str">
        <f t="shared" ref="G15:G32" si="11">PROPER(Currency)&amp;FamilyName&amp;$G$1</f>
        <v>Euribor6M</v>
      </c>
      <c r="H15" s="915" t="str">
        <f t="shared" ref="H15:H32" si="12">Currency&amp;B15&amp;C15&amp;QuoteSuffix</f>
        <v>EUR1x7F_Quote</v>
      </c>
      <c r="I15" s="914"/>
      <c r="J15" s="47" t="e">
        <f ca="1">_xll.qlFraRateHelper(,H15,B15&amp;"M",G15,PillarDate,,Permanent,Trigger,ObjectOverwrite)</f>
        <v>#NAME?</v>
      </c>
      <c r="K15" s="23"/>
      <c r="L15" s="894" t="str">
        <f t="shared" si="8"/>
        <v>FRA</v>
      </c>
      <c r="M15" s="890" t="e">
        <f t="shared" ca="1" si="9"/>
        <v>#NAME?</v>
      </c>
      <c r="N15" s="893" t="str">
        <f ca="1">IFERROR(_xll.qlRateHelperQuoteName(M15,Trigger),"--")</f>
        <v>--</v>
      </c>
      <c r="O15" s="892" t="str">
        <f ca="1">IFERROR(_xll.qlRateHelperQuoteValue($M15,Trigger),"--")</f>
        <v>--</v>
      </c>
      <c r="P15" s="969" t="b">
        <v>1</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95"/>
      <c r="AL15" s="978" t="str">
        <f t="shared" si="7"/>
        <v>EURJump5_SYNTHON_Quote</v>
      </c>
    </row>
    <row r="16" spans="1:40" ht="11.25" customHeight="1" x14ac:dyDescent="0.2">
      <c r="A16" s="873" t="s">
        <v>181</v>
      </c>
      <c r="B16" s="912">
        <v>2</v>
      </c>
      <c r="C16" s="911" t="str">
        <f t="shared" si="10"/>
        <v>x8F</v>
      </c>
      <c r="D16" s="909"/>
      <c r="E16" s="909"/>
      <c r="F16" s="909"/>
      <c r="G16" s="874" t="str">
        <f t="shared" si="11"/>
        <v>Euribor6M</v>
      </c>
      <c r="H16" s="910" t="str">
        <f t="shared" si="12"/>
        <v>EUR2x8F_Quote</v>
      </c>
      <c r="I16" s="909"/>
      <c r="J16" s="43" t="e">
        <f ca="1">_xll.qlFraRateHelper(,H16,B16&amp;"M",G16,PillarDate,,Permanent,Trigger,ObjectOverwrite)</f>
        <v>#NAME?</v>
      </c>
      <c r="K16" s="23"/>
      <c r="L16" s="894" t="str">
        <f t="shared" si="8"/>
        <v>FRA</v>
      </c>
      <c r="M16" s="890" t="e">
        <f t="shared" ca="1" si="9"/>
        <v>#NAME?</v>
      </c>
      <c r="N16" s="893" t="str">
        <f ca="1">IFERROR(_xll.qlRateHelperQuoteName(M16,Trigger),"--")</f>
        <v>--</v>
      </c>
      <c r="O16" s="892" t="str">
        <f ca="1">IFERROR(_xll.qlRateHelperQuoteValue($M16,Trigger),"--")</f>
        <v>--</v>
      </c>
      <c r="P16" s="969" t="b">
        <v>1</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95"/>
      <c r="AL16" s="978" t="str">
        <f t="shared" si="7"/>
        <v>EURJump6_SYNTHON_Quote</v>
      </c>
    </row>
    <row r="17" spans="1:38" ht="11.25" customHeight="1" x14ac:dyDescent="0.2">
      <c r="A17" s="873" t="s">
        <v>181</v>
      </c>
      <c r="B17" s="912">
        <v>3</v>
      </c>
      <c r="C17" s="911" t="str">
        <f t="shared" si="10"/>
        <v>x9F</v>
      </c>
      <c r="D17" s="909"/>
      <c r="E17" s="909"/>
      <c r="F17" s="909"/>
      <c r="G17" s="874" t="str">
        <f t="shared" si="11"/>
        <v>Euribor6M</v>
      </c>
      <c r="H17" s="910" t="str">
        <f t="shared" si="12"/>
        <v>EUR3x9F_Quote</v>
      </c>
      <c r="I17" s="909"/>
      <c r="J17" s="43" t="e">
        <f ca="1">_xll.qlFraRateHelper(,H17,B17&amp;"M",G17,PillarDate,,Permanent,Trigger,ObjectOverwrite)</f>
        <v>#NAME?</v>
      </c>
      <c r="K17" s="23"/>
      <c r="L17" s="894" t="str">
        <f t="shared" si="8"/>
        <v>FRA</v>
      </c>
      <c r="M17" s="890" t="e">
        <f t="shared" ca="1" si="9"/>
        <v>#NAME?</v>
      </c>
      <c r="N17" s="893" t="str">
        <f ca="1">IFERROR(_xll.qlRateHelperQuoteName(M17,Trigger),"--")</f>
        <v>--</v>
      </c>
      <c r="O17" s="892" t="str">
        <f ca="1">IFERROR(_xll.qlRateHelperQuoteValue($M17,Trigger),"--")</f>
        <v>--</v>
      </c>
      <c r="P17" s="969" t="b">
        <v>1</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95"/>
      <c r="AL17" s="978" t="str">
        <f t="shared" si="7"/>
        <v>EURJump7_SYNTHON_Quote</v>
      </c>
    </row>
    <row r="18" spans="1:38" ht="11.25" customHeight="1" x14ac:dyDescent="0.2">
      <c r="A18" s="873" t="s">
        <v>181</v>
      </c>
      <c r="B18" s="912">
        <v>4</v>
      </c>
      <c r="C18" s="911" t="str">
        <f t="shared" si="10"/>
        <v>x10F</v>
      </c>
      <c r="D18" s="909"/>
      <c r="E18" s="909"/>
      <c r="F18" s="909"/>
      <c r="G18" s="874" t="str">
        <f t="shared" si="11"/>
        <v>Euribor6M</v>
      </c>
      <c r="H18" s="910" t="str">
        <f t="shared" si="12"/>
        <v>EUR4x10F_Quote</v>
      </c>
      <c r="I18" s="909"/>
      <c r="J18" s="43" t="e">
        <f ca="1">_xll.qlFraRateHelper(,H18,B18&amp;"M",G18,PillarDate,,Permanent,Trigger,ObjectOverwrite)</f>
        <v>#NAME?</v>
      </c>
      <c r="K18" s="23"/>
      <c r="L18" s="894" t="str">
        <f t="shared" si="8"/>
        <v>FRA</v>
      </c>
      <c r="M18" s="890" t="e">
        <f t="shared" ca="1" si="9"/>
        <v>#NAME?</v>
      </c>
      <c r="N18" s="893" t="str">
        <f ca="1">IFERROR(_xll.qlRateHelperQuoteName(M18,Trigger),"--")</f>
        <v>--</v>
      </c>
      <c r="O18" s="892" t="str">
        <f ca="1">IFERROR(_xll.qlRateHelperQuoteValue($M18,Trigger),"--")</f>
        <v>--</v>
      </c>
      <c r="P18" s="969" t="b">
        <v>1</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95"/>
      <c r="AL18" s="978" t="str">
        <f t="shared" si="7"/>
        <v>EURJump8_SYNTHON_Quote</v>
      </c>
    </row>
    <row r="19" spans="1:38" ht="11.25" customHeight="1" x14ac:dyDescent="0.2">
      <c r="A19" s="873" t="s">
        <v>181</v>
      </c>
      <c r="B19" s="912">
        <v>5</v>
      </c>
      <c r="C19" s="911" t="str">
        <f t="shared" si="10"/>
        <v>x11F</v>
      </c>
      <c r="D19" s="909"/>
      <c r="E19" s="909"/>
      <c r="F19" s="909"/>
      <c r="G19" s="874" t="str">
        <f t="shared" si="11"/>
        <v>Euribor6M</v>
      </c>
      <c r="H19" s="910" t="str">
        <f t="shared" si="12"/>
        <v>EUR5x11F_Quote</v>
      </c>
      <c r="I19" s="909"/>
      <c r="J19" s="43" t="e">
        <f ca="1">_xll.qlFraRateHelper(,H19,B19&amp;"M",G19,PillarDate,,Permanent,Trigger,ObjectOverwrite)</f>
        <v>#NAME?</v>
      </c>
      <c r="K19" s="23"/>
      <c r="L19" s="894" t="str">
        <f t="shared" si="8"/>
        <v>FRA</v>
      </c>
      <c r="M19" s="890" t="e">
        <f t="shared" ca="1" si="9"/>
        <v>#NAME?</v>
      </c>
      <c r="N19" s="893" t="str">
        <f ca="1">IFERROR(_xll.qlRateHelperQuoteName(M19,Trigger),"--")</f>
        <v>--</v>
      </c>
      <c r="O19" s="892" t="str">
        <f ca="1">IFERROR(_xll.qlRateHelperQuoteValue($M19,Trigger),"--")</f>
        <v>--</v>
      </c>
      <c r="P19" s="969" t="b">
        <v>1</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95"/>
      <c r="AL19" s="978" t="str">
        <f t="shared" si="7"/>
        <v>EURJump9_SYNTHON_Quote</v>
      </c>
    </row>
    <row r="20" spans="1:38" ht="11.25" customHeight="1" x14ac:dyDescent="0.2">
      <c r="A20" s="873" t="s">
        <v>181</v>
      </c>
      <c r="B20" s="912">
        <v>6</v>
      </c>
      <c r="C20" s="911" t="str">
        <f t="shared" si="10"/>
        <v>x12F</v>
      </c>
      <c r="D20" s="909"/>
      <c r="E20" s="909"/>
      <c r="F20" s="909"/>
      <c r="G20" s="874" t="str">
        <f t="shared" si="11"/>
        <v>Euribor6M</v>
      </c>
      <c r="H20" s="910" t="str">
        <f t="shared" si="12"/>
        <v>EUR6x12F_Quote</v>
      </c>
      <c r="I20" s="909"/>
      <c r="J20" s="43" t="e">
        <f ca="1">_xll.qlFraRateHelper(,H20,B20&amp;"M",G20,PillarDate,,Permanent,Trigger,ObjectOverwrite)</f>
        <v>#NAME?</v>
      </c>
      <c r="K20" s="23"/>
      <c r="L20" s="894" t="str">
        <f t="shared" si="8"/>
        <v>FRA</v>
      </c>
      <c r="M20" s="890" t="e">
        <f t="shared" ca="1" si="9"/>
        <v>#NAME?</v>
      </c>
      <c r="N20" s="893" t="str">
        <f ca="1">IFERROR(_xll.qlRateHelperQuoteName(M20,Trigger),"--")</f>
        <v>--</v>
      </c>
      <c r="O20" s="892" t="str">
        <f ca="1">IFERROR(_xll.qlRateHelperQuoteValue($M20,Trigger),"--")</f>
        <v>--</v>
      </c>
      <c r="P20" s="969" t="b">
        <v>1</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95"/>
      <c r="AL20" s="978" t="str">
        <f t="shared" si="7"/>
        <v>EURJump10_SYNTHON_Quote</v>
      </c>
    </row>
    <row r="21" spans="1:38" ht="11.25" customHeight="1" x14ac:dyDescent="0.2">
      <c r="A21" s="873" t="s">
        <v>181</v>
      </c>
      <c r="B21" s="912">
        <v>7</v>
      </c>
      <c r="C21" s="911" t="str">
        <f t="shared" si="10"/>
        <v>x13F</v>
      </c>
      <c r="D21" s="909"/>
      <c r="E21" s="909"/>
      <c r="F21" s="909"/>
      <c r="G21" s="874" t="str">
        <f t="shared" si="11"/>
        <v>Euribor6M</v>
      </c>
      <c r="H21" s="910" t="str">
        <f t="shared" si="12"/>
        <v>EUR7x13F_Quote</v>
      </c>
      <c r="I21" s="909"/>
      <c r="J21" s="43" t="e">
        <f ca="1">_xll.qlFraRateHelper(,H21,B21&amp;"M",G21,PillarDate,,Permanent,Trigger,ObjectOverwrite)</f>
        <v>#NAME?</v>
      </c>
      <c r="K21" s="23"/>
      <c r="L21" s="894" t="str">
        <f t="shared" si="8"/>
        <v>FRA</v>
      </c>
      <c r="M21" s="890" t="e">
        <f t="shared" ca="1" si="9"/>
        <v>#NAME?</v>
      </c>
      <c r="N21" s="893" t="str">
        <f ca="1">IFERROR(_xll.qlRateHelperQuoteName(M21,Trigger),"--")</f>
        <v>--</v>
      </c>
      <c r="O21" s="892" t="str">
        <f ca="1">IFERROR(_xll.qlRateHelperQuoteValue($M21,Trigger),"--")</f>
        <v>--</v>
      </c>
      <c r="P21" s="969" t="b">
        <v>1</v>
      </c>
      <c r="Q21" s="890">
        <v>20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95"/>
      <c r="AL21" s="978" t="str">
        <f t="shared" si="7"/>
        <v>EURJump11_SYNTHON_Quote</v>
      </c>
    </row>
    <row r="22" spans="1:38" ht="11.25" customHeight="1" x14ac:dyDescent="0.2">
      <c r="A22" s="873" t="s">
        <v>181</v>
      </c>
      <c r="B22" s="912">
        <v>8</v>
      </c>
      <c r="C22" s="911" t="str">
        <f t="shared" si="10"/>
        <v>x14F</v>
      </c>
      <c r="D22" s="909"/>
      <c r="E22" s="909"/>
      <c r="F22" s="909"/>
      <c r="G22" s="874" t="str">
        <f t="shared" si="11"/>
        <v>Euribor6M</v>
      </c>
      <c r="H22" s="910" t="str">
        <f t="shared" si="12"/>
        <v>EUR8x14F_Quote</v>
      </c>
      <c r="I22" s="909"/>
      <c r="J22" s="43" t="e">
        <f ca="1">_xll.qlFraRateHelper(,H22,B22&amp;"M",G22,PillarDate,,Permanent,Trigger,ObjectOverwrite)</f>
        <v>#NAME?</v>
      </c>
      <c r="K22" s="23"/>
      <c r="L22" s="894" t="str">
        <f t="shared" si="8"/>
        <v>FRA</v>
      </c>
      <c r="M22" s="890" t="e">
        <f t="shared" ca="1" si="9"/>
        <v>#NAME?</v>
      </c>
      <c r="N22" s="893" t="str">
        <f ca="1">IFERROR(_xll.qlRateHelperQuoteName(M22,Trigger),"--")</f>
        <v>--</v>
      </c>
      <c r="O22" s="892" t="str">
        <f ca="1">IFERROR(_xll.qlRateHelperQuoteValue($M22,Trigger),"--")</f>
        <v>--</v>
      </c>
      <c r="P22" s="969" t="b">
        <v>1</v>
      </c>
      <c r="Q22" s="890">
        <v>20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95"/>
      <c r="AL22" s="978" t="str">
        <f t="shared" si="7"/>
        <v>EURJump12_SYNTHON_Quote</v>
      </c>
    </row>
    <row r="23" spans="1:38" ht="11.25" customHeight="1" x14ac:dyDescent="0.2">
      <c r="A23" s="873" t="s">
        <v>181</v>
      </c>
      <c r="B23" s="912">
        <v>9</v>
      </c>
      <c r="C23" s="911" t="str">
        <f t="shared" si="10"/>
        <v>x15F</v>
      </c>
      <c r="D23" s="909"/>
      <c r="E23" s="909"/>
      <c r="F23" s="909"/>
      <c r="G23" s="874" t="str">
        <f t="shared" si="11"/>
        <v>Euribor6M</v>
      </c>
      <c r="H23" s="910" t="str">
        <f t="shared" si="12"/>
        <v>EUR9x15F_Quote</v>
      </c>
      <c r="I23" s="909"/>
      <c r="J23" s="43" t="e">
        <f ca="1">_xll.qlFraRateHelper(,H23,B23&amp;"M",G23,PillarDate,,Permanent,Trigger,ObjectOverwrite)</f>
        <v>#NAME?</v>
      </c>
      <c r="K23" s="23"/>
      <c r="L23" s="894" t="str">
        <f t="shared" si="8"/>
        <v>FRA</v>
      </c>
      <c r="M23" s="890" t="e">
        <f t="shared" ca="1" si="9"/>
        <v>#NAME?</v>
      </c>
      <c r="N23" s="893" t="str">
        <f ca="1">IFERROR(_xll.qlRateHelperQuoteName(M23,Trigger),"--")</f>
        <v>--</v>
      </c>
      <c r="O23" s="892" t="str">
        <f ca="1">IFERROR(_xll.qlRateHelperQuoteValue($M23,Trigger),"--")</f>
        <v>--</v>
      </c>
      <c r="P23" s="969" t="b">
        <v>1</v>
      </c>
      <c r="Q23" s="890">
        <v>20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94"/>
      <c r="AL23" s="972" t="str">
        <f t="shared" si="7"/>
        <v>EURJump13_SYNTHON_Quote</v>
      </c>
    </row>
    <row r="24" spans="1:38" ht="11.25" customHeight="1" x14ac:dyDescent="0.2">
      <c r="A24" s="873" t="s">
        <v>181</v>
      </c>
      <c r="B24" s="912">
        <v>10</v>
      </c>
      <c r="C24" s="911" t="str">
        <f t="shared" si="10"/>
        <v>x16F</v>
      </c>
      <c r="D24" s="909"/>
      <c r="E24" s="909"/>
      <c r="F24" s="909"/>
      <c r="G24" s="874" t="str">
        <f t="shared" si="11"/>
        <v>Euribor6M</v>
      </c>
      <c r="H24" s="910" t="str">
        <f t="shared" si="12"/>
        <v>EUR10x16F_Quote</v>
      </c>
      <c r="I24" s="909"/>
      <c r="J24" s="43" t="e">
        <f ca="1">_xll.qlFraRateHelper(,H24,B24&amp;"M",G24,PillarDate,,Permanent,Trigger,ObjectOverwrite)</f>
        <v>#NAME?</v>
      </c>
      <c r="K24" s="23"/>
      <c r="L24" s="894" t="str">
        <f t="shared" si="8"/>
        <v>FRA</v>
      </c>
      <c r="M24" s="890" t="e">
        <f t="shared" ca="1" si="9"/>
        <v>#NAME?</v>
      </c>
      <c r="N24" s="893" t="str">
        <f ca="1">IFERROR(_xll.qlRateHelperQuoteName(M24,Trigger),"--")</f>
        <v>--</v>
      </c>
      <c r="O24" s="892" t="str">
        <f ca="1">IFERROR(_xll.qlRateHelperQuoteValue($M24,Trigger),"--")</f>
        <v>--</v>
      </c>
      <c r="P24" s="969" t="b">
        <v>1</v>
      </c>
      <c r="Q24" s="890">
        <v>20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873" t="s">
        <v>181</v>
      </c>
      <c r="B25" s="912">
        <v>11</v>
      </c>
      <c r="C25" s="911" t="str">
        <f t="shared" si="10"/>
        <v>x17F</v>
      </c>
      <c r="D25" s="909"/>
      <c r="E25" s="909"/>
      <c r="F25" s="909"/>
      <c r="G25" s="874" t="str">
        <f t="shared" si="11"/>
        <v>Euribor6M</v>
      </c>
      <c r="H25" s="910" t="str">
        <f t="shared" si="12"/>
        <v>EUR11x17F_Quote</v>
      </c>
      <c r="I25" s="909"/>
      <c r="J25" s="43" t="e">
        <f ca="1">_xll.qlFraRateHelper(,H25,B25&amp;"M",G25,PillarDate,,Permanent,Trigger,ObjectOverwrite)</f>
        <v>#NAME?</v>
      </c>
      <c r="K25" s="23"/>
      <c r="L25" s="894" t="str">
        <f t="shared" si="8"/>
        <v>FRA</v>
      </c>
      <c r="M25" s="890" t="e">
        <f t="shared" ca="1" si="9"/>
        <v>#NAME?</v>
      </c>
      <c r="N25" s="893" t="str">
        <f ca="1">IFERROR(_xll.qlRateHelperQuoteName(M25,Trigger),"--")</f>
        <v>--</v>
      </c>
      <c r="O25" s="892" t="str">
        <f ca="1">IFERROR(_xll.qlRateHelperQuoteValue($M25,Trigger),"--")</f>
        <v>--</v>
      </c>
      <c r="P25" s="969" t="b">
        <v>1</v>
      </c>
      <c r="Q25" s="890">
        <v>20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73" t="s">
        <v>181</v>
      </c>
      <c r="B26" s="912">
        <v>12</v>
      </c>
      <c r="C26" s="911" t="str">
        <f t="shared" si="10"/>
        <v>x18F</v>
      </c>
      <c r="D26" s="909"/>
      <c r="E26" s="909"/>
      <c r="F26" s="909"/>
      <c r="G26" s="874" t="str">
        <f t="shared" si="11"/>
        <v>Euribor6M</v>
      </c>
      <c r="H26" s="910" t="str">
        <f t="shared" si="12"/>
        <v>EUR12x18F_Quote</v>
      </c>
      <c r="I26" s="909"/>
      <c r="J26" s="43" t="e">
        <f ca="1">_xll.qlFraRateHelper(,H26,B26&amp;"M",G26,PillarDate,,Permanent,Trigger,ObjectOverwrite)</f>
        <v>#NAME?</v>
      </c>
      <c r="K26" s="23"/>
      <c r="L26" s="894" t="str">
        <f t="shared" si="8"/>
        <v>FRA</v>
      </c>
      <c r="M26" s="890" t="e">
        <f t="shared" ca="1" si="9"/>
        <v>#NAME?</v>
      </c>
      <c r="N26" s="893" t="str">
        <f ca="1">IFERROR(_xll.qlRateHelperQuoteName(M26,Trigger),"--")</f>
        <v>--</v>
      </c>
      <c r="O26" s="892" t="str">
        <f ca="1">IFERROR(_xll.qlRateHelperQuoteValue($M26,Trigger),"--")</f>
        <v>--</v>
      </c>
      <c r="P26" s="969" t="b">
        <v>1</v>
      </c>
      <c r="Q26" s="890">
        <v>20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181</v>
      </c>
      <c r="B27" s="912">
        <v>13</v>
      </c>
      <c r="C27" s="911" t="str">
        <f t="shared" si="10"/>
        <v>x19F</v>
      </c>
      <c r="D27" s="909"/>
      <c r="E27" s="909"/>
      <c r="F27" s="909"/>
      <c r="G27" s="874" t="str">
        <f t="shared" si="11"/>
        <v>Euribor6M</v>
      </c>
      <c r="H27" s="910" t="str">
        <f t="shared" si="12"/>
        <v>EUR13x19F_Quote</v>
      </c>
      <c r="I27" s="909"/>
      <c r="J27" s="43" t="e">
        <f ca="1">_xll.qlFraRateHelper(,H27,B27&amp;"M",G27,PillarDate,,Permanent,Trigger,ObjectOverwrite)</f>
        <v>#NAME?</v>
      </c>
      <c r="K27" s="23"/>
      <c r="L27" s="894" t="str">
        <f t="shared" si="8"/>
        <v>FRA</v>
      </c>
      <c r="M27" s="890" t="e">
        <f t="shared" ca="1" si="9"/>
        <v>#NAME?</v>
      </c>
      <c r="N27" s="893" t="str">
        <f ca="1">IFERROR(_xll.qlRateHelperQuoteName(M27,Trigger),"--")</f>
        <v>--</v>
      </c>
      <c r="O27" s="892" t="str">
        <f ca="1">IFERROR(_xll.qlRateHelperQuoteValue($M27,Trigger),"--")</f>
        <v>--</v>
      </c>
      <c r="P27" s="969" t="b">
        <v>1</v>
      </c>
      <c r="Q27" s="890">
        <v>20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181</v>
      </c>
      <c r="B28" s="912">
        <v>14</v>
      </c>
      <c r="C28" s="911" t="str">
        <f t="shared" si="10"/>
        <v>x20F</v>
      </c>
      <c r="D28" s="909"/>
      <c r="E28" s="909"/>
      <c r="F28" s="909"/>
      <c r="G28" s="874" t="str">
        <f t="shared" si="11"/>
        <v>Euribor6M</v>
      </c>
      <c r="H28" s="910" t="str">
        <f t="shared" si="12"/>
        <v>EUR14x20F_Quote</v>
      </c>
      <c r="I28" s="909"/>
      <c r="J28" s="43" t="e">
        <f ca="1">_xll.qlFraRateHelper(,H28,B28&amp;"M",G28,PillarDate,,Permanent,Trigger,ObjectOverwrite)</f>
        <v>#NAME?</v>
      </c>
      <c r="K28" s="23"/>
      <c r="L28" s="894" t="str">
        <f t="shared" si="8"/>
        <v>FRA</v>
      </c>
      <c r="M28" s="890" t="e">
        <f t="shared" ca="1" si="9"/>
        <v>#NAME?</v>
      </c>
      <c r="N28" s="893" t="str">
        <f ca="1">IFERROR(_xll.qlRateHelperQuoteName(M28,Trigger),"--")</f>
        <v>--</v>
      </c>
      <c r="O28" s="892" t="str">
        <f ca="1">IFERROR(_xll.qlRateHelperQuoteValue($M28,Trigger),"--")</f>
        <v>--</v>
      </c>
      <c r="P28" s="969" t="b">
        <v>1</v>
      </c>
      <c r="Q28" s="890">
        <v>20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181</v>
      </c>
      <c r="B29" s="912">
        <v>15</v>
      </c>
      <c r="C29" s="911" t="str">
        <f t="shared" si="10"/>
        <v>x21F</v>
      </c>
      <c r="D29" s="909"/>
      <c r="E29" s="909"/>
      <c r="F29" s="909"/>
      <c r="G29" s="874" t="str">
        <f t="shared" si="11"/>
        <v>Euribor6M</v>
      </c>
      <c r="H29" s="910" t="str">
        <f t="shared" si="12"/>
        <v>EUR15x21F_Quote</v>
      </c>
      <c r="I29" s="909"/>
      <c r="J29" s="43" t="e">
        <f ca="1">_xll.qlFraRateHelper(,H29,B29&amp;"M",G29,PillarDate,,Permanent,Trigger,ObjectOverwrite)</f>
        <v>#NAME?</v>
      </c>
      <c r="K29" s="23"/>
      <c r="L29" s="894" t="str">
        <f t="shared" si="8"/>
        <v>FRA</v>
      </c>
      <c r="M29" s="890" t="e">
        <f t="shared" ca="1" si="9"/>
        <v>#NAME?</v>
      </c>
      <c r="N29" s="893" t="str">
        <f ca="1">IFERROR(_xll.qlRateHelperQuoteName(M29,Trigger),"--")</f>
        <v>--</v>
      </c>
      <c r="O29" s="892" t="str">
        <f ca="1">IFERROR(_xll.qlRateHelperQuoteValue($M29,Trigger),"--")</f>
        <v>--</v>
      </c>
      <c r="P29" s="969" t="b">
        <v>1</v>
      </c>
      <c r="Q29" s="890">
        <v>20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73" t="s">
        <v>181</v>
      </c>
      <c r="B30" s="912">
        <v>16</v>
      </c>
      <c r="C30" s="911" t="str">
        <f t="shared" si="10"/>
        <v>x22F</v>
      </c>
      <c r="D30" s="909"/>
      <c r="E30" s="909"/>
      <c r="F30" s="909"/>
      <c r="G30" s="874" t="str">
        <f t="shared" si="11"/>
        <v>Euribor6M</v>
      </c>
      <c r="H30" s="910" t="str">
        <f t="shared" si="12"/>
        <v>EUR16x22F_Quote</v>
      </c>
      <c r="I30" s="909"/>
      <c r="J30" s="43" t="e">
        <f ca="1">_xll.qlFraRateHelper(,H30,B30&amp;"M",G30,PillarDate,,Permanent,Trigger,ObjectOverwrite)</f>
        <v>#NAME?</v>
      </c>
      <c r="K30" s="23"/>
      <c r="L30" s="885" t="str">
        <f t="shared" si="8"/>
        <v>FRA</v>
      </c>
      <c r="M30" s="881" t="e">
        <f t="shared" ca="1" si="9"/>
        <v>#NAME?</v>
      </c>
      <c r="N30" s="884" t="str">
        <f ca="1">IFERROR(_xll.qlRateHelperQuoteName(M30,Trigger),"--")</f>
        <v>--</v>
      </c>
      <c r="O30" s="883" t="str">
        <f ca="1">IFERROR(_xll.qlRateHelperQuoteValue($M30,Trigger),"--")</f>
        <v>--</v>
      </c>
      <c r="P30" s="968" t="b">
        <v>1</v>
      </c>
      <c r="Q30" s="881">
        <v>20</v>
      </c>
      <c r="R30" s="881">
        <v>1</v>
      </c>
      <c r="S30" s="880" t="str">
        <f ca="1">IFERROR(_xll.qlRateHelperEarliestDate(M30,Trigger),"--")</f>
        <v>--</v>
      </c>
      <c r="T30" s="880"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8" ht="11.25" customHeight="1" x14ac:dyDescent="0.2">
      <c r="A31" s="873" t="s">
        <v>181</v>
      </c>
      <c r="B31" s="912">
        <v>17</v>
      </c>
      <c r="C31" s="911" t="str">
        <f t="shared" si="10"/>
        <v>x23F</v>
      </c>
      <c r="D31" s="909"/>
      <c r="E31" s="909"/>
      <c r="F31" s="909"/>
      <c r="G31" s="874" t="str">
        <f t="shared" si="11"/>
        <v>Euribor6M</v>
      </c>
      <c r="H31" s="910" t="str">
        <f t="shared" si="12"/>
        <v>EUR17x23F_Quote</v>
      </c>
      <c r="I31" s="909"/>
      <c r="J31" s="43" t="e">
        <f ca="1">_xll.qlFraRateHelper(,H31,B31&amp;"M",G31,PillarDate,,Permanent,Trigger,ObjectOverwrite)</f>
        <v>#NAME?</v>
      </c>
      <c r="K31" s="23"/>
      <c r="L31" s="894" t="str">
        <f t="shared" ref="L31:L67" si="13">A35</f>
        <v>Sw</v>
      </c>
      <c r="M31" s="890" t="str">
        <f t="shared" ref="M31:M67" si="14">IF(ISBLANK(J35),"--",J35)</f>
        <v>--</v>
      </c>
      <c r="N31" s="893" t="str">
        <f ca="1">IFERROR(_xll.qlRateHelperQuoteName(M31,Trigger),"--")</f>
        <v>--</v>
      </c>
      <c r="O31" s="892" t="str">
        <f ca="1">IFERROR(_xll.qlRateHelperQuoteValue($M31,Trigger),"--")</f>
        <v>--</v>
      </c>
      <c r="P31" s="969" t="b">
        <v>0</v>
      </c>
      <c r="Q31" s="890">
        <v>50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8" ht="11.25" customHeight="1" x14ac:dyDescent="0.2">
      <c r="A32" s="869" t="s">
        <v>181</v>
      </c>
      <c r="B32" s="902">
        <v>18</v>
      </c>
      <c r="C32" s="901" t="str">
        <f t="shared" si="10"/>
        <v>x24F</v>
      </c>
      <c r="D32" s="899"/>
      <c r="E32" s="899"/>
      <c r="F32" s="899"/>
      <c r="G32" s="870" t="str">
        <f t="shared" si="11"/>
        <v>Euribor6M</v>
      </c>
      <c r="H32" s="900" t="str">
        <f t="shared" si="12"/>
        <v>EUR18x24F_Quote</v>
      </c>
      <c r="I32" s="899"/>
      <c r="J32" s="38" t="e">
        <f ca="1">_xll.qlFraRateHelper(,H32,B32&amp;"M",G32,PillarDate,,Permanent,Trigger,ObjectOverwrite)</f>
        <v>#NAME?</v>
      </c>
      <c r="K32" s="23"/>
      <c r="L32" s="894" t="str">
        <f t="shared" si="13"/>
        <v>Sw</v>
      </c>
      <c r="M32" s="890" t="str">
        <f t="shared" si="14"/>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B33" s="1"/>
      <c r="C33" s="1"/>
      <c r="D33" s="1"/>
      <c r="E33" s="1"/>
      <c r="F33" s="1"/>
      <c r="G33" s="1" t="s">
        <v>21</v>
      </c>
      <c r="H33" s="1" t="s">
        <v>66</v>
      </c>
      <c r="K33" s="23"/>
      <c r="L33" s="894" t="str">
        <f t="shared" si="13"/>
        <v>Sw</v>
      </c>
      <c r="M33" s="890" t="str">
        <f t="shared" si="14"/>
        <v>--</v>
      </c>
      <c r="N33" s="893" t="str">
        <f ca="1">IFERROR(_xll.qlRateHelperQuoteName(M33,Trigger),"--")</f>
        <v>--</v>
      </c>
      <c r="O33" s="892" t="str">
        <f ca="1">IFERROR(_xll.qlRateHelperQuoteValue($M33,Trigger),"--")</f>
        <v>--</v>
      </c>
      <c r="P33" s="969" t="b">
        <v>0</v>
      </c>
      <c r="Q33" s="890">
        <v>50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145" t="s">
        <v>388</v>
      </c>
      <c r="B34" s="145" t="s">
        <v>107</v>
      </c>
      <c r="C34" s="145" t="s">
        <v>387</v>
      </c>
      <c r="D34" s="145" t="s">
        <v>330</v>
      </c>
      <c r="E34" s="145" t="s">
        <v>386</v>
      </c>
      <c r="F34" s="145" t="s">
        <v>385</v>
      </c>
      <c r="G34" s="145" t="s">
        <v>14</v>
      </c>
      <c r="H34" s="145" t="s">
        <v>384</v>
      </c>
      <c r="I34" s="145" t="s">
        <v>62</v>
      </c>
      <c r="J34" s="145" t="s">
        <v>383</v>
      </c>
      <c r="K34" s="23"/>
      <c r="L34" s="894" t="str">
        <f t="shared" si="13"/>
        <v>Sw</v>
      </c>
      <c r="M34" s="890" t="str">
        <f t="shared" si="14"/>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96" t="s">
        <v>404</v>
      </c>
      <c r="B35" s="898" t="s">
        <v>58</v>
      </c>
      <c r="C35" s="897" t="s">
        <v>324</v>
      </c>
      <c r="D35" s="897" t="s">
        <v>323</v>
      </c>
      <c r="E35" s="897" t="s">
        <v>322</v>
      </c>
      <c r="F35" s="897" t="s">
        <v>221</v>
      </c>
      <c r="G35" s="897" t="str">
        <f t="shared" ref="G35:G71" si="15">PROPER(Currency)&amp;FamilyName&amp;$G$1</f>
        <v>Euribor6M</v>
      </c>
      <c r="H35" s="896" t="str">
        <f t="shared" ref="H35:H71" si="16">Currency&amp;$G$33&amp;$H$33&amp;$B35&amp;QuoteSuffix</f>
        <v>EURAB6E1Y_Quote</v>
      </c>
      <c r="I35" s="895">
        <v>0</v>
      </c>
      <c r="J35" s="43"/>
      <c r="K35" s="23"/>
      <c r="L35" s="894" t="str">
        <f t="shared" si="13"/>
        <v>Sw</v>
      </c>
      <c r="M35" s="890" t="str">
        <f t="shared" si="14"/>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ca="1" si="3"/>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c r="AD35" s="913"/>
    </row>
    <row r="36" spans="1:30" ht="11.25" customHeight="1" x14ac:dyDescent="0.2">
      <c r="A36" s="873" t="s">
        <v>404</v>
      </c>
      <c r="B36" s="875" t="s">
        <v>57</v>
      </c>
      <c r="C36" s="874" t="s">
        <v>324</v>
      </c>
      <c r="D36" s="874" t="s">
        <v>323</v>
      </c>
      <c r="E36" s="874" t="s">
        <v>322</v>
      </c>
      <c r="F36" s="874" t="s">
        <v>221</v>
      </c>
      <c r="G36" s="874" t="str">
        <f t="shared" si="15"/>
        <v>Euribor6M</v>
      </c>
      <c r="H36" s="873" t="str">
        <f t="shared" si="16"/>
        <v>EURAB6E15M_Quote</v>
      </c>
      <c r="I36" s="876">
        <v>0</v>
      </c>
      <c r="J36" s="43"/>
      <c r="K36" s="23"/>
      <c r="L36" s="894" t="str">
        <f t="shared" si="13"/>
        <v>Sw</v>
      </c>
      <c r="M36" s="890" t="e">
        <f t="shared" ca="1" si="14"/>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3"/>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c r="AD36" s="913"/>
    </row>
    <row r="37" spans="1:30" ht="11.25" customHeight="1" x14ac:dyDescent="0.2">
      <c r="A37" s="873" t="s">
        <v>404</v>
      </c>
      <c r="B37" s="875" t="s">
        <v>56</v>
      </c>
      <c r="C37" s="874" t="s">
        <v>324</v>
      </c>
      <c r="D37" s="874" t="s">
        <v>323</v>
      </c>
      <c r="E37" s="874" t="s">
        <v>322</v>
      </c>
      <c r="F37" s="874" t="s">
        <v>221</v>
      </c>
      <c r="G37" s="874" t="str">
        <f t="shared" si="15"/>
        <v>Euribor6M</v>
      </c>
      <c r="H37" s="873" t="str">
        <f t="shared" si="16"/>
        <v>EURAB6E18M_Quote</v>
      </c>
      <c r="I37" s="876">
        <v>0</v>
      </c>
      <c r="J37" s="43"/>
      <c r="K37" s="23"/>
      <c r="L37" s="894" t="str">
        <f t="shared" si="13"/>
        <v>Sw</v>
      </c>
      <c r="M37" s="890" t="e">
        <f t="shared" ca="1" si="14"/>
        <v>#NAME?</v>
      </c>
      <c r="N37" s="893" t="str">
        <f ca="1">IFERROR(_xll.qlRateHelperQuoteName(M37,Trigger),"--")</f>
        <v>--</v>
      </c>
      <c r="O37" s="892" t="str">
        <f ca="1">IFERROR(_xll.qlRateHelperQuoteValue($M37,Trigger),"--")</f>
        <v>--</v>
      </c>
      <c r="P37" s="969" t="b">
        <v>1</v>
      </c>
      <c r="Q37" s="890">
        <v>50</v>
      </c>
      <c r="R37" s="890">
        <v>1</v>
      </c>
      <c r="S37" s="889" t="str">
        <f ca="1">IFERROR(_xll.qlRateHelperEarliestDate(M37,Trigger),"--")</f>
        <v>--</v>
      </c>
      <c r="T37" s="889" t="str">
        <f ca="1">IFERROR(_xll.qlRateHelperPillarDate(M37,Trigger),"--")</f>
        <v>--</v>
      </c>
      <c r="V37" s="4" t="str">
        <f t="shared" ca="1" si="3"/>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c r="AD37" s="913"/>
    </row>
    <row r="38" spans="1:30" ht="11.25" customHeight="1" x14ac:dyDescent="0.2">
      <c r="A38" s="873" t="s">
        <v>404</v>
      </c>
      <c r="B38" s="875" t="s">
        <v>55</v>
      </c>
      <c r="C38" s="874" t="s">
        <v>324</v>
      </c>
      <c r="D38" s="874" t="s">
        <v>323</v>
      </c>
      <c r="E38" s="874" t="s">
        <v>322</v>
      </c>
      <c r="F38" s="874" t="s">
        <v>221</v>
      </c>
      <c r="G38" s="874" t="str">
        <f t="shared" si="15"/>
        <v>Euribor6M</v>
      </c>
      <c r="H38" s="873" t="str">
        <f t="shared" si="16"/>
        <v>EURAB6E21M_Quote</v>
      </c>
      <c r="I38" s="876">
        <v>0</v>
      </c>
      <c r="J38" s="43"/>
      <c r="K38" s="23"/>
      <c r="L38" s="894" t="str">
        <f t="shared" si="13"/>
        <v>Sw</v>
      </c>
      <c r="M38" s="890" t="e">
        <f t="shared" ca="1" si="14"/>
        <v>#NAME?</v>
      </c>
      <c r="N38" s="893" t="str">
        <f ca="1">IFERROR(_xll.qlRateHelperQuoteName(M38,Trigger),"--")</f>
        <v>--</v>
      </c>
      <c r="O38" s="892" t="str">
        <f ca="1">IFERROR(_xll.qlRateHelperQuoteValue($M38,Trigger),"--")</f>
        <v>--</v>
      </c>
      <c r="P38" s="969" t="b">
        <v>1</v>
      </c>
      <c r="Q38" s="890">
        <v>50</v>
      </c>
      <c r="R38" s="890">
        <v>1</v>
      </c>
      <c r="S38" s="889" t="str">
        <f ca="1">IFERROR(_xll.qlRateHelperEarliestDate(M38,Trigger),"--")</f>
        <v>--</v>
      </c>
      <c r="T38" s="889" t="str">
        <f ca="1">IFERROR(_xll.qlRateHelperPillarDate(M38,Trigger),"--")</f>
        <v>--</v>
      </c>
      <c r="V38" s="4" t="str">
        <f t="shared" ca="1" si="3"/>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c r="AD38" s="913"/>
    </row>
    <row r="39" spans="1:30" ht="11.25" customHeight="1" x14ac:dyDescent="0.2">
      <c r="A39" s="873" t="s">
        <v>404</v>
      </c>
      <c r="B39" s="875" t="s">
        <v>54</v>
      </c>
      <c r="C39" s="874" t="s">
        <v>324</v>
      </c>
      <c r="D39" s="874" t="s">
        <v>323</v>
      </c>
      <c r="E39" s="874" t="s">
        <v>322</v>
      </c>
      <c r="F39" s="874" t="s">
        <v>221</v>
      </c>
      <c r="G39" s="874" t="str">
        <f t="shared" si="15"/>
        <v>Euribor6M</v>
      </c>
      <c r="H39" s="873" t="str">
        <f t="shared" si="16"/>
        <v>EURAB6E2Y_Quote</v>
      </c>
      <c r="I39" s="876">
        <v>0</v>
      </c>
      <c r="J39" s="43"/>
      <c r="K39" s="23"/>
      <c r="L39" s="894" t="str">
        <f t="shared" si="13"/>
        <v>Sw</v>
      </c>
      <c r="M39" s="890" t="e">
        <f t="shared" ca="1" si="14"/>
        <v>#NAME?</v>
      </c>
      <c r="N39" s="893" t="str">
        <f ca="1">IFERROR(_xll.qlRateHelperQuoteName(M39,Trigger),"--")</f>
        <v>--</v>
      </c>
      <c r="O39" s="892" t="str">
        <f ca="1">IFERROR(_xll.qlRateHelperQuoteValue($M39,Trigger),"--")</f>
        <v>--</v>
      </c>
      <c r="P39" s="969" t="b">
        <v>1</v>
      </c>
      <c r="Q39" s="890">
        <v>50</v>
      </c>
      <c r="R39" s="890">
        <v>1</v>
      </c>
      <c r="S39" s="889" t="str">
        <f ca="1">IFERROR(_xll.qlRateHelperEarliestDate(M39,Trigger),"--")</f>
        <v>--</v>
      </c>
      <c r="T39" s="889" t="str">
        <f ca="1">IFERROR(_xll.qlRateHelperPillarDate(M39,Trigger),"--")</f>
        <v>--</v>
      </c>
      <c r="V39" s="4" t="str">
        <f t="shared" ca="1" si="3"/>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c r="AD39" s="913"/>
    </row>
    <row r="40" spans="1:30" ht="11.25" customHeight="1" x14ac:dyDescent="0.2">
      <c r="A40" s="873" t="s">
        <v>404</v>
      </c>
      <c r="B40" s="875" t="s">
        <v>53</v>
      </c>
      <c r="C40" s="874" t="s">
        <v>324</v>
      </c>
      <c r="D40" s="874" t="s">
        <v>323</v>
      </c>
      <c r="E40" s="874" t="s">
        <v>322</v>
      </c>
      <c r="F40" s="874" t="s">
        <v>221</v>
      </c>
      <c r="G40" s="874" t="str">
        <f t="shared" si="15"/>
        <v>Euribor6M</v>
      </c>
      <c r="H40" s="873" t="str">
        <f t="shared" si="16"/>
        <v>EURAB6E3Y_Quote</v>
      </c>
      <c r="I40" s="876">
        <v>0</v>
      </c>
      <c r="J40" s="43" t="e">
        <f ca="1">_xll.qlSwapRateHelper2(,H40,2,B40,Calendar,D40,E40,F40,G40,I40,C40,Discounting,PillarDate,,Permanent,Trigger,ObjectOverwrite)</f>
        <v>#NAME?</v>
      </c>
      <c r="K40" s="23"/>
      <c r="L40" s="894" t="str">
        <f t="shared" si="13"/>
        <v>Sw</v>
      </c>
      <c r="M40" s="890" t="e">
        <f t="shared" ca="1" si="14"/>
        <v>#NAME?</v>
      </c>
      <c r="N40" s="893" t="str">
        <f ca="1">IFERROR(_xll.qlRateHelperQuoteName(M40,Trigger),"--")</f>
        <v>--</v>
      </c>
      <c r="O40" s="892" t="str">
        <f ca="1">IFERROR(_xll.qlRateHelperQuoteValue($M40,Trigger),"--")</f>
        <v>--</v>
      </c>
      <c r="P40" s="969" t="b">
        <v>1</v>
      </c>
      <c r="Q40" s="890">
        <v>50</v>
      </c>
      <c r="R40" s="890">
        <v>1</v>
      </c>
      <c r="S40" s="889" t="str">
        <f ca="1">IFERROR(_xll.qlRateHelperEarliestDate(M40,Trigger),"--")</f>
        <v>--</v>
      </c>
      <c r="T40" s="889" t="str">
        <f ca="1">IFERROR(_xll.qlRateHelperPillarDate(M40,Trigger),"--")</f>
        <v>--</v>
      </c>
      <c r="V40" s="4" t="str">
        <f t="shared" ca="1" si="3"/>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c r="AD40" s="913"/>
    </row>
    <row r="41" spans="1:30" ht="11.25" customHeight="1" x14ac:dyDescent="0.2">
      <c r="A41" s="873" t="s">
        <v>404</v>
      </c>
      <c r="B41" s="875" t="s">
        <v>52</v>
      </c>
      <c r="C41" s="874" t="s">
        <v>324</v>
      </c>
      <c r="D41" s="874" t="s">
        <v>323</v>
      </c>
      <c r="E41" s="874" t="s">
        <v>322</v>
      </c>
      <c r="F41" s="874" t="s">
        <v>221</v>
      </c>
      <c r="G41" s="874" t="str">
        <f t="shared" si="15"/>
        <v>Euribor6M</v>
      </c>
      <c r="H41" s="873" t="str">
        <f t="shared" si="16"/>
        <v>EURAB6E4Y_Quote</v>
      </c>
      <c r="I41" s="876">
        <v>0</v>
      </c>
      <c r="J41" s="43" t="e">
        <f ca="1">_xll.qlSwapRateHelper2(,H41,2,B41,Calendar,D41,E41,F41,G41,I41,C41,Discounting,PillarDate,,Permanent,Trigger,ObjectOverwrite)</f>
        <v>#NAME?</v>
      </c>
      <c r="L41" s="894" t="str">
        <f t="shared" si="13"/>
        <v>Sw</v>
      </c>
      <c r="M41" s="890" t="e">
        <f t="shared" ca="1" si="14"/>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3"/>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c r="AD41" s="913"/>
    </row>
    <row r="42" spans="1:30" ht="11.25" customHeight="1" x14ac:dyDescent="0.2">
      <c r="A42" s="873" t="s">
        <v>404</v>
      </c>
      <c r="B42" s="875" t="s">
        <v>51</v>
      </c>
      <c r="C42" s="874" t="s">
        <v>324</v>
      </c>
      <c r="D42" s="874" t="s">
        <v>323</v>
      </c>
      <c r="E42" s="874" t="s">
        <v>322</v>
      </c>
      <c r="F42" s="874" t="s">
        <v>221</v>
      </c>
      <c r="G42" s="874" t="str">
        <f t="shared" si="15"/>
        <v>Euribor6M</v>
      </c>
      <c r="H42" s="873" t="str">
        <f t="shared" si="16"/>
        <v>EURAB6E5Y_Quote</v>
      </c>
      <c r="I42" s="876">
        <v>0</v>
      </c>
      <c r="J42" s="43" t="e">
        <f ca="1">_xll.qlSwapRateHelper2(,H42,2,B42,Calendar,D42,E42,F42,G42,I42,C42,Discounting,PillarDate,,Permanent,Trigger,ObjectOverwrite)</f>
        <v>#NAME?</v>
      </c>
      <c r="L42" s="894" t="str">
        <f t="shared" si="13"/>
        <v>Sw</v>
      </c>
      <c r="M42" s="890" t="e">
        <f t="shared" ca="1" si="14"/>
        <v>#NAME?</v>
      </c>
      <c r="N42" s="893" t="str">
        <f ca="1">IFERROR(_xll.qlRateHelperQuoteName(M42,Trigger),"--")</f>
        <v>--</v>
      </c>
      <c r="O42" s="892" t="str">
        <f ca="1">IFERROR(_xll.qlRateHelperQuoteValue($M42,Trigger),"--")</f>
        <v>--</v>
      </c>
      <c r="P42" s="969" t="b">
        <v>1</v>
      </c>
      <c r="Q42" s="890">
        <v>50</v>
      </c>
      <c r="R42" s="890">
        <v>1</v>
      </c>
      <c r="S42" s="889" t="str">
        <f ca="1">IFERROR(_xll.qlRateHelperEarliestDate(M42,Trigger),"--")</f>
        <v>--</v>
      </c>
      <c r="T42" s="889" t="str">
        <f ca="1">IFERROR(_xll.qlRateHelperPillarDate(M42,Trigger),"--")</f>
        <v>--</v>
      </c>
      <c r="V42" s="4" t="str">
        <f t="shared" ca="1" si="3"/>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c r="AD42" s="913"/>
    </row>
    <row r="43" spans="1:30" ht="11.25" customHeight="1" x14ac:dyDescent="0.2">
      <c r="A43" s="873" t="s">
        <v>404</v>
      </c>
      <c r="B43" s="875" t="s">
        <v>50</v>
      </c>
      <c r="C43" s="874" t="s">
        <v>324</v>
      </c>
      <c r="D43" s="874" t="s">
        <v>323</v>
      </c>
      <c r="E43" s="874" t="s">
        <v>322</v>
      </c>
      <c r="F43" s="874" t="s">
        <v>221</v>
      </c>
      <c r="G43" s="874" t="str">
        <f t="shared" si="15"/>
        <v>Euribor6M</v>
      </c>
      <c r="H43" s="873" t="str">
        <f t="shared" si="16"/>
        <v>EURAB6E6Y_Quote</v>
      </c>
      <c r="I43" s="876">
        <v>0</v>
      </c>
      <c r="J43" s="43" t="e">
        <f ca="1">_xll.qlSwapRateHelper2(,H43,2,B43,Calendar,D43,E43,F43,G43,I43,C43,Discounting,PillarDate,,Permanent,Trigger,ObjectOverwrite)</f>
        <v>#NAME?</v>
      </c>
      <c r="L43" s="894" t="str">
        <f t="shared" si="13"/>
        <v>Sw</v>
      </c>
      <c r="M43" s="890" t="e">
        <f t="shared" ca="1" si="14"/>
        <v>#NAME?</v>
      </c>
      <c r="N43" s="893" t="str">
        <f ca="1">IFERROR(_xll.qlRateHelperQuoteName(M43,Trigger),"--")</f>
        <v>--</v>
      </c>
      <c r="O43" s="892" t="str">
        <f ca="1">IFERROR(_xll.qlRateHelperQuoteValue($M43,Trigger),"--")</f>
        <v>--</v>
      </c>
      <c r="P43" s="969" t="b">
        <v>1</v>
      </c>
      <c r="Q43" s="890">
        <v>50</v>
      </c>
      <c r="R43" s="890">
        <v>1</v>
      </c>
      <c r="S43" s="889" t="str">
        <f ca="1">IFERROR(_xll.qlRateHelperEarliestDate(M43,Trigger),"--")</f>
        <v>--</v>
      </c>
      <c r="T43" s="889" t="str">
        <f ca="1">IFERROR(_xll.qlRateHelperPillarDate(M43,Trigger),"--")</f>
        <v>--</v>
      </c>
      <c r="V43" s="4" t="str">
        <f t="shared" ca="1" si="3"/>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c r="AD43" s="913"/>
    </row>
    <row r="44" spans="1:30" ht="11.25" customHeight="1" x14ac:dyDescent="0.2">
      <c r="A44" s="873" t="s">
        <v>404</v>
      </c>
      <c r="B44" s="875" t="s">
        <v>49</v>
      </c>
      <c r="C44" s="874" t="s">
        <v>324</v>
      </c>
      <c r="D44" s="874" t="s">
        <v>323</v>
      </c>
      <c r="E44" s="874" t="s">
        <v>322</v>
      </c>
      <c r="F44" s="874" t="s">
        <v>221</v>
      </c>
      <c r="G44" s="874" t="str">
        <f t="shared" si="15"/>
        <v>Euribor6M</v>
      </c>
      <c r="H44" s="873" t="str">
        <f t="shared" si="16"/>
        <v>EURAB6E7Y_Quote</v>
      </c>
      <c r="I44" s="876">
        <v>0</v>
      </c>
      <c r="J44" s="43" t="e">
        <f ca="1">_xll.qlSwapRateHelper2(,H44,2,B44,Calendar,D44,E44,F44,G44,I44,C44,Discounting,PillarDate,,Permanent,Trigger,ObjectOverwrite)</f>
        <v>#NAME?</v>
      </c>
      <c r="L44" s="894" t="str">
        <f t="shared" si="13"/>
        <v>Sw</v>
      </c>
      <c r="M44" s="890" t="str">
        <f t="shared" si="14"/>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3"/>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c r="AD44" s="913"/>
    </row>
    <row r="45" spans="1:30" ht="11.25" customHeight="1" x14ac:dyDescent="0.2">
      <c r="A45" s="873" t="s">
        <v>404</v>
      </c>
      <c r="B45" s="875" t="s">
        <v>48</v>
      </c>
      <c r="C45" s="874" t="s">
        <v>324</v>
      </c>
      <c r="D45" s="874" t="s">
        <v>323</v>
      </c>
      <c r="E45" s="874" t="s">
        <v>322</v>
      </c>
      <c r="F45" s="874" t="s">
        <v>221</v>
      </c>
      <c r="G45" s="874" t="str">
        <f t="shared" si="15"/>
        <v>Euribor6M</v>
      </c>
      <c r="H45" s="873" t="str">
        <f t="shared" si="16"/>
        <v>EURAB6E8Y_Quote</v>
      </c>
      <c r="I45" s="876">
        <v>0</v>
      </c>
      <c r="J45" s="43" t="e">
        <f ca="1">_xll.qlSwapRateHelper2(,H45,2,B45,Calendar,D45,E45,F45,G45,I45,C45,Discounting,PillarDate,,Permanent,Trigger,ObjectOverwrite)</f>
        <v>#NAME?</v>
      </c>
      <c r="L45" s="894" t="str">
        <f t="shared" si="13"/>
        <v>Sw</v>
      </c>
      <c r="M45" s="890" t="e">
        <f t="shared" ca="1" si="14"/>
        <v>#NAME?</v>
      </c>
      <c r="N45" s="893" t="str">
        <f ca="1">IFERROR(_xll.qlRateHelperQuoteName(M45,Trigger),"--")</f>
        <v>--</v>
      </c>
      <c r="O45" s="892" t="str">
        <f ca="1">IFERROR(_xll.qlRateHelperQuoteValue($M45,Trigger),"--")</f>
        <v>--</v>
      </c>
      <c r="P45" s="969" t="b">
        <v>1</v>
      </c>
      <c r="Q45" s="890">
        <v>50</v>
      </c>
      <c r="R45" s="890">
        <v>1</v>
      </c>
      <c r="S45" s="889" t="str">
        <f ca="1">IFERROR(_xll.qlRateHelperEarliestDate(M45,Trigger),"--")</f>
        <v>--</v>
      </c>
      <c r="T45" s="889" t="str">
        <f ca="1">IFERROR(_xll.qlRateHelperPillarDate(M45,Trigger),"--")</f>
        <v>--</v>
      </c>
      <c r="V45" s="4" t="str">
        <f t="shared" ca="1" si="3"/>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c r="AD45" s="913"/>
    </row>
    <row r="46" spans="1:30" ht="11.25" customHeight="1" x14ac:dyDescent="0.2">
      <c r="A46" s="873" t="s">
        <v>404</v>
      </c>
      <c r="B46" s="875" t="s">
        <v>47</v>
      </c>
      <c r="C46" s="874" t="s">
        <v>324</v>
      </c>
      <c r="D46" s="874" t="s">
        <v>323</v>
      </c>
      <c r="E46" s="874" t="s">
        <v>322</v>
      </c>
      <c r="F46" s="874" t="s">
        <v>221</v>
      </c>
      <c r="G46" s="874" t="str">
        <f t="shared" si="15"/>
        <v>Euribor6M</v>
      </c>
      <c r="H46" s="873" t="str">
        <f t="shared" si="16"/>
        <v>EURAB6E9Y_Quote</v>
      </c>
      <c r="I46" s="876">
        <v>0</v>
      </c>
      <c r="J46" s="43" t="e">
        <f ca="1">_xll.qlSwapRateHelper2(,H46,2,B46,Calendar,D46,E46,F46,G46,I46,C46,Discounting,PillarDate,,Permanent,Trigger,ObjectOverwrite)</f>
        <v>#NAME?</v>
      </c>
      <c r="L46" s="894" t="str">
        <f t="shared" si="13"/>
        <v>Sw</v>
      </c>
      <c r="M46" s="890" t="str">
        <f t="shared" si="14"/>
        <v>--</v>
      </c>
      <c r="N46" s="893" t="str">
        <f ca="1">IFERROR(_xll.qlRateHelperQuoteName(M46,Trigger),"--")</f>
        <v>--</v>
      </c>
      <c r="O46" s="892" t="str">
        <f ca="1">IFERROR(_xll.qlRateHelperQuoteValue($M46,Trigger),"--")</f>
        <v>--</v>
      </c>
      <c r="P46" s="969" t="b">
        <v>0</v>
      </c>
      <c r="Q46" s="890">
        <v>50</v>
      </c>
      <c r="R46" s="890">
        <v>1</v>
      </c>
      <c r="S46" s="889" t="str">
        <f ca="1">IFERROR(_xll.qlRateHelperEarliestDate(M46,Trigger),"--")</f>
        <v>--</v>
      </c>
      <c r="T46" s="889" t="str">
        <f ca="1">IFERROR(_xll.qlRateHelperPillarDate(M46,Trigger),"--")</f>
        <v>--</v>
      </c>
      <c r="V46" s="4" t="str">
        <f t="shared" ca="1" si="3"/>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46</v>
      </c>
      <c r="C47" s="874" t="s">
        <v>324</v>
      </c>
      <c r="D47" s="874" t="s">
        <v>323</v>
      </c>
      <c r="E47" s="874" t="s">
        <v>322</v>
      </c>
      <c r="F47" s="874" t="s">
        <v>221</v>
      </c>
      <c r="G47" s="874" t="str">
        <f t="shared" si="15"/>
        <v>Euribor6M</v>
      </c>
      <c r="H47" s="873" t="str">
        <f t="shared" si="16"/>
        <v>EURAB6E10Y_Quote</v>
      </c>
      <c r="I47" s="876">
        <v>0</v>
      </c>
      <c r="J47" s="43" t="e">
        <f ca="1">_xll.qlSwapRateHelper2(,H47,2,B47,Calendar,D47,E47,F47,G47,I47,C47,Discounting,PillarDate,,Permanent,Trigger,ObjectOverwrite)</f>
        <v>#NAME?</v>
      </c>
      <c r="L47" s="894" t="str">
        <f t="shared" si="13"/>
        <v>Sw</v>
      </c>
      <c r="M47" s="890" t="str">
        <f t="shared" si="14"/>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3"/>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45</v>
      </c>
      <c r="C48" s="874" t="s">
        <v>324</v>
      </c>
      <c r="D48" s="874" t="s">
        <v>323</v>
      </c>
      <c r="E48" s="874" t="s">
        <v>322</v>
      </c>
      <c r="F48" s="874" t="s">
        <v>221</v>
      </c>
      <c r="G48" s="874" t="str">
        <f t="shared" si="15"/>
        <v>Euribor6M</v>
      </c>
      <c r="H48" s="873" t="str">
        <f t="shared" si="16"/>
        <v>EURAB6E11Y_Quote</v>
      </c>
      <c r="I48" s="876">
        <v>0</v>
      </c>
      <c r="J48" s="43"/>
      <c r="L48" s="894" t="str">
        <f t="shared" si="13"/>
        <v>Sw</v>
      </c>
      <c r="M48" s="890" t="e">
        <f t="shared" ca="1" si="14"/>
        <v>#NAME?</v>
      </c>
      <c r="N48" s="893" t="str">
        <f ca="1">IFERROR(_xll.qlRateHelperQuoteName(M48,Trigger),"--")</f>
        <v>--</v>
      </c>
      <c r="O48" s="892" t="str">
        <f ca="1">IFERROR(_xll.qlRateHelperQuoteValue($M48,Trigger),"--")</f>
        <v>--</v>
      </c>
      <c r="P48" s="969" t="b">
        <v>1</v>
      </c>
      <c r="Q48" s="890">
        <v>50</v>
      </c>
      <c r="R48" s="890">
        <v>1</v>
      </c>
      <c r="S48" s="889" t="str">
        <f ca="1">IFERROR(_xll.qlRateHelperEarliestDate(M48,Trigger),"--")</f>
        <v>--</v>
      </c>
      <c r="T48" s="889" t="str">
        <f ca="1">IFERROR(_xll.qlRateHelperPillarDate(M48,Trigger),"--")</f>
        <v>--</v>
      </c>
      <c r="V48" s="4" t="str">
        <f t="shared" ca="1" si="3"/>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44</v>
      </c>
      <c r="C49" s="874" t="s">
        <v>324</v>
      </c>
      <c r="D49" s="874" t="s">
        <v>323</v>
      </c>
      <c r="E49" s="874" t="s">
        <v>322</v>
      </c>
      <c r="F49" s="874" t="s">
        <v>221</v>
      </c>
      <c r="G49" s="874" t="str">
        <f t="shared" si="15"/>
        <v>Euribor6M</v>
      </c>
      <c r="H49" s="873" t="str">
        <f t="shared" si="16"/>
        <v>EURAB6E12Y_Quote</v>
      </c>
      <c r="I49" s="876">
        <v>0</v>
      </c>
      <c r="J49" s="43" t="e">
        <f ca="1">_xll.qlSwapRateHelper2(,H49,2,B49,Calendar,D49,E49,F49,G49,I49,C49,Discounting,PillarDate,,Permanent,Trigger,ObjectOverwrite)</f>
        <v>#NAME?</v>
      </c>
      <c r="L49" s="894" t="str">
        <f t="shared" si="13"/>
        <v>Sw</v>
      </c>
      <c r="M49" s="890" t="str">
        <f t="shared" si="14"/>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3"/>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43</v>
      </c>
      <c r="C50" s="874" t="s">
        <v>324</v>
      </c>
      <c r="D50" s="874" t="s">
        <v>323</v>
      </c>
      <c r="E50" s="874" t="s">
        <v>322</v>
      </c>
      <c r="F50" s="874" t="s">
        <v>221</v>
      </c>
      <c r="G50" s="874" t="str">
        <f t="shared" si="15"/>
        <v>Euribor6M</v>
      </c>
      <c r="H50" s="873" t="str">
        <f t="shared" si="16"/>
        <v>EURAB6E13Y_Quote</v>
      </c>
      <c r="I50" s="876">
        <v>0</v>
      </c>
      <c r="J50" s="43"/>
      <c r="L50" s="894" t="str">
        <f t="shared" si="13"/>
        <v>Sw</v>
      </c>
      <c r="M50" s="890" t="str">
        <f t="shared" si="14"/>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3"/>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42</v>
      </c>
      <c r="C51" s="874" t="s">
        <v>324</v>
      </c>
      <c r="D51" s="874" t="s">
        <v>323</v>
      </c>
      <c r="E51" s="874" t="s">
        <v>322</v>
      </c>
      <c r="F51" s="874" t="s">
        <v>221</v>
      </c>
      <c r="G51" s="874" t="str">
        <f t="shared" si="15"/>
        <v>Euribor6M</v>
      </c>
      <c r="H51" s="873" t="str">
        <f t="shared" si="16"/>
        <v>EURAB6E14Y_Quote</v>
      </c>
      <c r="I51" s="876">
        <v>0</v>
      </c>
      <c r="J51" s="43"/>
      <c r="L51" s="894" t="str">
        <f t="shared" si="13"/>
        <v>Sw</v>
      </c>
      <c r="M51" s="890" t="str">
        <f t="shared" si="14"/>
        <v>--</v>
      </c>
      <c r="N51" s="893" t="str">
        <f ca="1">IFERROR(_xll.qlRateHelperQuoteName(M51,Trigger),"--")</f>
        <v>--</v>
      </c>
      <c r="O51" s="892" t="str">
        <f ca="1">IFERROR(_xll.qlRateHelperQuoteValue($M51,Trigger),"--")</f>
        <v>--</v>
      </c>
      <c r="P51" s="969" t="b">
        <v>0</v>
      </c>
      <c r="Q51" s="890">
        <v>50</v>
      </c>
      <c r="R51" s="890">
        <v>1</v>
      </c>
      <c r="S51" s="889" t="str">
        <f ca="1">IFERROR(_xll.qlRateHelperEarliestDate(M51,Trigger),"--")</f>
        <v>--</v>
      </c>
      <c r="T51" s="889" t="str">
        <f ca="1">IFERROR(_xll.qlRateHelperPillarDate(M51,Trigger),"--")</f>
        <v>--</v>
      </c>
      <c r="V51" s="4" t="str">
        <f t="shared" ca="1" si="3"/>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41</v>
      </c>
      <c r="C52" s="874" t="s">
        <v>324</v>
      </c>
      <c r="D52" s="874" t="s">
        <v>323</v>
      </c>
      <c r="E52" s="874" t="s">
        <v>322</v>
      </c>
      <c r="F52" s="874" t="s">
        <v>221</v>
      </c>
      <c r="G52" s="874" t="str">
        <f t="shared" si="15"/>
        <v>Euribor6M</v>
      </c>
      <c r="H52" s="873" t="str">
        <f t="shared" si="16"/>
        <v>EURAB6E15Y_Quote</v>
      </c>
      <c r="I52" s="876">
        <v>0</v>
      </c>
      <c r="J52" s="43" t="e">
        <f ca="1">_xll.qlSwapRateHelper2(,H52,2,B52,Calendar,D52,E52,F52,G52,I52,C52,Discounting,PillarDate,,Permanent,Trigger,ObjectOverwrite)</f>
        <v>#NAME?</v>
      </c>
      <c r="L52" s="894" t="str">
        <f t="shared" si="13"/>
        <v>Sw</v>
      </c>
      <c r="M52" s="890" t="str">
        <f t="shared" si="14"/>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3"/>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40</v>
      </c>
      <c r="C53" s="874" t="s">
        <v>324</v>
      </c>
      <c r="D53" s="874" t="s">
        <v>323</v>
      </c>
      <c r="E53" s="874" t="s">
        <v>322</v>
      </c>
      <c r="F53" s="874" t="s">
        <v>221</v>
      </c>
      <c r="G53" s="874" t="str">
        <f t="shared" si="15"/>
        <v>Euribor6M</v>
      </c>
      <c r="H53" s="873" t="str">
        <f t="shared" si="16"/>
        <v>EURAB6E16Y_Quote</v>
      </c>
      <c r="I53" s="876">
        <v>0</v>
      </c>
      <c r="J53" s="43"/>
      <c r="L53" s="894" t="str">
        <f t="shared" si="13"/>
        <v>Sw</v>
      </c>
      <c r="M53" s="890" t="e">
        <f t="shared" ca="1" si="14"/>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3"/>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39</v>
      </c>
      <c r="C54" s="874" t="s">
        <v>324</v>
      </c>
      <c r="D54" s="874" t="s">
        <v>323</v>
      </c>
      <c r="E54" s="874" t="s">
        <v>322</v>
      </c>
      <c r="F54" s="874" t="s">
        <v>221</v>
      </c>
      <c r="G54" s="874" t="str">
        <f t="shared" si="15"/>
        <v>Euribor6M</v>
      </c>
      <c r="H54" s="873" t="str">
        <f t="shared" si="16"/>
        <v>EURAB6E17Y_Quote</v>
      </c>
      <c r="I54" s="876">
        <v>0</v>
      </c>
      <c r="J54" s="43"/>
      <c r="L54" s="894" t="str">
        <f t="shared" si="13"/>
        <v>Sw</v>
      </c>
      <c r="M54" s="890" t="str">
        <f t="shared" si="14"/>
        <v>--</v>
      </c>
      <c r="N54" s="893" t="str">
        <f ca="1">IFERROR(_xll.qlRateHelperQuoteName(M54,Trigger),"--")</f>
        <v>--</v>
      </c>
      <c r="O54" s="892" t="str">
        <f ca="1">IFERROR(_xll.qlRateHelperQuoteValue($M54,Trigger),"--")</f>
        <v>--</v>
      </c>
      <c r="P54" s="969" t="b">
        <v>0</v>
      </c>
      <c r="Q54" s="890">
        <v>50</v>
      </c>
      <c r="R54" s="890">
        <v>1</v>
      </c>
      <c r="S54" s="889" t="str">
        <f ca="1">IFERROR(_xll.qlRateHelperEarliestDate(M54,Trigger),"--")</f>
        <v>--</v>
      </c>
      <c r="T54" s="889" t="str">
        <f ca="1">IFERROR(_xll.qlRateHelperPillarDate(M54,Trigger),"--")</f>
        <v>--</v>
      </c>
      <c r="V54" s="4" t="str">
        <f t="shared" ca="1" si="3"/>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38</v>
      </c>
      <c r="C55" s="874" t="s">
        <v>324</v>
      </c>
      <c r="D55" s="874" t="s">
        <v>323</v>
      </c>
      <c r="E55" s="874" t="s">
        <v>322</v>
      </c>
      <c r="F55" s="874" t="s">
        <v>221</v>
      </c>
      <c r="G55" s="874" t="str">
        <f t="shared" si="15"/>
        <v>Euribor6M</v>
      </c>
      <c r="H55" s="873" t="str">
        <f t="shared" si="16"/>
        <v>EURAB6E18Y_Quote</v>
      </c>
      <c r="I55" s="876">
        <v>0</v>
      </c>
      <c r="J55" s="43"/>
      <c r="L55" s="894" t="str">
        <f t="shared" si="13"/>
        <v>Sw</v>
      </c>
      <c r="M55" s="890" t="str">
        <f t="shared" si="14"/>
        <v>--</v>
      </c>
      <c r="N55" s="893" t="str">
        <f ca="1">IFERROR(_xll.qlRateHelperQuoteName(M55,Trigger),"--")</f>
        <v>--</v>
      </c>
      <c r="O55" s="892" t="str">
        <f ca="1">IFERROR(_xll.qlRateHelperQuoteValue($M55,Trigger),"--")</f>
        <v>--</v>
      </c>
      <c r="P55" s="969" t="b">
        <v>0</v>
      </c>
      <c r="Q55" s="890">
        <v>50</v>
      </c>
      <c r="R55" s="890">
        <v>1</v>
      </c>
      <c r="S55" s="889" t="str">
        <f ca="1">IFERROR(_xll.qlRateHelperEarliestDate(M55,Trigger),"--")</f>
        <v>--</v>
      </c>
      <c r="T55" s="889" t="str">
        <f ca="1">IFERROR(_xll.qlRateHelperPillarDate(M55,Trigger),"--")</f>
        <v>--</v>
      </c>
      <c r="V55" s="4" t="str">
        <f t="shared" ca="1" si="3"/>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37</v>
      </c>
      <c r="C56" s="874" t="s">
        <v>324</v>
      </c>
      <c r="D56" s="874" t="s">
        <v>323</v>
      </c>
      <c r="E56" s="874" t="s">
        <v>322</v>
      </c>
      <c r="F56" s="874" t="s">
        <v>221</v>
      </c>
      <c r="G56" s="874" t="str">
        <f t="shared" si="15"/>
        <v>Euribor6M</v>
      </c>
      <c r="H56" s="873" t="str">
        <f t="shared" si="16"/>
        <v>EURAB6E19Y_Quote</v>
      </c>
      <c r="I56" s="876">
        <v>0</v>
      </c>
      <c r="J56" s="43"/>
      <c r="L56" s="894" t="str">
        <f t="shared" si="13"/>
        <v>Sw</v>
      </c>
      <c r="M56" s="890" t="str">
        <f t="shared" si="14"/>
        <v>--</v>
      </c>
      <c r="N56" s="893" t="str">
        <f ca="1">IFERROR(_xll.qlRateHelperQuoteName(M56,Trigger),"--")</f>
        <v>--</v>
      </c>
      <c r="O56" s="892" t="str">
        <f ca="1">IFERROR(_xll.qlRateHelperQuoteValue($M56,Trigger),"--")</f>
        <v>--</v>
      </c>
      <c r="P56" s="969" t="b">
        <v>0</v>
      </c>
      <c r="Q56" s="890">
        <v>50</v>
      </c>
      <c r="R56" s="890">
        <v>1</v>
      </c>
      <c r="S56" s="889" t="str">
        <f ca="1">IFERROR(_xll.qlRateHelperEarliestDate(M56,Trigger),"--")</f>
        <v>--</v>
      </c>
      <c r="T56" s="889" t="str">
        <f ca="1">IFERROR(_xll.qlRateHelperPillarDate(M56,Trigger),"--")</f>
        <v>--</v>
      </c>
      <c r="V56" s="4" t="str">
        <f t="shared" ca="1" si="3"/>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36</v>
      </c>
      <c r="C57" s="874" t="s">
        <v>324</v>
      </c>
      <c r="D57" s="874" t="s">
        <v>323</v>
      </c>
      <c r="E57" s="874" t="s">
        <v>322</v>
      </c>
      <c r="F57" s="874" t="s">
        <v>221</v>
      </c>
      <c r="G57" s="874" t="str">
        <f t="shared" si="15"/>
        <v>Euribor6M</v>
      </c>
      <c r="H57" s="873" t="str">
        <f t="shared" si="16"/>
        <v>EURAB6E20Y_Quote</v>
      </c>
      <c r="I57" s="876">
        <v>0</v>
      </c>
      <c r="J57" s="43" t="e">
        <f ca="1">_xll.qlSwapRateHelper2(,H57,2,B57,Calendar,D57,E57,F57,G57,I57,C57,Discounting,PillarDate,,Permanent,Trigger,ObjectOverwrite)</f>
        <v>#NAME?</v>
      </c>
      <c r="L57" s="894" t="str">
        <f t="shared" si="13"/>
        <v>Sw</v>
      </c>
      <c r="M57" s="890" t="str">
        <f t="shared" si="14"/>
        <v>--</v>
      </c>
      <c r="N57" s="893" t="str">
        <f ca="1">IFERROR(_xll.qlRateHelperQuoteName(M57,Trigger),"--")</f>
        <v>--</v>
      </c>
      <c r="O57" s="892" t="str">
        <f ca="1">IFERROR(_xll.qlRateHelperQuoteValue($M57,Trigger),"--")</f>
        <v>--</v>
      </c>
      <c r="P57" s="969" t="b">
        <v>0</v>
      </c>
      <c r="Q57" s="890">
        <v>50</v>
      </c>
      <c r="R57" s="890">
        <v>1</v>
      </c>
      <c r="S57" s="889" t="str">
        <f ca="1">IFERROR(_xll.qlRateHelperEarliestDate(M57,Trigger),"--")</f>
        <v>--</v>
      </c>
      <c r="T57" s="889" t="str">
        <f ca="1">IFERROR(_xll.qlRateHelperPillarDate(M57,Trigger),"--")</f>
        <v>--</v>
      </c>
      <c r="V57" s="4" t="str">
        <f t="shared" ca="1" si="3"/>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35</v>
      </c>
      <c r="C58" s="874" t="s">
        <v>324</v>
      </c>
      <c r="D58" s="874" t="s">
        <v>323</v>
      </c>
      <c r="E58" s="874" t="s">
        <v>322</v>
      </c>
      <c r="F58" s="874" t="s">
        <v>221</v>
      </c>
      <c r="G58" s="874" t="str">
        <f t="shared" si="15"/>
        <v>Euribor6M</v>
      </c>
      <c r="H58" s="873" t="str">
        <f t="shared" si="16"/>
        <v>EURAB6E21Y_Quote</v>
      </c>
      <c r="I58" s="876">
        <v>0</v>
      </c>
      <c r="J58" s="43"/>
      <c r="L58" s="894" t="str">
        <f t="shared" si="13"/>
        <v>Sw</v>
      </c>
      <c r="M58" s="890" t="e">
        <f t="shared" ca="1" si="14"/>
        <v>#NAME?</v>
      </c>
      <c r="N58" s="893" t="str">
        <f ca="1">IFERROR(_xll.qlRateHelperQuoteName(M58,Trigger),"--")</f>
        <v>--</v>
      </c>
      <c r="O58" s="892" t="str">
        <f ca="1">IFERROR(_xll.qlRateHelperQuoteValue($M58,Trigger),"--")</f>
        <v>--</v>
      </c>
      <c r="P58" s="969" t="b">
        <v>1</v>
      </c>
      <c r="Q58" s="890">
        <v>50</v>
      </c>
      <c r="R58" s="890">
        <v>1</v>
      </c>
      <c r="S58" s="889" t="str">
        <f ca="1">IFERROR(_xll.qlRateHelperEarliestDate(M58,Trigger),"--")</f>
        <v>--</v>
      </c>
      <c r="T58" s="889" t="str">
        <f ca="1">IFERROR(_xll.qlRateHelperPillarDate(M58,Trigger),"--")</f>
        <v>--</v>
      </c>
      <c r="V58" s="4" t="str">
        <f t="shared" ca="1" si="3"/>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34</v>
      </c>
      <c r="C59" s="874" t="s">
        <v>324</v>
      </c>
      <c r="D59" s="874" t="s">
        <v>323</v>
      </c>
      <c r="E59" s="874" t="s">
        <v>322</v>
      </c>
      <c r="F59" s="874" t="s">
        <v>221</v>
      </c>
      <c r="G59" s="874" t="str">
        <f t="shared" si="15"/>
        <v>Euribor6M</v>
      </c>
      <c r="H59" s="873" t="str">
        <f t="shared" si="16"/>
        <v>EURAB6E22Y_Quote</v>
      </c>
      <c r="I59" s="876">
        <v>0</v>
      </c>
      <c r="J59" s="43"/>
      <c r="L59" s="894" t="str">
        <f t="shared" si="13"/>
        <v>Sw</v>
      </c>
      <c r="M59" s="890" t="str">
        <f t="shared" si="14"/>
        <v>--</v>
      </c>
      <c r="N59" s="893" t="str">
        <f ca="1">IFERROR(_xll.qlRateHelperQuoteName(M59,Trigger),"--")</f>
        <v>--</v>
      </c>
      <c r="O59" s="892" t="str">
        <f ca="1">IFERROR(_xll.qlRateHelperQuoteValue($M59,Trigger),"--")</f>
        <v>--</v>
      </c>
      <c r="P59" s="969" t="b">
        <v>0</v>
      </c>
      <c r="Q59" s="890">
        <v>50</v>
      </c>
      <c r="R59" s="890">
        <v>1</v>
      </c>
      <c r="S59" s="889" t="str">
        <f ca="1">IFERROR(_xll.qlRateHelperEarliestDate(M59,Trigger),"--")</f>
        <v>--</v>
      </c>
      <c r="T59" s="889" t="str">
        <f ca="1">IFERROR(_xll.qlRateHelperPillarDate(M59,Trigger),"--")</f>
        <v>--</v>
      </c>
      <c r="V59" s="4" t="str">
        <f t="shared" ca="1" si="3"/>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33</v>
      </c>
      <c r="C60" s="874" t="s">
        <v>324</v>
      </c>
      <c r="D60" s="874" t="s">
        <v>323</v>
      </c>
      <c r="E60" s="874" t="s">
        <v>322</v>
      </c>
      <c r="F60" s="874" t="s">
        <v>221</v>
      </c>
      <c r="G60" s="874" t="str">
        <f t="shared" si="15"/>
        <v>Euribor6M</v>
      </c>
      <c r="H60" s="873" t="str">
        <f t="shared" si="16"/>
        <v>EURAB6E23Y_Quote</v>
      </c>
      <c r="I60" s="876">
        <v>0</v>
      </c>
      <c r="J60" s="43"/>
      <c r="L60" s="894" t="str">
        <f t="shared" si="13"/>
        <v>Sw</v>
      </c>
      <c r="M60" s="890" t="str">
        <f t="shared" si="14"/>
        <v>--</v>
      </c>
      <c r="N60" s="893" t="str">
        <f ca="1">IFERROR(_xll.qlRateHelperQuoteName(M60,Trigger),"--")</f>
        <v>--</v>
      </c>
      <c r="O60" s="892" t="str">
        <f ca="1">IFERROR(_xll.qlRateHelperQuoteValue($M60,Trigger),"--")</f>
        <v>--</v>
      </c>
      <c r="P60" s="969" t="b">
        <v>0</v>
      </c>
      <c r="Q60" s="890">
        <v>50</v>
      </c>
      <c r="R60" s="890">
        <v>1</v>
      </c>
      <c r="S60" s="889" t="str">
        <f ca="1">IFERROR(_xll.qlRateHelperEarliestDate(M60,Trigger),"--")</f>
        <v>--</v>
      </c>
      <c r="T60" s="889" t="str">
        <f ca="1">IFERROR(_xll.qlRateHelperPillarDate(M60,Trigger),"--")</f>
        <v>--</v>
      </c>
      <c r="V60" s="4" t="str">
        <f t="shared" ca="1" si="3"/>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32</v>
      </c>
      <c r="C61" s="874" t="s">
        <v>324</v>
      </c>
      <c r="D61" s="874" t="s">
        <v>323</v>
      </c>
      <c r="E61" s="874" t="s">
        <v>322</v>
      </c>
      <c r="F61" s="874" t="s">
        <v>221</v>
      </c>
      <c r="G61" s="874" t="str">
        <f t="shared" si="15"/>
        <v>Euribor6M</v>
      </c>
      <c r="H61" s="873" t="str">
        <f t="shared" si="16"/>
        <v>EURAB6E24Y_Quote</v>
      </c>
      <c r="I61" s="876">
        <v>0</v>
      </c>
      <c r="J61" s="43"/>
      <c r="L61" s="894" t="str">
        <f t="shared" si="13"/>
        <v>Sw</v>
      </c>
      <c r="M61" s="890" t="str">
        <f t="shared" si="14"/>
        <v>--</v>
      </c>
      <c r="N61" s="893" t="str">
        <f ca="1">IFERROR(_xll.qlRateHelperQuoteName(M61,Trigger),"--")</f>
        <v>--</v>
      </c>
      <c r="O61" s="892" t="str">
        <f ca="1">IFERROR(_xll.qlRateHelperQuoteValue($M61,Trigger),"--")</f>
        <v>--</v>
      </c>
      <c r="P61" s="969" t="b">
        <v>0</v>
      </c>
      <c r="Q61" s="890">
        <v>50</v>
      </c>
      <c r="R61" s="890">
        <v>1</v>
      </c>
      <c r="S61" s="889" t="str">
        <f ca="1">IFERROR(_xll.qlRateHelperEarliestDate(M61,Trigger),"--")</f>
        <v>--</v>
      </c>
      <c r="T61" s="889" t="str">
        <f ca="1">IFERROR(_xll.qlRateHelperPillarDate(M61,Trigger),"--")</f>
        <v>--</v>
      </c>
      <c r="V61" s="4" t="str">
        <f t="shared" ca="1" si="3"/>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31</v>
      </c>
      <c r="C62" s="874" t="s">
        <v>324</v>
      </c>
      <c r="D62" s="874" t="s">
        <v>323</v>
      </c>
      <c r="E62" s="874" t="s">
        <v>322</v>
      </c>
      <c r="F62" s="874" t="s">
        <v>221</v>
      </c>
      <c r="G62" s="874" t="str">
        <f t="shared" si="15"/>
        <v>Euribor6M</v>
      </c>
      <c r="H62" s="873" t="str">
        <f t="shared" si="16"/>
        <v>EURAB6E25Y_Quote</v>
      </c>
      <c r="I62" s="876">
        <v>0</v>
      </c>
      <c r="J62" s="43" t="e">
        <f ca="1">_xll.qlSwapRateHelper2(,H62,2,B62,Calendar,D62,E62,F62,G62,I62,C62,Discounting,PillarDate,,Permanent,Trigger,ObjectOverwrite)</f>
        <v>#NAME?</v>
      </c>
      <c r="L62" s="894" t="str">
        <f t="shared" si="13"/>
        <v>Sw</v>
      </c>
      <c r="M62" s="890" t="str">
        <f t="shared" si="14"/>
        <v>--</v>
      </c>
      <c r="N62" s="893" t="str">
        <f ca="1">IFERROR(_xll.qlRateHelperQuoteName(M62,Trigger),"--")</f>
        <v>--</v>
      </c>
      <c r="O62" s="892" t="str">
        <f ca="1">IFERROR(_xll.qlRateHelperQuoteValue($M62,Trigger),"--")</f>
        <v>--</v>
      </c>
      <c r="P62" s="969" t="b">
        <v>0</v>
      </c>
      <c r="Q62" s="890">
        <v>50</v>
      </c>
      <c r="R62" s="890">
        <v>1</v>
      </c>
      <c r="S62" s="889" t="str">
        <f ca="1">IFERROR(_xll.qlRateHelperEarliestDate(M62,Trigger),"--")</f>
        <v>--</v>
      </c>
      <c r="T62" s="889" t="str">
        <f ca="1">IFERROR(_xll.qlRateHelperPillarDate(M62,Trigger),"--")</f>
        <v>--</v>
      </c>
      <c r="V62" s="4" t="str">
        <f t="shared" ca="1" si="3"/>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30</v>
      </c>
      <c r="C63" s="874" t="s">
        <v>324</v>
      </c>
      <c r="D63" s="874" t="s">
        <v>323</v>
      </c>
      <c r="E63" s="874" t="s">
        <v>322</v>
      </c>
      <c r="F63" s="874" t="s">
        <v>221</v>
      </c>
      <c r="G63" s="874" t="str">
        <f t="shared" si="15"/>
        <v>Euribor6M</v>
      </c>
      <c r="H63" s="873" t="str">
        <f t="shared" si="16"/>
        <v>EURAB6E26Y_Quote</v>
      </c>
      <c r="I63" s="876">
        <v>0</v>
      </c>
      <c r="J63" s="43"/>
      <c r="L63" s="894" t="str">
        <f t="shared" si="13"/>
        <v>Sw</v>
      </c>
      <c r="M63" s="890" t="e">
        <f t="shared" ca="1" si="14"/>
        <v>#NAME?</v>
      </c>
      <c r="N63" s="893" t="str">
        <f ca="1">IFERROR(_xll.qlRateHelperQuoteName(M63,Trigger),"--")</f>
        <v>--</v>
      </c>
      <c r="O63" s="892" t="str">
        <f ca="1">IFERROR(_xll.qlRateHelperQuoteValue($M63,Trigger),"--")</f>
        <v>--</v>
      </c>
      <c r="P63" s="969" t="b">
        <v>1</v>
      </c>
      <c r="Q63" s="890">
        <v>50</v>
      </c>
      <c r="R63" s="890">
        <v>1</v>
      </c>
      <c r="S63" s="889" t="str">
        <f ca="1">IFERROR(_xll.qlRateHelperEarliestDate(M63,Trigger),"--")</f>
        <v>--</v>
      </c>
      <c r="T63" s="889" t="str">
        <f ca="1">IFERROR(_xll.qlRateHelperPillarDate(M63,Trigger),"--")</f>
        <v>--</v>
      </c>
      <c r="V63" s="4" t="str">
        <f t="shared" ca="1" si="3"/>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29</v>
      </c>
      <c r="C64" s="874" t="s">
        <v>324</v>
      </c>
      <c r="D64" s="874" t="s">
        <v>323</v>
      </c>
      <c r="E64" s="874" t="s">
        <v>322</v>
      </c>
      <c r="F64" s="874" t="s">
        <v>221</v>
      </c>
      <c r="G64" s="874" t="str">
        <f t="shared" si="15"/>
        <v>Euribor6M</v>
      </c>
      <c r="H64" s="873" t="str">
        <f t="shared" si="16"/>
        <v>EURAB6E27Y_Quote</v>
      </c>
      <c r="I64" s="876">
        <v>0</v>
      </c>
      <c r="J64" s="43"/>
      <c r="L64" s="894" t="str">
        <f t="shared" si="13"/>
        <v>Sw</v>
      </c>
      <c r="M64" s="890" t="e">
        <f t="shared" ca="1" si="14"/>
        <v>#NAME?</v>
      </c>
      <c r="N64" s="893" t="str">
        <f ca="1">IFERROR(_xll.qlRateHelperQuoteName(M64,Trigger),"--")</f>
        <v>--</v>
      </c>
      <c r="O64" s="892" t="str">
        <f ca="1">IFERROR(_xll.qlRateHelperQuoteValue($M64,Trigger),"--")</f>
        <v>--</v>
      </c>
      <c r="P64" s="969" t="b">
        <v>1</v>
      </c>
      <c r="Q64" s="890">
        <v>50</v>
      </c>
      <c r="R64" s="890">
        <v>1</v>
      </c>
      <c r="S64" s="889" t="str">
        <f ca="1">IFERROR(_xll.qlRateHelperEarliestDate(M64,Trigger),"--")</f>
        <v>--</v>
      </c>
      <c r="T64" s="889" t="str">
        <f ca="1">IFERROR(_xll.qlRateHelperPillarDate(M64,Trigger),"--")</f>
        <v>--</v>
      </c>
      <c r="V64" s="4" t="str">
        <f t="shared" ca="1" si="3"/>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28</v>
      </c>
      <c r="C65" s="874" t="s">
        <v>324</v>
      </c>
      <c r="D65" s="874" t="s">
        <v>323</v>
      </c>
      <c r="E65" s="874" t="s">
        <v>322</v>
      </c>
      <c r="F65" s="874" t="s">
        <v>221</v>
      </c>
      <c r="G65" s="874" t="str">
        <f t="shared" si="15"/>
        <v>Euribor6M</v>
      </c>
      <c r="H65" s="873" t="str">
        <f t="shared" si="16"/>
        <v>EURAB6E28Y_Quote</v>
      </c>
      <c r="I65" s="876">
        <v>0</v>
      </c>
      <c r="J65" s="43"/>
      <c r="L65" s="894" t="str">
        <f t="shared" si="13"/>
        <v>Sw</v>
      </c>
      <c r="M65" s="890" t="e">
        <f t="shared" ca="1" si="14"/>
        <v>#NAME?</v>
      </c>
      <c r="N65" s="893" t="str">
        <f ca="1">IFERROR(_xll.qlRateHelperQuoteName(M65,Trigger),"--")</f>
        <v>--</v>
      </c>
      <c r="O65" s="892" t="str">
        <f ca="1">IFERROR(_xll.qlRateHelperQuoteValue($M65,Trigger),"--")</f>
        <v>--</v>
      </c>
      <c r="P65" s="969" t="b">
        <v>1</v>
      </c>
      <c r="Q65" s="890">
        <v>50</v>
      </c>
      <c r="R65" s="890">
        <v>1</v>
      </c>
      <c r="S65" s="889" t="str">
        <f ca="1">IFERROR(_xll.qlRateHelperEarliestDate(M65,Trigger),"--")</f>
        <v>--</v>
      </c>
      <c r="T65" s="889" t="str">
        <f ca="1">IFERROR(_xll.qlRateHelperPillarDate(M65,Trigger),"--")</f>
        <v>--</v>
      </c>
      <c r="V65" s="4" t="str">
        <f t="shared" ca="1" si="3"/>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27</v>
      </c>
      <c r="C66" s="874" t="s">
        <v>324</v>
      </c>
      <c r="D66" s="874" t="s">
        <v>323</v>
      </c>
      <c r="E66" s="874" t="s">
        <v>322</v>
      </c>
      <c r="F66" s="874" t="s">
        <v>221</v>
      </c>
      <c r="G66" s="874" t="str">
        <f t="shared" si="15"/>
        <v>Euribor6M</v>
      </c>
      <c r="H66" s="873" t="str">
        <f t="shared" si="16"/>
        <v>EURAB6E29Y_Quote</v>
      </c>
      <c r="I66" s="876">
        <v>0</v>
      </c>
      <c r="J66" s="43"/>
      <c r="L66" s="894" t="str">
        <f t="shared" si="13"/>
        <v>Sw</v>
      </c>
      <c r="M66" s="890" t="e">
        <f t="shared" ca="1" si="14"/>
        <v>#NAME?</v>
      </c>
      <c r="N66" s="893" t="str">
        <f ca="1">IFERROR(_xll.qlRateHelperQuoteName(M66,Trigger),"--")</f>
        <v>--</v>
      </c>
      <c r="O66" s="892" t="str">
        <f ca="1">IFERROR(_xll.qlRateHelperQuoteValue($M66,Trigger),"--")</f>
        <v>--</v>
      </c>
      <c r="P66" s="969" t="b">
        <v>1</v>
      </c>
      <c r="Q66" s="890">
        <v>50</v>
      </c>
      <c r="R66" s="890">
        <v>1</v>
      </c>
      <c r="S66" s="889" t="str">
        <f ca="1">IFERROR(_xll.qlRateHelperEarliestDate(M66,Trigger),"--")</f>
        <v>--</v>
      </c>
      <c r="T66" s="889" t="str">
        <f ca="1">IFERROR(_xll.qlRateHelperPillarDate(M66,Trigger),"--")</f>
        <v>--</v>
      </c>
      <c r="V66" s="4" t="str">
        <f t="shared" ca="1" si="3"/>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26</v>
      </c>
      <c r="C67" s="874" t="s">
        <v>324</v>
      </c>
      <c r="D67" s="874" t="s">
        <v>323</v>
      </c>
      <c r="E67" s="874" t="s">
        <v>322</v>
      </c>
      <c r="F67" s="874" t="s">
        <v>221</v>
      </c>
      <c r="G67" s="874" t="str">
        <f t="shared" si="15"/>
        <v>Euribor6M</v>
      </c>
      <c r="H67" s="873" t="str">
        <f t="shared" si="16"/>
        <v>EURAB6E30Y_Quote</v>
      </c>
      <c r="I67" s="876">
        <v>0</v>
      </c>
      <c r="J67" s="43" t="e">
        <f ca="1">_xll.qlSwapRateHelper2(,H67,2,B67,Calendar,D67,E67,F67,G67,I67,C67,Discounting,PillarDate,,Permanent,Trigger,ObjectOverwrite)</f>
        <v>#NAME?</v>
      </c>
      <c r="L67" s="894" t="str">
        <f t="shared" si="13"/>
        <v>Sw</v>
      </c>
      <c r="M67" s="890" t="e">
        <f t="shared" ca="1" si="14"/>
        <v>#NAME?</v>
      </c>
      <c r="N67" s="893" t="str">
        <f ca="1">IFERROR(_xll.qlRateHelperQuoteName(M67,Trigger),"--")</f>
        <v>--</v>
      </c>
      <c r="O67" s="892" t="str">
        <f ca="1">IFERROR(_xll.qlRateHelperQuoteValue($M67,Trigger),"--")</f>
        <v>--</v>
      </c>
      <c r="P67" s="969" t="b">
        <v>1</v>
      </c>
      <c r="Q67" s="890">
        <v>50</v>
      </c>
      <c r="R67" s="890">
        <v>1</v>
      </c>
      <c r="S67" s="889" t="str">
        <f ca="1">IFERROR(_xll.qlRateHelperEarliestDate(M67,Trigger),"--")</f>
        <v>--</v>
      </c>
      <c r="T67" s="889" t="str">
        <f ca="1">IFERROR(_xll.qlRateHelperPillarDate(M67,Trigger),"--")</f>
        <v>--</v>
      </c>
      <c r="V67" s="4" t="str">
        <f t="shared" ref="V67:V130" ca="1" si="17">IFERROR(INDEX($L$3:$L$391,MATCH(X67,$N$3:$N$391,0),1),"")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25</v>
      </c>
      <c r="C68" s="874" t="s">
        <v>324</v>
      </c>
      <c r="D68" s="874" t="s">
        <v>323</v>
      </c>
      <c r="E68" s="874" t="s">
        <v>322</v>
      </c>
      <c r="F68" s="874" t="s">
        <v>221</v>
      </c>
      <c r="G68" s="874" t="str">
        <f t="shared" si="15"/>
        <v>Euribor6M</v>
      </c>
      <c r="H68" s="873" t="str">
        <f t="shared" si="16"/>
        <v>EURAB6E35Y_Quote</v>
      </c>
      <c r="I68" s="876">
        <v>0</v>
      </c>
      <c r="J68" s="43" t="e">
        <f ca="1">_xll.qlSwapRateHelper2(,H68,2,B68,Calendar,D68,E68,F68,G68,I68,C68,Discounting,PillarDate,,Permanent,Trigger,ObjectOverwrite)</f>
        <v>#NAME?</v>
      </c>
      <c r="L68" s="908" t="str">
        <f t="shared" ref="L68:L131" si="18">A74</f>
        <v>FwdSw</v>
      </c>
      <c r="M68" s="904" t="str">
        <f t="shared" ref="M68:M131" si="19">IF(ISBLANK(J74),"--",J74)</f>
        <v>--</v>
      </c>
      <c r="N68" s="907" t="str">
        <f ca="1">IFERROR(_xll.qlRateHelperQuoteName(M68,Trigger),"--")</f>
        <v>--</v>
      </c>
      <c r="O68" s="906" t="str">
        <f ca="1">IFERROR(_xll.qlRateHelperQuoteValue($M68,Trigger),"--")</f>
        <v>--</v>
      </c>
      <c r="P68" s="970" t="b">
        <v>0</v>
      </c>
      <c r="Q68" s="904">
        <v>50</v>
      </c>
      <c r="R68" s="904">
        <v>1</v>
      </c>
      <c r="S68" s="903" t="str">
        <f ca="1">IFERROR(_xll.qlRateHelperEarliestDate(M68,Trigger),"--")</f>
        <v>--</v>
      </c>
      <c r="T68" s="903"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24</v>
      </c>
      <c r="C69" s="874" t="s">
        <v>324</v>
      </c>
      <c r="D69" s="874" t="s">
        <v>323</v>
      </c>
      <c r="E69" s="874" t="s">
        <v>322</v>
      </c>
      <c r="F69" s="874" t="s">
        <v>221</v>
      </c>
      <c r="G69" s="874" t="str">
        <f t="shared" si="15"/>
        <v>Euribor6M</v>
      </c>
      <c r="H69" s="873" t="str">
        <f t="shared" si="16"/>
        <v>EURAB6E40Y_Quote</v>
      </c>
      <c r="I69" s="876">
        <v>0</v>
      </c>
      <c r="J69" s="43" t="e">
        <f ca="1">_xll.qlSwapRateHelper2(,H69,2,B69,Calendar,D69,E69,F69,G69,I69,C69,Discounting,PillarDate,,Permanent,Trigger,ObjectOverwrite)</f>
        <v>#NAME?</v>
      </c>
      <c r="L69" s="894" t="str">
        <f t="shared" si="18"/>
        <v>FwdSw</v>
      </c>
      <c r="M69" s="890" t="str">
        <f t="shared" si="19"/>
        <v>--</v>
      </c>
      <c r="N69" s="893" t="str">
        <f ca="1">IFERROR(_xll.qlRateHelperQuoteName(M69,Trigger),"--")</f>
        <v>--</v>
      </c>
      <c r="O69" s="892" t="str">
        <f ca="1">IFERROR(_xll.qlRateHelperQuoteValue($M69,Trigger),"--")</f>
        <v>--</v>
      </c>
      <c r="P69" s="969" t="b">
        <v>0</v>
      </c>
      <c r="Q69" s="890">
        <v>50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23</v>
      </c>
      <c r="C70" s="874" t="s">
        <v>324</v>
      </c>
      <c r="D70" s="874" t="s">
        <v>323</v>
      </c>
      <c r="E70" s="874" t="s">
        <v>322</v>
      </c>
      <c r="F70" s="874" t="s">
        <v>221</v>
      </c>
      <c r="G70" s="874" t="str">
        <f t="shared" si="15"/>
        <v>Euribor6M</v>
      </c>
      <c r="H70" s="873" t="str">
        <f t="shared" si="16"/>
        <v>EURAB6E50Y_Quote</v>
      </c>
      <c r="I70" s="872">
        <v>0</v>
      </c>
      <c r="J70" s="43" t="e">
        <f ca="1">_xll.qlSwapRateHelper2(,H70,2,B70,Calendar,D70,E70,F70,G70,I70,C70,Discounting,PillarDate,,Permanent,Trigger,ObjectOverwrite)</f>
        <v>#NAME?</v>
      </c>
      <c r="L70" s="894" t="str">
        <f t="shared" si="18"/>
        <v>FwdSw</v>
      </c>
      <c r="M70" s="890" t="str">
        <f t="shared" si="19"/>
        <v>--</v>
      </c>
      <c r="N70" s="893" t="str">
        <f ca="1">IFERROR(_xll.qlRateHelperQuoteName(M70,Trigger),"--")</f>
        <v>--</v>
      </c>
      <c r="O70" s="892" t="str">
        <f ca="1">IFERROR(_xll.qlRateHelperQuoteValue($M70,Trigger),"--")</f>
        <v>--</v>
      </c>
      <c r="P70" s="969" t="b">
        <v>0</v>
      </c>
      <c r="Q70" s="890">
        <v>50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69" t="s">
        <v>404</v>
      </c>
      <c r="B71" s="871" t="s">
        <v>22</v>
      </c>
      <c r="C71" s="870" t="s">
        <v>324</v>
      </c>
      <c r="D71" s="870" t="s">
        <v>323</v>
      </c>
      <c r="E71" s="870" t="s">
        <v>322</v>
      </c>
      <c r="F71" s="870" t="s">
        <v>221</v>
      </c>
      <c r="G71" s="870" t="str">
        <f t="shared" si="15"/>
        <v>Euribor6M</v>
      </c>
      <c r="H71" s="869" t="str">
        <f t="shared" si="16"/>
        <v>EURAB6E60Y_Quote</v>
      </c>
      <c r="I71" s="868">
        <v>0</v>
      </c>
      <c r="J71" s="38" t="e">
        <f ca="1">_xll.qlSwapRateHelper2(,H71,2,B71,Calendar,D71,E71,F71,G71,I71,C71,Discounting,PillarDate,,Permanent,Trigger,ObjectOverwrite)</f>
        <v>#NAME?</v>
      </c>
      <c r="L71" s="894" t="str">
        <f t="shared" si="18"/>
        <v>FwdSw</v>
      </c>
      <c r="M71" s="890" t="str">
        <f t="shared" si="19"/>
        <v>--</v>
      </c>
      <c r="N71" s="893" t="str">
        <f ca="1">IFERROR(_xll.qlRateHelperQuoteName(M71,Trigger),"--")</f>
        <v>--</v>
      </c>
      <c r="O71" s="892" t="str">
        <f ca="1">IFERROR(_xll.qlRateHelperQuoteValue($M71,Trigger),"--")</f>
        <v>--</v>
      </c>
      <c r="P71" s="969" t="b">
        <v>0</v>
      </c>
      <c r="Q71" s="890">
        <v>50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L72" s="894" t="str">
        <f t="shared" si="18"/>
        <v>FwdSw</v>
      </c>
      <c r="M72" s="890" t="str">
        <f t="shared" si="19"/>
        <v>--</v>
      </c>
      <c r="N72" s="893" t="str">
        <f ca="1">IFERROR(_xll.qlRateHelperQuoteName(M72,Trigger),"--")</f>
        <v>--</v>
      </c>
      <c r="O72" s="892" t="str">
        <f ca="1">IFERROR(_xll.qlRateHelperQuoteValue($M72,Trigger),"--")</f>
        <v>--</v>
      </c>
      <c r="P72" s="969" t="b">
        <v>0</v>
      </c>
      <c r="Q72" s="890">
        <v>50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145" t="s">
        <v>388</v>
      </c>
      <c r="B73" s="145" t="s">
        <v>107</v>
      </c>
      <c r="C73" s="145" t="s">
        <v>387</v>
      </c>
      <c r="D73" s="145" t="s">
        <v>330</v>
      </c>
      <c r="E73" s="145" t="s">
        <v>386</v>
      </c>
      <c r="F73" s="145" t="s">
        <v>385</v>
      </c>
      <c r="G73" s="145" t="s">
        <v>14</v>
      </c>
      <c r="H73" s="145" t="s">
        <v>384</v>
      </c>
      <c r="I73" s="145" t="s">
        <v>62</v>
      </c>
      <c r="J73" s="145" t="s">
        <v>383</v>
      </c>
      <c r="L73" s="894" t="str">
        <f t="shared" si="18"/>
        <v>FwdSw</v>
      </c>
      <c r="M73" s="890" t="str">
        <f t="shared" si="19"/>
        <v>--</v>
      </c>
      <c r="N73" s="893" t="str">
        <f ca="1">IFERROR(_xll.qlRateHelperQuoteName(M73,Trigger),"--")</f>
        <v>--</v>
      </c>
      <c r="O73" s="892" t="str">
        <f ca="1">IFERROR(_xll.qlRateHelperQuoteValue($M73,Trigger),"--")</f>
        <v>--</v>
      </c>
      <c r="P73" s="969" t="b">
        <v>0</v>
      </c>
      <c r="Q73" s="890">
        <v>50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96" t="s">
        <v>410</v>
      </c>
      <c r="B74" s="898" t="s">
        <v>58</v>
      </c>
      <c r="C74" s="897" t="s">
        <v>58</v>
      </c>
      <c r="D74" s="897" t="s">
        <v>323</v>
      </c>
      <c r="E74" s="897" t="s">
        <v>322</v>
      </c>
      <c r="F74" s="897" t="s">
        <v>221</v>
      </c>
      <c r="G74" s="897" t="str">
        <f t="shared" ref="G74:G137" si="20">PROPER(Currency)&amp;FamilyName&amp;Tenor</f>
        <v>Euribor6M</v>
      </c>
      <c r="H74" s="896" t="str">
        <f t="shared" ref="H74:H137" si="21">Currency&amp;SUBSTITUTE(C74,"Y","F")&amp;B74&amp;QuoteSuffix</f>
        <v>EUR1F1Y_Quote</v>
      </c>
      <c r="I74" s="895">
        <v>0</v>
      </c>
      <c r="J74" s="43"/>
      <c r="L74" s="894" t="str">
        <f t="shared" si="18"/>
        <v>FwdSw</v>
      </c>
      <c r="M74" s="890" t="str">
        <f t="shared" si="19"/>
        <v>--</v>
      </c>
      <c r="N74" s="893" t="str">
        <f ca="1">IFERROR(_xll.qlRateHelperQuoteName(M74,Trigger),"--")</f>
        <v>--</v>
      </c>
      <c r="O74" s="892" t="str">
        <f ca="1">IFERROR(_xll.qlRateHelperQuoteValue($M74,Trigger),"--")</f>
        <v>--</v>
      </c>
      <c r="P74" s="969" t="b">
        <v>0</v>
      </c>
      <c r="Q74" s="890">
        <v>50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410</v>
      </c>
      <c r="B75" s="875" t="s">
        <v>54</v>
      </c>
      <c r="C75" s="874" t="s">
        <v>58</v>
      </c>
      <c r="D75" s="874" t="s">
        <v>323</v>
      </c>
      <c r="E75" s="874" t="s">
        <v>322</v>
      </c>
      <c r="F75" s="874" t="s">
        <v>221</v>
      </c>
      <c r="G75" s="874" t="str">
        <f t="shared" si="20"/>
        <v>Euribor6M</v>
      </c>
      <c r="H75" s="873" t="str">
        <f t="shared" si="21"/>
        <v>EUR1F2Y_Quote</v>
      </c>
      <c r="I75" s="876">
        <v>0</v>
      </c>
      <c r="J75" s="43"/>
      <c r="L75" s="894" t="str">
        <f t="shared" si="18"/>
        <v>FwdSw</v>
      </c>
      <c r="M75" s="890" t="str">
        <f t="shared" si="19"/>
        <v>--</v>
      </c>
      <c r="N75" s="893" t="str">
        <f ca="1">IFERROR(_xll.qlRateHelperQuoteName(M75,Trigger),"--")</f>
        <v>--</v>
      </c>
      <c r="O75" s="892" t="str">
        <f ca="1">IFERROR(_xll.qlRateHelperQuoteValue($M75,Trigger),"--")</f>
        <v>--</v>
      </c>
      <c r="P75" s="969" t="b">
        <v>0</v>
      </c>
      <c r="Q75" s="890">
        <v>50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410</v>
      </c>
      <c r="B76" s="875" t="s">
        <v>53</v>
      </c>
      <c r="C76" s="874" t="s">
        <v>58</v>
      </c>
      <c r="D76" s="874" t="s">
        <v>323</v>
      </c>
      <c r="E76" s="874" t="s">
        <v>322</v>
      </c>
      <c r="F76" s="874" t="s">
        <v>221</v>
      </c>
      <c r="G76" s="874" t="str">
        <f t="shared" si="20"/>
        <v>Euribor6M</v>
      </c>
      <c r="H76" s="873" t="str">
        <f t="shared" si="21"/>
        <v>EUR1F3Y_Quote</v>
      </c>
      <c r="I76" s="876">
        <v>0</v>
      </c>
      <c r="J76" s="43"/>
      <c r="L76" s="894" t="str">
        <f t="shared" si="18"/>
        <v>FwdSw</v>
      </c>
      <c r="M76" s="890" t="str">
        <f t="shared" si="19"/>
        <v>--</v>
      </c>
      <c r="N76" s="893" t="str">
        <f ca="1">IFERROR(_xll.qlRateHelperQuoteName(M76,Trigger),"--")</f>
        <v>--</v>
      </c>
      <c r="O76" s="892" t="str">
        <f ca="1">IFERROR(_xll.qlRateHelperQuoteValue($M76,Trigger),"--")</f>
        <v>--</v>
      </c>
      <c r="P76" s="969" t="b">
        <v>0</v>
      </c>
      <c r="Q76" s="890">
        <v>50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410</v>
      </c>
      <c r="B77" s="875" t="s">
        <v>52</v>
      </c>
      <c r="C77" s="874" t="s">
        <v>58</v>
      </c>
      <c r="D77" s="874" t="s">
        <v>323</v>
      </c>
      <c r="E77" s="874" t="s">
        <v>322</v>
      </c>
      <c r="F77" s="874" t="s">
        <v>221</v>
      </c>
      <c r="G77" s="874" t="str">
        <f t="shared" si="20"/>
        <v>Euribor6M</v>
      </c>
      <c r="H77" s="873" t="str">
        <f t="shared" si="21"/>
        <v>EUR1F4Y_Quote</v>
      </c>
      <c r="I77" s="876">
        <v>0</v>
      </c>
      <c r="J77" s="43"/>
      <c r="L77" s="894" t="str">
        <f t="shared" si="18"/>
        <v>FwdSw</v>
      </c>
      <c r="M77" s="890" t="str">
        <f t="shared" si="19"/>
        <v>--</v>
      </c>
      <c r="N77" s="893" t="str">
        <f ca="1">IFERROR(_xll.qlRateHelperQuoteName(M77,Trigger),"--")</f>
        <v>--</v>
      </c>
      <c r="O77" s="892" t="str">
        <f ca="1">IFERROR(_xll.qlRateHelperQuoteValue($M77,Trigger),"--")</f>
        <v>--</v>
      </c>
      <c r="P77" s="969" t="b">
        <v>0</v>
      </c>
      <c r="Q77" s="890">
        <v>50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410</v>
      </c>
      <c r="B78" s="875" t="s">
        <v>51</v>
      </c>
      <c r="C78" s="874" t="s">
        <v>58</v>
      </c>
      <c r="D78" s="874" t="s">
        <v>323</v>
      </c>
      <c r="E78" s="874" t="s">
        <v>322</v>
      </c>
      <c r="F78" s="874" t="s">
        <v>221</v>
      </c>
      <c r="G78" s="874" t="str">
        <f t="shared" si="20"/>
        <v>Euribor6M</v>
      </c>
      <c r="H78" s="873" t="str">
        <f t="shared" si="21"/>
        <v>EUR1F5Y_Quote</v>
      </c>
      <c r="I78" s="876">
        <v>0</v>
      </c>
      <c r="J78" s="43"/>
      <c r="L78" s="894" t="str">
        <f t="shared" si="18"/>
        <v>FwdSw</v>
      </c>
      <c r="M78" s="890" t="str">
        <f t="shared" si="19"/>
        <v>--</v>
      </c>
      <c r="N78" s="893" t="str">
        <f ca="1">IFERROR(_xll.qlRateHelperQuoteName(M78,Trigger),"--")</f>
        <v>--</v>
      </c>
      <c r="O78" s="892" t="str">
        <f ca="1">IFERROR(_xll.qlRateHelperQuoteValue($M78,Trigger),"--")</f>
        <v>--</v>
      </c>
      <c r="P78" s="969" t="b">
        <v>0</v>
      </c>
      <c r="Q78" s="890">
        <v>50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410</v>
      </c>
      <c r="B79" s="875" t="s">
        <v>50</v>
      </c>
      <c r="C79" s="874" t="s">
        <v>58</v>
      </c>
      <c r="D79" s="874" t="s">
        <v>323</v>
      </c>
      <c r="E79" s="874" t="s">
        <v>322</v>
      </c>
      <c r="F79" s="874" t="s">
        <v>221</v>
      </c>
      <c r="G79" s="874" t="str">
        <f t="shared" si="20"/>
        <v>Euribor6M</v>
      </c>
      <c r="H79" s="873" t="str">
        <f t="shared" si="21"/>
        <v>EUR1F6Y_Quote</v>
      </c>
      <c r="I79" s="876">
        <v>0</v>
      </c>
      <c r="J79" s="43"/>
      <c r="L79" s="894" t="str">
        <f t="shared" si="18"/>
        <v>FwdSw</v>
      </c>
      <c r="M79" s="890" t="str">
        <f t="shared" si="19"/>
        <v>--</v>
      </c>
      <c r="N79" s="893" t="str">
        <f ca="1">IFERROR(_xll.qlRateHelperQuoteName(M79,Trigger),"--")</f>
        <v>--</v>
      </c>
      <c r="O79" s="892" t="str">
        <f ca="1">IFERROR(_xll.qlRateHelperQuoteValue($M79,Trigger),"--")</f>
        <v>--</v>
      </c>
      <c r="P79" s="969" t="b">
        <v>0</v>
      </c>
      <c r="Q79" s="890">
        <v>50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410</v>
      </c>
      <c r="B80" s="875" t="s">
        <v>49</v>
      </c>
      <c r="C80" s="874" t="s">
        <v>58</v>
      </c>
      <c r="D80" s="874" t="s">
        <v>323</v>
      </c>
      <c r="E80" s="874" t="s">
        <v>322</v>
      </c>
      <c r="F80" s="874" t="s">
        <v>221</v>
      </c>
      <c r="G80" s="874" t="str">
        <f t="shared" si="20"/>
        <v>Euribor6M</v>
      </c>
      <c r="H80" s="873" t="str">
        <f t="shared" si="21"/>
        <v>EUR1F7Y_Quote</v>
      </c>
      <c r="I80" s="876">
        <v>0</v>
      </c>
      <c r="J80" s="43"/>
      <c r="L80" s="894" t="str">
        <f t="shared" si="18"/>
        <v>FwdSw</v>
      </c>
      <c r="M80" s="890" t="str">
        <f t="shared" si="19"/>
        <v>--</v>
      </c>
      <c r="N80" s="893" t="str">
        <f ca="1">IFERROR(_xll.qlRateHelperQuoteName(M80,Trigger),"--")</f>
        <v>--</v>
      </c>
      <c r="O80" s="892" t="str">
        <f ca="1">IFERROR(_xll.qlRateHelperQuoteValue($M80,Trigger),"--")</f>
        <v>--</v>
      </c>
      <c r="P80" s="969" t="b">
        <v>0</v>
      </c>
      <c r="Q80" s="890">
        <v>50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410</v>
      </c>
      <c r="B81" s="875" t="s">
        <v>48</v>
      </c>
      <c r="C81" s="874" t="s">
        <v>58</v>
      </c>
      <c r="D81" s="874" t="s">
        <v>323</v>
      </c>
      <c r="E81" s="874" t="s">
        <v>322</v>
      </c>
      <c r="F81" s="874" t="s">
        <v>221</v>
      </c>
      <c r="G81" s="874" t="str">
        <f t="shared" si="20"/>
        <v>Euribor6M</v>
      </c>
      <c r="H81" s="873" t="str">
        <f t="shared" si="21"/>
        <v>EUR1F8Y_Quote</v>
      </c>
      <c r="I81" s="876">
        <v>0</v>
      </c>
      <c r="J81" s="43"/>
      <c r="L81" s="894" t="str">
        <f t="shared" si="18"/>
        <v>FwdSw</v>
      </c>
      <c r="M81" s="890" t="str">
        <f t="shared" si="19"/>
        <v>--</v>
      </c>
      <c r="N81" s="893" t="str">
        <f ca="1">IFERROR(_xll.qlRateHelperQuoteName(M81,Trigger),"--")</f>
        <v>--</v>
      </c>
      <c r="O81" s="892" t="str">
        <f ca="1">IFERROR(_xll.qlRateHelperQuoteValue($M81,Trigger),"--")</f>
        <v>--</v>
      </c>
      <c r="P81" s="969" t="b">
        <v>0</v>
      </c>
      <c r="Q81" s="890">
        <v>50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410</v>
      </c>
      <c r="B82" s="875" t="s">
        <v>47</v>
      </c>
      <c r="C82" s="874" t="s">
        <v>58</v>
      </c>
      <c r="D82" s="874" t="s">
        <v>323</v>
      </c>
      <c r="E82" s="874" t="s">
        <v>322</v>
      </c>
      <c r="F82" s="874" t="s">
        <v>221</v>
      </c>
      <c r="G82" s="874" t="str">
        <f t="shared" si="20"/>
        <v>Euribor6M</v>
      </c>
      <c r="H82" s="873" t="str">
        <f t="shared" si="21"/>
        <v>EUR1F9Y_Quote</v>
      </c>
      <c r="I82" s="876">
        <v>0</v>
      </c>
      <c r="J82" s="43"/>
      <c r="L82" s="894" t="str">
        <f t="shared" si="18"/>
        <v>FwdSw</v>
      </c>
      <c r="M82" s="890" t="str">
        <f t="shared" si="19"/>
        <v>--</v>
      </c>
      <c r="N82" s="893" t="str">
        <f ca="1">IFERROR(_xll.qlRateHelperQuoteName(M82,Trigger),"--")</f>
        <v>--</v>
      </c>
      <c r="O82" s="892" t="str">
        <f ca="1">IFERROR(_xll.qlRateHelperQuoteValue($M82,Trigger),"--")</f>
        <v>--</v>
      </c>
      <c r="P82" s="969" t="b">
        <v>0</v>
      </c>
      <c r="Q82" s="890">
        <v>50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410</v>
      </c>
      <c r="B83" s="875" t="s">
        <v>46</v>
      </c>
      <c r="C83" s="874" t="s">
        <v>58</v>
      </c>
      <c r="D83" s="874" t="s">
        <v>323</v>
      </c>
      <c r="E83" s="874" t="s">
        <v>322</v>
      </c>
      <c r="F83" s="874" t="s">
        <v>221</v>
      </c>
      <c r="G83" s="874" t="str">
        <f t="shared" si="20"/>
        <v>Euribor6M</v>
      </c>
      <c r="H83" s="873" t="str">
        <f t="shared" si="21"/>
        <v>EUR1F10Y_Quote</v>
      </c>
      <c r="I83" s="876">
        <v>0</v>
      </c>
      <c r="J83" s="43"/>
      <c r="L83" s="894" t="str">
        <f t="shared" si="18"/>
        <v>FwdSw</v>
      </c>
      <c r="M83" s="890" t="str">
        <f t="shared" si="19"/>
        <v>--</v>
      </c>
      <c r="N83" s="893" t="str">
        <f ca="1">IFERROR(_xll.qlRateHelperQuoteName(M83,Trigger),"--")</f>
        <v>--</v>
      </c>
      <c r="O83" s="892" t="str">
        <f ca="1">IFERROR(_xll.qlRateHelperQuoteValue($M83,Trigger),"--")</f>
        <v>--</v>
      </c>
      <c r="P83" s="969" t="b">
        <v>0</v>
      </c>
      <c r="Q83" s="890">
        <v>50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410</v>
      </c>
      <c r="B84" s="875" t="s">
        <v>45</v>
      </c>
      <c r="C84" s="874" t="s">
        <v>58</v>
      </c>
      <c r="D84" s="874" t="s">
        <v>323</v>
      </c>
      <c r="E84" s="874" t="s">
        <v>322</v>
      </c>
      <c r="F84" s="874" t="s">
        <v>221</v>
      </c>
      <c r="G84" s="874" t="str">
        <f t="shared" si="20"/>
        <v>Euribor6M</v>
      </c>
      <c r="H84" s="873" t="str">
        <f t="shared" si="21"/>
        <v>EUR1F11Y_Quote</v>
      </c>
      <c r="I84" s="876">
        <v>0</v>
      </c>
      <c r="J84" s="43"/>
      <c r="L84" s="894" t="str">
        <f t="shared" si="18"/>
        <v>FwdSw</v>
      </c>
      <c r="M84" s="890" t="str">
        <f t="shared" si="19"/>
        <v>--</v>
      </c>
      <c r="N84" s="893" t="str">
        <f ca="1">IFERROR(_xll.qlRateHelperQuoteName(M84,Trigger),"--")</f>
        <v>--</v>
      </c>
      <c r="O84" s="892" t="str">
        <f ca="1">IFERROR(_xll.qlRateHelperQuoteValue($M84,Trigger),"--")</f>
        <v>--</v>
      </c>
      <c r="P84" s="969" t="b">
        <v>0</v>
      </c>
      <c r="Q84" s="890">
        <v>50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410</v>
      </c>
      <c r="B85" s="875" t="s">
        <v>44</v>
      </c>
      <c r="C85" s="874" t="s">
        <v>58</v>
      </c>
      <c r="D85" s="874" t="s">
        <v>323</v>
      </c>
      <c r="E85" s="874" t="s">
        <v>322</v>
      </c>
      <c r="F85" s="874" t="s">
        <v>221</v>
      </c>
      <c r="G85" s="874" t="str">
        <f t="shared" si="20"/>
        <v>Euribor6M</v>
      </c>
      <c r="H85" s="873" t="str">
        <f t="shared" si="21"/>
        <v>EUR1F12Y_Quote</v>
      </c>
      <c r="I85" s="876">
        <v>0</v>
      </c>
      <c r="J85" s="43"/>
      <c r="L85" s="894" t="str">
        <f t="shared" si="18"/>
        <v>FwdSw</v>
      </c>
      <c r="M85" s="890" t="str">
        <f t="shared" si="19"/>
        <v>--</v>
      </c>
      <c r="N85" s="893" t="str">
        <f ca="1">IFERROR(_xll.qlRateHelperQuoteName(M85,Trigger),"--")</f>
        <v>--</v>
      </c>
      <c r="O85" s="892" t="str">
        <f ca="1">IFERROR(_xll.qlRateHelperQuoteValue($M85,Trigger),"--")</f>
        <v>--</v>
      </c>
      <c r="P85" s="969" t="b">
        <v>0</v>
      </c>
      <c r="Q85" s="890">
        <v>50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410</v>
      </c>
      <c r="B86" s="875" t="s">
        <v>43</v>
      </c>
      <c r="C86" s="874" t="s">
        <v>58</v>
      </c>
      <c r="D86" s="874" t="s">
        <v>323</v>
      </c>
      <c r="E86" s="874" t="s">
        <v>322</v>
      </c>
      <c r="F86" s="874" t="s">
        <v>221</v>
      </c>
      <c r="G86" s="874" t="str">
        <f t="shared" si="20"/>
        <v>Euribor6M</v>
      </c>
      <c r="H86" s="873" t="str">
        <f t="shared" si="21"/>
        <v>EUR1F13Y_Quote</v>
      </c>
      <c r="I86" s="876">
        <v>0</v>
      </c>
      <c r="J86" s="43"/>
      <c r="L86" s="894" t="str">
        <f t="shared" si="18"/>
        <v>FwdSw</v>
      </c>
      <c r="M86" s="890" t="str">
        <f t="shared" si="19"/>
        <v>--</v>
      </c>
      <c r="N86" s="893" t="str">
        <f ca="1">IFERROR(_xll.qlRateHelperQuoteName(M86,Trigger),"--")</f>
        <v>--</v>
      </c>
      <c r="O86" s="892" t="str">
        <f ca="1">IFERROR(_xll.qlRateHelperQuoteValue($M86,Trigger),"--")</f>
        <v>--</v>
      </c>
      <c r="P86" s="969" t="b">
        <v>0</v>
      </c>
      <c r="Q86" s="890">
        <v>50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410</v>
      </c>
      <c r="B87" s="875" t="s">
        <v>42</v>
      </c>
      <c r="C87" s="874" t="s">
        <v>58</v>
      </c>
      <c r="D87" s="874" t="s">
        <v>323</v>
      </c>
      <c r="E87" s="874" t="s">
        <v>322</v>
      </c>
      <c r="F87" s="874" t="s">
        <v>221</v>
      </c>
      <c r="G87" s="874" t="str">
        <f t="shared" si="20"/>
        <v>Euribor6M</v>
      </c>
      <c r="H87" s="873" t="str">
        <f t="shared" si="21"/>
        <v>EUR1F14Y_Quote</v>
      </c>
      <c r="I87" s="876">
        <v>0</v>
      </c>
      <c r="J87" s="43"/>
      <c r="L87" s="894" t="str">
        <f t="shared" si="18"/>
        <v>FwdSw</v>
      </c>
      <c r="M87" s="890" t="str">
        <f t="shared" si="19"/>
        <v>--</v>
      </c>
      <c r="N87" s="893" t="str">
        <f ca="1">IFERROR(_xll.qlRateHelperQuoteName(M87,Trigger),"--")</f>
        <v>--</v>
      </c>
      <c r="O87" s="892" t="str">
        <f ca="1">IFERROR(_xll.qlRateHelperQuoteValue($M87,Trigger),"--")</f>
        <v>--</v>
      </c>
      <c r="P87" s="969" t="b">
        <v>0</v>
      </c>
      <c r="Q87" s="890">
        <v>50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410</v>
      </c>
      <c r="B88" s="875" t="s">
        <v>41</v>
      </c>
      <c r="C88" s="874" t="s">
        <v>58</v>
      </c>
      <c r="D88" s="874" t="s">
        <v>323</v>
      </c>
      <c r="E88" s="874" t="s">
        <v>322</v>
      </c>
      <c r="F88" s="874" t="s">
        <v>221</v>
      </c>
      <c r="G88" s="874" t="str">
        <f t="shared" si="20"/>
        <v>Euribor6M</v>
      </c>
      <c r="H88" s="873" t="str">
        <f t="shared" si="21"/>
        <v>EUR1F15Y_Quote</v>
      </c>
      <c r="I88" s="876">
        <v>0</v>
      </c>
      <c r="J88" s="43"/>
      <c r="L88" s="894" t="str">
        <f t="shared" si="18"/>
        <v>FwdSw</v>
      </c>
      <c r="M88" s="890" t="str">
        <f t="shared" si="19"/>
        <v>--</v>
      </c>
      <c r="N88" s="893" t="str">
        <f ca="1">IFERROR(_xll.qlRateHelperQuoteName(M88,Trigger),"--")</f>
        <v>--</v>
      </c>
      <c r="O88" s="892" t="str">
        <f ca="1">IFERROR(_xll.qlRateHelperQuoteValue($M88,Trigger),"--")</f>
        <v>--</v>
      </c>
      <c r="P88" s="969" t="b">
        <v>0</v>
      </c>
      <c r="Q88" s="890">
        <v>50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410</v>
      </c>
      <c r="B89" s="875" t="s">
        <v>36</v>
      </c>
      <c r="C89" s="874" t="s">
        <v>58</v>
      </c>
      <c r="D89" s="874" t="s">
        <v>323</v>
      </c>
      <c r="E89" s="874" t="s">
        <v>322</v>
      </c>
      <c r="F89" s="874" t="s">
        <v>221</v>
      </c>
      <c r="G89" s="874" t="str">
        <f t="shared" si="20"/>
        <v>Euribor6M</v>
      </c>
      <c r="H89" s="873" t="str">
        <f t="shared" si="21"/>
        <v>EUR1F20Y_Quote</v>
      </c>
      <c r="I89" s="876">
        <v>0</v>
      </c>
      <c r="J89" s="43"/>
      <c r="L89" s="894" t="str">
        <f t="shared" si="18"/>
        <v>FwdSw</v>
      </c>
      <c r="M89" s="890" t="str">
        <f t="shared" si="19"/>
        <v>--</v>
      </c>
      <c r="N89" s="893" t="str">
        <f ca="1">IFERROR(_xll.qlRateHelperQuoteName(M89,Trigger),"--")</f>
        <v>--</v>
      </c>
      <c r="O89" s="892" t="str">
        <f ca="1">IFERROR(_xll.qlRateHelperQuoteValue($M89,Trigger),"--")</f>
        <v>--</v>
      </c>
      <c r="P89" s="969" t="b">
        <v>0</v>
      </c>
      <c r="Q89" s="890">
        <v>50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410</v>
      </c>
      <c r="B90" s="875" t="s">
        <v>31</v>
      </c>
      <c r="C90" s="874" t="s">
        <v>58</v>
      </c>
      <c r="D90" s="874" t="s">
        <v>323</v>
      </c>
      <c r="E90" s="874" t="s">
        <v>322</v>
      </c>
      <c r="F90" s="874" t="s">
        <v>221</v>
      </c>
      <c r="G90" s="874" t="str">
        <f t="shared" si="20"/>
        <v>Euribor6M</v>
      </c>
      <c r="H90" s="873" t="str">
        <f t="shared" si="21"/>
        <v>EUR1F25Y_Quote</v>
      </c>
      <c r="I90" s="876">
        <v>0</v>
      </c>
      <c r="J90" s="43"/>
      <c r="K90" s="1" t="s">
        <v>148</v>
      </c>
      <c r="L90" s="894" t="str">
        <f t="shared" si="18"/>
        <v>FwdSw</v>
      </c>
      <c r="M90" s="890" t="str">
        <f t="shared" si="19"/>
        <v>--</v>
      </c>
      <c r="N90" s="893" t="str">
        <f ca="1">IFERROR(_xll.qlRateHelperQuoteName(M90,Trigger),"--")</f>
        <v>--</v>
      </c>
      <c r="O90" s="892" t="str">
        <f ca="1">IFERROR(_xll.qlRateHelperQuoteValue($M90,Trigger),"--")</f>
        <v>--</v>
      </c>
      <c r="P90" s="969" t="b">
        <v>0</v>
      </c>
      <c r="Q90" s="890">
        <v>50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410</v>
      </c>
      <c r="B91" s="875" t="s">
        <v>26</v>
      </c>
      <c r="C91" s="874" t="s">
        <v>58</v>
      </c>
      <c r="D91" s="874" t="s">
        <v>323</v>
      </c>
      <c r="E91" s="874" t="s">
        <v>322</v>
      </c>
      <c r="F91" s="874" t="s">
        <v>221</v>
      </c>
      <c r="G91" s="874" t="str">
        <f t="shared" si="20"/>
        <v>Euribor6M</v>
      </c>
      <c r="H91" s="873" t="str">
        <f t="shared" si="21"/>
        <v>EUR1F30Y_Quote</v>
      </c>
      <c r="I91" s="876">
        <v>0</v>
      </c>
      <c r="J91" s="43"/>
      <c r="L91" s="894" t="str">
        <f t="shared" si="18"/>
        <v>FwdSw</v>
      </c>
      <c r="M91" s="890" t="str">
        <f t="shared" si="19"/>
        <v>--</v>
      </c>
      <c r="N91" s="893" t="str">
        <f ca="1">IFERROR(_xll.qlRateHelperQuoteName(M91,Trigger),"--")</f>
        <v>--</v>
      </c>
      <c r="O91" s="892" t="str">
        <f ca="1">IFERROR(_xll.qlRateHelperQuoteValue($M91,Trigger),"--")</f>
        <v>--</v>
      </c>
      <c r="P91" s="969" t="b">
        <v>0</v>
      </c>
      <c r="Q91" s="890">
        <v>50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96" t="s">
        <v>410</v>
      </c>
      <c r="B92" s="898" t="s">
        <v>58</v>
      </c>
      <c r="C92" s="897" t="s">
        <v>54</v>
      </c>
      <c r="D92" s="897" t="s">
        <v>323</v>
      </c>
      <c r="E92" s="897" t="s">
        <v>322</v>
      </c>
      <c r="F92" s="897" t="s">
        <v>221</v>
      </c>
      <c r="G92" s="897" t="str">
        <f t="shared" si="20"/>
        <v>Euribor6M</v>
      </c>
      <c r="H92" s="896" t="str">
        <f t="shared" si="21"/>
        <v>EUR2F1Y_Quote</v>
      </c>
      <c r="I92" s="895">
        <v>0</v>
      </c>
      <c r="J92" s="47"/>
      <c r="L92" s="894" t="str">
        <f t="shared" si="18"/>
        <v>FwdSw</v>
      </c>
      <c r="M92" s="890" t="str">
        <f t="shared" si="19"/>
        <v>--</v>
      </c>
      <c r="N92" s="893" t="str">
        <f ca="1">IFERROR(_xll.qlRateHelperQuoteName(M92,Trigger),"--")</f>
        <v>--</v>
      </c>
      <c r="O92" s="892" t="str">
        <f ca="1">IFERROR(_xll.qlRateHelperQuoteValue($M92,Trigger),"--")</f>
        <v>--</v>
      </c>
      <c r="P92" s="969" t="b">
        <v>0</v>
      </c>
      <c r="Q92" s="890">
        <v>50</v>
      </c>
      <c r="R92" s="890">
        <v>1</v>
      </c>
      <c r="S92" s="889" t="str">
        <f ca="1">IFERROR(_xll.qlRateHelperEarliestDate(M92,Trigger),"--")</f>
        <v>--</v>
      </c>
      <c r="T92" s="889" t="str">
        <f ca="1">IFERROR(_xll.qlRateHelperPillarDate(M92,Trigger),"--")</f>
        <v>--</v>
      </c>
      <c r="V92" s="4" t="str">
        <f t="shared" ca="1" si="17"/>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873" t="s">
        <v>410</v>
      </c>
      <c r="B93" s="875" t="s">
        <v>54</v>
      </c>
      <c r="C93" s="874" t="s">
        <v>54</v>
      </c>
      <c r="D93" s="874" t="s">
        <v>323</v>
      </c>
      <c r="E93" s="874" t="s">
        <v>322</v>
      </c>
      <c r="F93" s="874" t="s">
        <v>221</v>
      </c>
      <c r="G93" s="874" t="str">
        <f t="shared" si="20"/>
        <v>Euribor6M</v>
      </c>
      <c r="H93" s="873" t="str">
        <f t="shared" si="21"/>
        <v>EUR2F2Y_Quote</v>
      </c>
      <c r="I93" s="876">
        <v>0</v>
      </c>
      <c r="J93" s="43"/>
      <c r="L93" s="894" t="str">
        <f t="shared" si="18"/>
        <v>FwdSw</v>
      </c>
      <c r="M93" s="890" t="str">
        <f t="shared" si="19"/>
        <v>--</v>
      </c>
      <c r="N93" s="893" t="str">
        <f ca="1">IFERROR(_xll.qlRateHelperQuoteName(M93,Trigger),"--")</f>
        <v>--</v>
      </c>
      <c r="O93" s="892" t="str">
        <f ca="1">IFERROR(_xll.qlRateHelperQuoteValue($M93,Trigger),"--")</f>
        <v>--</v>
      </c>
      <c r="P93" s="969" t="b">
        <v>0</v>
      </c>
      <c r="Q93" s="890">
        <v>50</v>
      </c>
      <c r="R93" s="890">
        <v>1</v>
      </c>
      <c r="S93" s="889" t="str">
        <f ca="1">IFERROR(_xll.qlRateHelperEarliestDate(M93,Trigger),"--")</f>
        <v>--</v>
      </c>
      <c r="T93" s="889" t="str">
        <f ca="1">IFERROR(_xll.qlRateHelperPillarDate(M93,Trigger),"--")</f>
        <v>--</v>
      </c>
      <c r="V93" s="4" t="str">
        <f t="shared" ca="1" si="17"/>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873" t="s">
        <v>410</v>
      </c>
      <c r="B94" s="875" t="s">
        <v>53</v>
      </c>
      <c r="C94" s="874" t="s">
        <v>54</v>
      </c>
      <c r="D94" s="874" t="s">
        <v>323</v>
      </c>
      <c r="E94" s="874" t="s">
        <v>322</v>
      </c>
      <c r="F94" s="874" t="s">
        <v>221</v>
      </c>
      <c r="G94" s="874" t="str">
        <f t="shared" si="20"/>
        <v>Euribor6M</v>
      </c>
      <c r="H94" s="873" t="str">
        <f t="shared" si="21"/>
        <v>EUR2F3Y_Quote</v>
      </c>
      <c r="I94" s="876">
        <v>0</v>
      </c>
      <c r="J94" s="43"/>
      <c r="L94" s="894" t="str">
        <f t="shared" si="18"/>
        <v>FwdSw</v>
      </c>
      <c r="M94" s="890" t="str">
        <f t="shared" si="19"/>
        <v>--</v>
      </c>
      <c r="N94" s="893" t="str">
        <f ca="1">IFERROR(_xll.qlRateHelperQuoteName(M94,Trigger),"--")</f>
        <v>--</v>
      </c>
      <c r="O94" s="892" t="str">
        <f ca="1">IFERROR(_xll.qlRateHelperQuoteValue($M94,Trigger),"--")</f>
        <v>--</v>
      </c>
      <c r="P94" s="969" t="b">
        <v>0</v>
      </c>
      <c r="Q94" s="890">
        <v>50</v>
      </c>
      <c r="R94" s="890">
        <v>1</v>
      </c>
      <c r="S94" s="889" t="str">
        <f ca="1">IFERROR(_xll.qlRateHelperEarliestDate(M94,Trigger),"--")</f>
        <v>--</v>
      </c>
      <c r="T94" s="889" t="str">
        <f ca="1">IFERROR(_xll.qlRateHelperPillarDate(M94,Trigger),"--")</f>
        <v>--</v>
      </c>
      <c r="V94" s="4" t="str">
        <f t="shared" ca="1" si="17"/>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73" t="s">
        <v>410</v>
      </c>
      <c r="B95" s="875" t="s">
        <v>52</v>
      </c>
      <c r="C95" s="874" t="s">
        <v>54</v>
      </c>
      <c r="D95" s="874" t="s">
        <v>323</v>
      </c>
      <c r="E95" s="874" t="s">
        <v>322</v>
      </c>
      <c r="F95" s="874" t="s">
        <v>221</v>
      </c>
      <c r="G95" s="874" t="str">
        <f t="shared" si="20"/>
        <v>Euribor6M</v>
      </c>
      <c r="H95" s="873" t="str">
        <f t="shared" si="21"/>
        <v>EUR2F4Y_Quote</v>
      </c>
      <c r="I95" s="876">
        <v>0</v>
      </c>
      <c r="J95" s="43"/>
      <c r="L95" s="894" t="str">
        <f t="shared" si="18"/>
        <v>FwdSw</v>
      </c>
      <c r="M95" s="890" t="str">
        <f t="shared" si="19"/>
        <v>--</v>
      </c>
      <c r="N95" s="893" t="str">
        <f ca="1">IFERROR(_xll.qlRateHelperQuoteName(M95,Trigger),"--")</f>
        <v>--</v>
      </c>
      <c r="O95" s="892" t="str">
        <f ca="1">IFERROR(_xll.qlRateHelperQuoteValue($M95,Trigger),"--")</f>
        <v>--</v>
      </c>
      <c r="P95" s="969" t="b">
        <v>0</v>
      </c>
      <c r="Q95" s="890">
        <v>50</v>
      </c>
      <c r="R95" s="890">
        <v>1</v>
      </c>
      <c r="S95" s="889" t="str">
        <f ca="1">IFERROR(_xll.qlRateHelperEarliestDate(M95,Trigger),"--")</f>
        <v>--</v>
      </c>
      <c r="T95" s="889" t="str">
        <f ca="1">IFERROR(_xll.qlRateHelperPillarDate(M95,Trigger),"--")</f>
        <v>--</v>
      </c>
      <c r="V95" s="4" t="str">
        <f t="shared" ca="1" si="17"/>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A96" s="873" t="s">
        <v>410</v>
      </c>
      <c r="B96" s="875" t="s">
        <v>51</v>
      </c>
      <c r="C96" s="874" t="s">
        <v>54</v>
      </c>
      <c r="D96" s="874" t="s">
        <v>323</v>
      </c>
      <c r="E96" s="874" t="s">
        <v>322</v>
      </c>
      <c r="F96" s="874" t="s">
        <v>221</v>
      </c>
      <c r="G96" s="874" t="str">
        <f t="shared" si="20"/>
        <v>Euribor6M</v>
      </c>
      <c r="H96" s="873" t="str">
        <f t="shared" si="21"/>
        <v>EUR2F5Y_Quote</v>
      </c>
      <c r="I96" s="876">
        <v>0</v>
      </c>
      <c r="J96" s="43"/>
      <c r="L96" s="894" t="str">
        <f t="shared" si="18"/>
        <v>FwdSw</v>
      </c>
      <c r="M96" s="890" t="str">
        <f t="shared" si="19"/>
        <v>--</v>
      </c>
      <c r="N96" s="893" t="str">
        <f ca="1">IFERROR(_xll.qlRateHelperQuoteName(M96,Trigger),"--")</f>
        <v>--</v>
      </c>
      <c r="O96" s="892" t="str">
        <f ca="1">IFERROR(_xll.qlRateHelperQuoteValue($M96,Trigger),"--")</f>
        <v>--</v>
      </c>
      <c r="P96" s="969" t="b">
        <v>0</v>
      </c>
      <c r="Q96" s="890">
        <v>50</v>
      </c>
      <c r="R96" s="890">
        <v>1</v>
      </c>
      <c r="S96" s="889" t="str">
        <f ca="1">IFERROR(_xll.qlRateHelperEarliestDate(M96,Trigger),"--")</f>
        <v>--</v>
      </c>
      <c r="T96" s="889" t="str">
        <f ca="1">IFERROR(_xll.qlRateHelperPillarDate(M96,Trigger),"--")</f>
        <v>--</v>
      </c>
      <c r="V96" s="4" t="str">
        <f t="shared" ca="1" si="17"/>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873" t="s">
        <v>410</v>
      </c>
      <c r="B97" s="875" t="s">
        <v>50</v>
      </c>
      <c r="C97" s="874" t="s">
        <v>54</v>
      </c>
      <c r="D97" s="874" t="s">
        <v>323</v>
      </c>
      <c r="E97" s="874" t="s">
        <v>322</v>
      </c>
      <c r="F97" s="874" t="s">
        <v>221</v>
      </c>
      <c r="G97" s="874" t="str">
        <f t="shared" si="20"/>
        <v>Euribor6M</v>
      </c>
      <c r="H97" s="873" t="str">
        <f t="shared" si="21"/>
        <v>EUR2F6Y_Quote</v>
      </c>
      <c r="I97" s="876">
        <v>0</v>
      </c>
      <c r="J97" s="43"/>
      <c r="L97" s="894" t="str">
        <f t="shared" si="18"/>
        <v>FwdSw</v>
      </c>
      <c r="M97" s="890" t="str">
        <f t="shared" si="19"/>
        <v>--</v>
      </c>
      <c r="N97" s="893" t="str">
        <f ca="1">IFERROR(_xll.qlRateHelperQuoteName(M97,Trigger),"--")</f>
        <v>--</v>
      </c>
      <c r="O97" s="892" t="str">
        <f ca="1">IFERROR(_xll.qlRateHelperQuoteValue($M97,Trigger),"--")</f>
        <v>--</v>
      </c>
      <c r="P97" s="969" t="b">
        <v>0</v>
      </c>
      <c r="Q97" s="890">
        <v>50</v>
      </c>
      <c r="R97" s="890">
        <v>1</v>
      </c>
      <c r="S97" s="889" t="str">
        <f ca="1">IFERROR(_xll.qlRateHelperEarliestDate(M97,Trigger),"--")</f>
        <v>--</v>
      </c>
      <c r="T97" s="889" t="str">
        <f ca="1">IFERROR(_xll.qlRateHelperPillarDate(M97,Trigger),"--")</f>
        <v>--</v>
      </c>
      <c r="V97" s="4" t="str">
        <f t="shared" ca="1" si="17"/>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73" t="s">
        <v>410</v>
      </c>
      <c r="B98" s="875" t="s">
        <v>49</v>
      </c>
      <c r="C98" s="874" t="s">
        <v>54</v>
      </c>
      <c r="D98" s="874" t="s">
        <v>323</v>
      </c>
      <c r="E98" s="874" t="s">
        <v>322</v>
      </c>
      <c r="F98" s="874" t="s">
        <v>221</v>
      </c>
      <c r="G98" s="874" t="str">
        <f t="shared" si="20"/>
        <v>Euribor6M</v>
      </c>
      <c r="H98" s="873" t="str">
        <f t="shared" si="21"/>
        <v>EUR2F7Y_Quote</v>
      </c>
      <c r="I98" s="876">
        <v>0</v>
      </c>
      <c r="J98" s="43"/>
      <c r="L98" s="894" t="str">
        <f t="shared" si="18"/>
        <v>FwdSw</v>
      </c>
      <c r="M98" s="890" t="str">
        <f t="shared" si="19"/>
        <v>--</v>
      </c>
      <c r="N98" s="893" t="str">
        <f ca="1">IFERROR(_xll.qlRateHelperQuoteName(M98,Trigger),"--")</f>
        <v>--</v>
      </c>
      <c r="O98" s="892" t="str">
        <f ca="1">IFERROR(_xll.qlRateHelperQuoteValue($M98,Trigger),"--")</f>
        <v>--</v>
      </c>
      <c r="P98" s="969" t="b">
        <v>0</v>
      </c>
      <c r="Q98" s="890">
        <v>50</v>
      </c>
      <c r="R98" s="890">
        <v>1</v>
      </c>
      <c r="S98" s="889" t="str">
        <f ca="1">IFERROR(_xll.qlRateHelperEarliestDate(M98,Trigger),"--")</f>
        <v>--</v>
      </c>
      <c r="T98" s="889" t="str">
        <f ca="1">IFERROR(_xll.qlRateHelperPillarDate(M98,Trigger),"--")</f>
        <v>--</v>
      </c>
      <c r="V98" s="4" t="str">
        <f t="shared" ca="1" si="17"/>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410</v>
      </c>
      <c r="B99" s="875" t="s">
        <v>48</v>
      </c>
      <c r="C99" s="874" t="s">
        <v>54</v>
      </c>
      <c r="D99" s="874" t="s">
        <v>323</v>
      </c>
      <c r="E99" s="874" t="s">
        <v>322</v>
      </c>
      <c r="F99" s="874" t="s">
        <v>221</v>
      </c>
      <c r="G99" s="874" t="str">
        <f t="shared" si="20"/>
        <v>Euribor6M</v>
      </c>
      <c r="H99" s="873" t="str">
        <f t="shared" si="21"/>
        <v>EUR2F8Y_Quote</v>
      </c>
      <c r="I99" s="876">
        <v>0</v>
      </c>
      <c r="J99" s="43"/>
      <c r="L99" s="894" t="str">
        <f t="shared" si="18"/>
        <v>FwdSw</v>
      </c>
      <c r="M99" s="890" t="str">
        <f t="shared" si="19"/>
        <v>--</v>
      </c>
      <c r="N99" s="893" t="str">
        <f ca="1">IFERROR(_xll.qlRateHelperQuoteName(M99,Trigger),"--")</f>
        <v>--</v>
      </c>
      <c r="O99" s="892" t="str">
        <f ca="1">IFERROR(_xll.qlRateHelperQuoteValue($M99,Trigger),"--")</f>
        <v>--</v>
      </c>
      <c r="P99" s="969" t="b">
        <v>0</v>
      </c>
      <c r="Q99" s="890">
        <v>50</v>
      </c>
      <c r="R99" s="890">
        <v>1</v>
      </c>
      <c r="S99" s="889" t="str">
        <f ca="1">IFERROR(_xll.qlRateHelperEarliestDate(M99,Trigger),"--")</f>
        <v>--</v>
      </c>
      <c r="T99" s="889" t="str">
        <f ca="1">IFERROR(_xll.qlRateHelperPillarDate(M99,Trigger),"--")</f>
        <v>--</v>
      </c>
      <c r="V99" s="4" t="str">
        <f t="shared" ca="1" si="17"/>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410</v>
      </c>
      <c r="B100" s="875" t="s">
        <v>47</v>
      </c>
      <c r="C100" s="874" t="s">
        <v>54</v>
      </c>
      <c r="D100" s="874" t="s">
        <v>323</v>
      </c>
      <c r="E100" s="874" t="s">
        <v>322</v>
      </c>
      <c r="F100" s="874" t="s">
        <v>221</v>
      </c>
      <c r="G100" s="874" t="str">
        <f t="shared" si="20"/>
        <v>Euribor6M</v>
      </c>
      <c r="H100" s="873" t="str">
        <f t="shared" si="21"/>
        <v>EUR2F9Y_Quote</v>
      </c>
      <c r="I100" s="876">
        <v>0</v>
      </c>
      <c r="J100" s="43"/>
      <c r="L100" s="894" t="str">
        <f t="shared" si="18"/>
        <v>FwdSw</v>
      </c>
      <c r="M100" s="890" t="str">
        <f t="shared" si="19"/>
        <v>--</v>
      </c>
      <c r="N100" s="893" t="str">
        <f ca="1">IFERROR(_xll.qlRateHelperQuoteName(M100,Trigger),"--")</f>
        <v>--</v>
      </c>
      <c r="O100" s="892" t="str">
        <f ca="1">IFERROR(_xll.qlRateHelperQuoteValue($M100,Trigger),"--")</f>
        <v>--</v>
      </c>
      <c r="P100" s="969" t="b">
        <v>0</v>
      </c>
      <c r="Q100" s="890">
        <v>50</v>
      </c>
      <c r="R100" s="890">
        <v>1</v>
      </c>
      <c r="S100" s="889" t="str">
        <f ca="1">IFERROR(_xll.qlRateHelperEarliestDate(M100,Trigger),"--")</f>
        <v>--</v>
      </c>
      <c r="T100" s="889" t="str">
        <f ca="1">IFERROR(_xll.qlRateHelperPillarDate(M100,Trigger),"--")</f>
        <v>--</v>
      </c>
      <c r="V100" s="4" t="str">
        <f t="shared" ca="1" si="17"/>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410</v>
      </c>
      <c r="B101" s="875" t="s">
        <v>46</v>
      </c>
      <c r="C101" s="874" t="s">
        <v>54</v>
      </c>
      <c r="D101" s="874" t="s">
        <v>323</v>
      </c>
      <c r="E101" s="874" t="s">
        <v>322</v>
      </c>
      <c r="F101" s="874" t="s">
        <v>221</v>
      </c>
      <c r="G101" s="874" t="str">
        <f t="shared" si="20"/>
        <v>Euribor6M</v>
      </c>
      <c r="H101" s="873" t="str">
        <f t="shared" si="21"/>
        <v>EUR2F10Y_Quote</v>
      </c>
      <c r="I101" s="876">
        <v>0</v>
      </c>
      <c r="J101" s="43"/>
      <c r="L101" s="894" t="str">
        <f t="shared" si="18"/>
        <v>FwdSw</v>
      </c>
      <c r="M101" s="890" t="str">
        <f t="shared" si="19"/>
        <v>--</v>
      </c>
      <c r="N101" s="893" t="str">
        <f ca="1">IFERROR(_xll.qlRateHelperQuoteName(M101,Trigger),"--")</f>
        <v>--</v>
      </c>
      <c r="O101" s="892" t="str">
        <f ca="1">IFERROR(_xll.qlRateHelperQuoteValue($M101,Trigger),"--")</f>
        <v>--</v>
      </c>
      <c r="P101" s="969" t="b">
        <v>0</v>
      </c>
      <c r="Q101" s="890">
        <v>50</v>
      </c>
      <c r="R101" s="890">
        <v>1</v>
      </c>
      <c r="S101" s="889" t="str">
        <f ca="1">IFERROR(_xll.qlRateHelperEarliestDate(M101,Trigger),"--")</f>
        <v>--</v>
      </c>
      <c r="T101" s="889" t="str">
        <f ca="1">IFERROR(_xll.qlRateHelperPillarDate(M101,Trigger),"--")</f>
        <v>--</v>
      </c>
      <c r="V101" s="4" t="str">
        <f t="shared" ca="1" si="17"/>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410</v>
      </c>
      <c r="B102" s="875" t="s">
        <v>45</v>
      </c>
      <c r="C102" s="874" t="s">
        <v>54</v>
      </c>
      <c r="D102" s="874" t="s">
        <v>323</v>
      </c>
      <c r="E102" s="874" t="s">
        <v>322</v>
      </c>
      <c r="F102" s="874" t="s">
        <v>221</v>
      </c>
      <c r="G102" s="874" t="str">
        <f t="shared" si="20"/>
        <v>Euribor6M</v>
      </c>
      <c r="H102" s="873" t="str">
        <f t="shared" si="21"/>
        <v>EUR2F11Y_Quote</v>
      </c>
      <c r="I102" s="876">
        <v>0</v>
      </c>
      <c r="J102" s="43"/>
      <c r="L102" s="894" t="str">
        <f t="shared" si="18"/>
        <v>FwdSw</v>
      </c>
      <c r="M102" s="890" t="str">
        <f t="shared" si="19"/>
        <v>--</v>
      </c>
      <c r="N102" s="893" t="str">
        <f ca="1">IFERROR(_xll.qlRateHelperQuoteName(M102,Trigger),"--")</f>
        <v>--</v>
      </c>
      <c r="O102" s="892" t="str">
        <f ca="1">IFERROR(_xll.qlRateHelperQuoteValue($M102,Trigger),"--")</f>
        <v>--</v>
      </c>
      <c r="P102" s="969" t="b">
        <v>0</v>
      </c>
      <c r="Q102" s="890">
        <v>50</v>
      </c>
      <c r="R102" s="890">
        <v>1</v>
      </c>
      <c r="S102" s="889" t="str">
        <f ca="1">IFERROR(_xll.qlRateHelperEarliestDate(M102,Trigger),"--")</f>
        <v>--</v>
      </c>
      <c r="T102" s="889" t="str">
        <f ca="1">IFERROR(_xll.qlRateHelperPillarDate(M102,Trigger),"--")</f>
        <v>--</v>
      </c>
      <c r="V102" s="4" t="str">
        <f t="shared" ca="1" si="17"/>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410</v>
      </c>
      <c r="B103" s="875" t="s">
        <v>44</v>
      </c>
      <c r="C103" s="874" t="s">
        <v>54</v>
      </c>
      <c r="D103" s="874" t="s">
        <v>323</v>
      </c>
      <c r="E103" s="874" t="s">
        <v>322</v>
      </c>
      <c r="F103" s="874" t="s">
        <v>221</v>
      </c>
      <c r="G103" s="874" t="str">
        <f t="shared" si="20"/>
        <v>Euribor6M</v>
      </c>
      <c r="H103" s="873" t="str">
        <f t="shared" si="21"/>
        <v>EUR2F12Y_Quote</v>
      </c>
      <c r="I103" s="876">
        <v>0</v>
      </c>
      <c r="J103" s="43"/>
      <c r="L103" s="894" t="str">
        <f t="shared" si="18"/>
        <v>FwdSw</v>
      </c>
      <c r="M103" s="890" t="str">
        <f t="shared" si="19"/>
        <v>--</v>
      </c>
      <c r="N103" s="893" t="str">
        <f ca="1">IFERROR(_xll.qlRateHelperQuoteName(M103,Trigger),"--")</f>
        <v>--</v>
      </c>
      <c r="O103" s="892" t="str">
        <f ca="1">IFERROR(_xll.qlRateHelperQuoteValue($M103,Trigger),"--")</f>
        <v>--</v>
      </c>
      <c r="P103" s="969" t="b">
        <v>0</v>
      </c>
      <c r="Q103" s="890">
        <v>50</v>
      </c>
      <c r="R103" s="890">
        <v>1</v>
      </c>
      <c r="S103" s="889" t="str">
        <f ca="1">IFERROR(_xll.qlRateHelperEarliestDate(M103,Trigger),"--")</f>
        <v>--</v>
      </c>
      <c r="T103" s="889" t="str">
        <f ca="1">IFERROR(_xll.qlRateHelperPillarDate(M103,Trigger),"--")</f>
        <v>--</v>
      </c>
      <c r="V103" s="4" t="str">
        <f t="shared" ca="1" si="17"/>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410</v>
      </c>
      <c r="B104" s="875" t="s">
        <v>43</v>
      </c>
      <c r="C104" s="874" t="s">
        <v>54</v>
      </c>
      <c r="D104" s="874" t="s">
        <v>323</v>
      </c>
      <c r="E104" s="874" t="s">
        <v>322</v>
      </c>
      <c r="F104" s="874" t="s">
        <v>221</v>
      </c>
      <c r="G104" s="874" t="str">
        <f t="shared" si="20"/>
        <v>Euribor6M</v>
      </c>
      <c r="H104" s="873" t="str">
        <f t="shared" si="21"/>
        <v>EUR2F13Y_Quote</v>
      </c>
      <c r="I104" s="876">
        <v>0</v>
      </c>
      <c r="J104" s="43"/>
      <c r="L104" s="894" t="str">
        <f t="shared" si="18"/>
        <v>FwdSw</v>
      </c>
      <c r="M104" s="890" t="str">
        <f t="shared" si="19"/>
        <v>--</v>
      </c>
      <c r="N104" s="893" t="str">
        <f ca="1">IFERROR(_xll.qlRateHelperQuoteName(M104,Trigger),"--")</f>
        <v>--</v>
      </c>
      <c r="O104" s="892" t="str">
        <f ca="1">IFERROR(_xll.qlRateHelperQuoteValue($M104,Trigger),"--")</f>
        <v>--</v>
      </c>
      <c r="P104" s="969" t="b">
        <v>0</v>
      </c>
      <c r="Q104" s="890">
        <v>50</v>
      </c>
      <c r="R104" s="890">
        <v>1</v>
      </c>
      <c r="S104" s="889" t="str">
        <f ca="1">IFERROR(_xll.qlRateHelperEarliestDate(M104,Trigger),"--")</f>
        <v>--</v>
      </c>
      <c r="T104" s="889" t="str">
        <f ca="1">IFERROR(_xll.qlRateHelperPillarDate(M104,Trigger),"--")</f>
        <v>--</v>
      </c>
      <c r="V104" s="4" t="str">
        <f t="shared" ca="1" si="17"/>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410</v>
      </c>
      <c r="B105" s="875" t="s">
        <v>42</v>
      </c>
      <c r="C105" s="874" t="s">
        <v>54</v>
      </c>
      <c r="D105" s="874" t="s">
        <v>323</v>
      </c>
      <c r="E105" s="874" t="s">
        <v>322</v>
      </c>
      <c r="F105" s="874" t="s">
        <v>221</v>
      </c>
      <c r="G105" s="874" t="str">
        <f t="shared" si="20"/>
        <v>Euribor6M</v>
      </c>
      <c r="H105" s="873" t="str">
        <f t="shared" si="21"/>
        <v>EUR2F14Y_Quote</v>
      </c>
      <c r="I105" s="876">
        <v>0</v>
      </c>
      <c r="J105" s="43"/>
      <c r="L105" s="894" t="str">
        <f t="shared" si="18"/>
        <v>FwdSw</v>
      </c>
      <c r="M105" s="890" t="str">
        <f t="shared" si="19"/>
        <v>--</v>
      </c>
      <c r="N105" s="893" t="str">
        <f ca="1">IFERROR(_xll.qlRateHelperQuoteName(M105,Trigger),"--")</f>
        <v>--</v>
      </c>
      <c r="O105" s="892" t="str">
        <f ca="1">IFERROR(_xll.qlRateHelperQuoteValue($M105,Trigger),"--")</f>
        <v>--</v>
      </c>
      <c r="P105" s="969" t="b">
        <v>0</v>
      </c>
      <c r="Q105" s="890">
        <v>50</v>
      </c>
      <c r="R105" s="890">
        <v>1</v>
      </c>
      <c r="S105" s="889" t="str">
        <f ca="1">IFERROR(_xll.qlRateHelperEarliestDate(M105,Trigger),"--")</f>
        <v>--</v>
      </c>
      <c r="T105" s="889" t="str">
        <f ca="1">IFERROR(_xll.qlRateHelperPillarDate(M105,Trigger),"--")</f>
        <v>--</v>
      </c>
      <c r="V105" s="4" t="str">
        <f t="shared" ca="1" si="17"/>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410</v>
      </c>
      <c r="B106" s="875" t="s">
        <v>41</v>
      </c>
      <c r="C106" s="874" t="s">
        <v>54</v>
      </c>
      <c r="D106" s="874" t="s">
        <v>323</v>
      </c>
      <c r="E106" s="874" t="s">
        <v>322</v>
      </c>
      <c r="F106" s="874" t="s">
        <v>221</v>
      </c>
      <c r="G106" s="874" t="str">
        <f t="shared" si="20"/>
        <v>Euribor6M</v>
      </c>
      <c r="H106" s="873" t="str">
        <f t="shared" si="21"/>
        <v>EUR2F15Y_Quote</v>
      </c>
      <c r="I106" s="876">
        <v>0</v>
      </c>
      <c r="J106" s="43"/>
      <c r="L106" s="894" t="str">
        <f t="shared" si="18"/>
        <v>FwdSw</v>
      </c>
      <c r="M106" s="890" t="str">
        <f t="shared" si="19"/>
        <v>--</v>
      </c>
      <c r="N106" s="893" t="str">
        <f ca="1">IFERROR(_xll.qlRateHelperQuoteName(M106,Trigger),"--")</f>
        <v>--</v>
      </c>
      <c r="O106" s="892" t="str">
        <f ca="1">IFERROR(_xll.qlRateHelperQuoteValue($M106,Trigger),"--")</f>
        <v>--</v>
      </c>
      <c r="P106" s="969" t="b">
        <v>0</v>
      </c>
      <c r="Q106" s="890">
        <v>50</v>
      </c>
      <c r="R106" s="890">
        <v>1</v>
      </c>
      <c r="S106" s="889" t="str">
        <f ca="1">IFERROR(_xll.qlRateHelperEarliestDate(M106,Trigger),"--")</f>
        <v>--</v>
      </c>
      <c r="T106" s="889" t="str">
        <f ca="1">IFERROR(_xll.qlRateHelperPillarDate(M106,Trigger),"--")</f>
        <v>--</v>
      </c>
      <c r="V106" s="4" t="str">
        <f t="shared" ca="1" si="17"/>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410</v>
      </c>
      <c r="B107" s="875" t="s">
        <v>36</v>
      </c>
      <c r="C107" s="874" t="s">
        <v>54</v>
      </c>
      <c r="D107" s="874" t="s">
        <v>323</v>
      </c>
      <c r="E107" s="874" t="s">
        <v>322</v>
      </c>
      <c r="F107" s="874" t="s">
        <v>221</v>
      </c>
      <c r="G107" s="874" t="str">
        <f t="shared" si="20"/>
        <v>Euribor6M</v>
      </c>
      <c r="H107" s="873" t="str">
        <f t="shared" si="21"/>
        <v>EUR2F20Y_Quote</v>
      </c>
      <c r="I107" s="876">
        <v>0</v>
      </c>
      <c r="J107" s="43"/>
      <c r="L107" s="894" t="str">
        <f t="shared" si="18"/>
        <v>FwdSw</v>
      </c>
      <c r="M107" s="890" t="str">
        <f t="shared" si="19"/>
        <v>--</v>
      </c>
      <c r="N107" s="893" t="str">
        <f ca="1">IFERROR(_xll.qlRateHelperQuoteName(M107,Trigger),"--")</f>
        <v>--</v>
      </c>
      <c r="O107" s="892" t="str">
        <f ca="1">IFERROR(_xll.qlRateHelperQuoteValue($M107,Trigger),"--")</f>
        <v>--</v>
      </c>
      <c r="P107" s="969" t="b">
        <v>0</v>
      </c>
      <c r="Q107" s="890">
        <v>50</v>
      </c>
      <c r="R107" s="890">
        <v>1</v>
      </c>
      <c r="S107" s="889" t="str">
        <f ca="1">IFERROR(_xll.qlRateHelperEarliestDate(M107,Trigger),"--")</f>
        <v>--</v>
      </c>
      <c r="T107" s="889" t="str">
        <f ca="1">IFERROR(_xll.qlRateHelperPillarDate(M107,Trigger),"--")</f>
        <v>--</v>
      </c>
      <c r="V107" s="4" t="str">
        <f t="shared" ca="1" si="17"/>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410</v>
      </c>
      <c r="B108" s="875" t="s">
        <v>31</v>
      </c>
      <c r="C108" s="874" t="s">
        <v>54</v>
      </c>
      <c r="D108" s="874" t="s">
        <v>323</v>
      </c>
      <c r="E108" s="874" t="s">
        <v>322</v>
      </c>
      <c r="F108" s="874" t="s">
        <v>221</v>
      </c>
      <c r="G108" s="874" t="str">
        <f t="shared" si="20"/>
        <v>Euribor6M</v>
      </c>
      <c r="H108" s="873" t="str">
        <f t="shared" si="21"/>
        <v>EUR2F25Y_Quote</v>
      </c>
      <c r="I108" s="876">
        <v>0</v>
      </c>
      <c r="J108" s="43"/>
      <c r="L108" s="894" t="str">
        <f t="shared" si="18"/>
        <v>FwdSw</v>
      </c>
      <c r="M108" s="890" t="str">
        <f t="shared" si="19"/>
        <v>--</v>
      </c>
      <c r="N108" s="893" t="str">
        <f ca="1">IFERROR(_xll.qlRateHelperQuoteName(M108,Trigger),"--")</f>
        <v>--</v>
      </c>
      <c r="O108" s="892" t="str">
        <f ca="1">IFERROR(_xll.qlRateHelperQuoteValue($M108,Trigger),"--")</f>
        <v>--</v>
      </c>
      <c r="P108" s="969" t="b">
        <v>0</v>
      </c>
      <c r="Q108" s="890">
        <v>50</v>
      </c>
      <c r="R108" s="890">
        <v>1</v>
      </c>
      <c r="S108" s="889" t="str">
        <f ca="1">IFERROR(_xll.qlRateHelperEarliestDate(M108,Trigger),"--")</f>
        <v>--</v>
      </c>
      <c r="T108" s="889" t="str">
        <f ca="1">IFERROR(_xll.qlRateHelperPillarDate(M108,Trigger),"--")</f>
        <v>--</v>
      </c>
      <c r="V108" s="4" t="str">
        <f t="shared" ca="1" si="17"/>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69" t="s">
        <v>410</v>
      </c>
      <c r="B109" s="871" t="s">
        <v>26</v>
      </c>
      <c r="C109" s="870" t="s">
        <v>54</v>
      </c>
      <c r="D109" s="870" t="s">
        <v>323</v>
      </c>
      <c r="E109" s="870" t="s">
        <v>322</v>
      </c>
      <c r="F109" s="870" t="s">
        <v>221</v>
      </c>
      <c r="G109" s="870" t="str">
        <f t="shared" si="20"/>
        <v>Euribor6M</v>
      </c>
      <c r="H109" s="869" t="str">
        <f t="shared" si="21"/>
        <v>EUR2F30Y_Quote</v>
      </c>
      <c r="I109" s="868">
        <v>0</v>
      </c>
      <c r="J109" s="38"/>
      <c r="L109" s="894" t="str">
        <f t="shared" si="18"/>
        <v>FwdSw</v>
      </c>
      <c r="M109" s="890" t="str">
        <f t="shared" si="19"/>
        <v>--</v>
      </c>
      <c r="N109" s="893" t="str">
        <f ca="1">IFERROR(_xll.qlRateHelperQuoteName(M109,Trigger),"--")</f>
        <v>--</v>
      </c>
      <c r="O109" s="892" t="str">
        <f ca="1">IFERROR(_xll.qlRateHelperQuoteValue($M109,Trigger),"--")</f>
        <v>--</v>
      </c>
      <c r="P109" s="969" t="b">
        <v>0</v>
      </c>
      <c r="Q109" s="890">
        <v>50</v>
      </c>
      <c r="R109" s="890">
        <v>1</v>
      </c>
      <c r="S109" s="889" t="str">
        <f ca="1">IFERROR(_xll.qlRateHelperEarliestDate(M109,Trigger),"--")</f>
        <v>--</v>
      </c>
      <c r="T109" s="889" t="str">
        <f ca="1">IFERROR(_xll.qlRateHelperPillarDate(M109,Trigger),"--")</f>
        <v>--</v>
      </c>
      <c r="V109" s="4" t="str">
        <f t="shared" ca="1" si="17"/>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410</v>
      </c>
      <c r="B110" s="875" t="s">
        <v>58</v>
      </c>
      <c r="C110" s="874" t="s">
        <v>53</v>
      </c>
      <c r="D110" s="874" t="s">
        <v>323</v>
      </c>
      <c r="E110" s="874" t="s">
        <v>322</v>
      </c>
      <c r="F110" s="874" t="s">
        <v>221</v>
      </c>
      <c r="G110" s="874" t="str">
        <f t="shared" si="20"/>
        <v>Euribor6M</v>
      </c>
      <c r="H110" s="873" t="str">
        <f t="shared" si="21"/>
        <v>EUR3F1Y_Quote</v>
      </c>
      <c r="I110" s="876">
        <v>0</v>
      </c>
      <c r="J110" s="43"/>
      <c r="L110" s="894" t="str">
        <f t="shared" si="18"/>
        <v>FwdSw</v>
      </c>
      <c r="M110" s="890" t="str">
        <f t="shared" si="19"/>
        <v>--</v>
      </c>
      <c r="N110" s="893" t="str">
        <f ca="1">IFERROR(_xll.qlRateHelperQuoteName(M110,Trigger),"--")</f>
        <v>--</v>
      </c>
      <c r="O110" s="892" t="str">
        <f ca="1">IFERROR(_xll.qlRateHelperQuoteValue($M110,Trigger),"--")</f>
        <v>--</v>
      </c>
      <c r="P110" s="969" t="b">
        <v>0</v>
      </c>
      <c r="Q110" s="890">
        <v>50</v>
      </c>
      <c r="R110" s="890">
        <v>1</v>
      </c>
      <c r="S110" s="889" t="str">
        <f ca="1">IFERROR(_xll.qlRateHelperEarliestDate(M110,Trigger),"--")</f>
        <v>--</v>
      </c>
      <c r="T110" s="889" t="str">
        <f ca="1">IFERROR(_xll.qlRateHelperPillarDate(M110,Trigger),"--")</f>
        <v>--</v>
      </c>
      <c r="V110" s="4" t="str">
        <f t="shared" ca="1" si="17"/>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410</v>
      </c>
      <c r="B111" s="875" t="s">
        <v>54</v>
      </c>
      <c r="C111" s="874" t="s">
        <v>53</v>
      </c>
      <c r="D111" s="874" t="s">
        <v>323</v>
      </c>
      <c r="E111" s="874" t="s">
        <v>322</v>
      </c>
      <c r="F111" s="874" t="s">
        <v>221</v>
      </c>
      <c r="G111" s="874" t="str">
        <f t="shared" si="20"/>
        <v>Euribor6M</v>
      </c>
      <c r="H111" s="873" t="str">
        <f t="shared" si="21"/>
        <v>EUR3F2Y_Quote</v>
      </c>
      <c r="I111" s="876">
        <v>0</v>
      </c>
      <c r="J111" s="43"/>
      <c r="L111" s="894" t="str">
        <f t="shared" si="18"/>
        <v>FwdSw</v>
      </c>
      <c r="M111" s="890" t="str">
        <f t="shared" si="19"/>
        <v>--</v>
      </c>
      <c r="N111" s="893" t="str">
        <f ca="1">IFERROR(_xll.qlRateHelperQuoteName(M111,Trigger),"--")</f>
        <v>--</v>
      </c>
      <c r="O111" s="892" t="str">
        <f ca="1">IFERROR(_xll.qlRateHelperQuoteValue($M111,Trigger),"--")</f>
        <v>--</v>
      </c>
      <c r="P111" s="969" t="b">
        <v>0</v>
      </c>
      <c r="Q111" s="890">
        <v>50</v>
      </c>
      <c r="R111" s="890">
        <v>1</v>
      </c>
      <c r="S111" s="889" t="str">
        <f ca="1">IFERROR(_xll.qlRateHelperEarliestDate(M111,Trigger),"--")</f>
        <v>--</v>
      </c>
      <c r="T111" s="889" t="str">
        <f ca="1">IFERROR(_xll.qlRateHelperPillarDate(M111,Trigger),"--")</f>
        <v>--</v>
      </c>
      <c r="V111" s="4" t="str">
        <f t="shared" ca="1" si="17"/>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410</v>
      </c>
      <c r="B112" s="875" t="s">
        <v>53</v>
      </c>
      <c r="C112" s="874" t="s">
        <v>53</v>
      </c>
      <c r="D112" s="874" t="s">
        <v>323</v>
      </c>
      <c r="E112" s="874" t="s">
        <v>322</v>
      </c>
      <c r="F112" s="874" t="s">
        <v>221</v>
      </c>
      <c r="G112" s="874" t="str">
        <f t="shared" si="20"/>
        <v>Euribor6M</v>
      </c>
      <c r="H112" s="873" t="str">
        <f t="shared" si="21"/>
        <v>EUR3F3Y_Quote</v>
      </c>
      <c r="I112" s="876">
        <v>0</v>
      </c>
      <c r="J112" s="43"/>
      <c r="L112" s="894" t="str">
        <f t="shared" si="18"/>
        <v>FwdSw</v>
      </c>
      <c r="M112" s="890" t="str">
        <f t="shared" si="19"/>
        <v>--</v>
      </c>
      <c r="N112" s="893" t="str">
        <f ca="1">IFERROR(_xll.qlRateHelperQuoteName(M112,Trigger),"--")</f>
        <v>--</v>
      </c>
      <c r="O112" s="892" t="str">
        <f ca="1">IFERROR(_xll.qlRateHelperQuoteValue($M112,Trigger),"--")</f>
        <v>--</v>
      </c>
      <c r="P112" s="969" t="b">
        <v>0</v>
      </c>
      <c r="Q112" s="890">
        <v>50</v>
      </c>
      <c r="R112" s="890">
        <v>1</v>
      </c>
      <c r="S112" s="889" t="str">
        <f ca="1">IFERROR(_xll.qlRateHelperEarliestDate(M112,Trigger),"--")</f>
        <v>--</v>
      </c>
      <c r="T112" s="889" t="str">
        <f ca="1">IFERROR(_xll.qlRateHelperPillarDate(M112,Trigger),"--")</f>
        <v>--</v>
      </c>
      <c r="V112" s="4" t="str">
        <f t="shared" ca="1" si="17"/>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410</v>
      </c>
      <c r="B113" s="875" t="s">
        <v>52</v>
      </c>
      <c r="C113" s="874" t="s">
        <v>53</v>
      </c>
      <c r="D113" s="874" t="s">
        <v>323</v>
      </c>
      <c r="E113" s="874" t="s">
        <v>322</v>
      </c>
      <c r="F113" s="874" t="s">
        <v>221</v>
      </c>
      <c r="G113" s="874" t="str">
        <f t="shared" si="20"/>
        <v>Euribor6M</v>
      </c>
      <c r="H113" s="873" t="str">
        <f t="shared" si="21"/>
        <v>EUR3F4Y_Quote</v>
      </c>
      <c r="I113" s="876">
        <v>0</v>
      </c>
      <c r="J113" s="43"/>
      <c r="L113" s="894" t="str">
        <f t="shared" si="18"/>
        <v>FwdSw</v>
      </c>
      <c r="M113" s="890" t="str">
        <f t="shared" si="19"/>
        <v>--</v>
      </c>
      <c r="N113" s="893" t="str">
        <f ca="1">IFERROR(_xll.qlRateHelperQuoteName(M113,Trigger),"--")</f>
        <v>--</v>
      </c>
      <c r="O113" s="892" t="str">
        <f ca="1">IFERROR(_xll.qlRateHelperQuoteValue($M113,Trigger),"--")</f>
        <v>--</v>
      </c>
      <c r="P113" s="969" t="b">
        <v>0</v>
      </c>
      <c r="Q113" s="890">
        <v>50</v>
      </c>
      <c r="R113" s="890">
        <v>1</v>
      </c>
      <c r="S113" s="889" t="str">
        <f ca="1">IFERROR(_xll.qlRateHelperEarliestDate(M113,Trigger),"--")</f>
        <v>--</v>
      </c>
      <c r="T113" s="889" t="str">
        <f ca="1">IFERROR(_xll.qlRateHelperPillarDate(M113,Trigger),"--")</f>
        <v>--</v>
      </c>
      <c r="V113" s="4" t="str">
        <f t="shared" ca="1" si="17"/>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410</v>
      </c>
      <c r="B114" s="875" t="s">
        <v>51</v>
      </c>
      <c r="C114" s="874" t="s">
        <v>53</v>
      </c>
      <c r="D114" s="874" t="s">
        <v>323</v>
      </c>
      <c r="E114" s="874" t="s">
        <v>322</v>
      </c>
      <c r="F114" s="874" t="s">
        <v>221</v>
      </c>
      <c r="G114" s="874" t="str">
        <f t="shared" si="20"/>
        <v>Euribor6M</v>
      </c>
      <c r="H114" s="873" t="str">
        <f t="shared" si="21"/>
        <v>EUR3F5Y_Quote</v>
      </c>
      <c r="I114" s="876">
        <v>0</v>
      </c>
      <c r="J114" s="43"/>
      <c r="L114" s="894" t="str">
        <f t="shared" si="18"/>
        <v>FwdSw</v>
      </c>
      <c r="M114" s="890" t="str">
        <f t="shared" si="19"/>
        <v>--</v>
      </c>
      <c r="N114" s="893" t="str">
        <f ca="1">IFERROR(_xll.qlRateHelperQuoteName(M114,Trigger),"--")</f>
        <v>--</v>
      </c>
      <c r="O114" s="892" t="str">
        <f ca="1">IFERROR(_xll.qlRateHelperQuoteValue($M114,Trigger),"--")</f>
        <v>--</v>
      </c>
      <c r="P114" s="969" t="b">
        <v>0</v>
      </c>
      <c r="Q114" s="890">
        <v>50</v>
      </c>
      <c r="R114" s="890">
        <v>1</v>
      </c>
      <c r="S114" s="889" t="str">
        <f ca="1">IFERROR(_xll.qlRateHelperEarliestDate(M114,Trigger),"--")</f>
        <v>--</v>
      </c>
      <c r="T114" s="889" t="str">
        <f ca="1">IFERROR(_xll.qlRateHelperPillarDate(M114,Trigger),"--")</f>
        <v>--</v>
      </c>
      <c r="V114" s="4" t="str">
        <f t="shared" ca="1" si="17"/>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410</v>
      </c>
      <c r="B115" s="875" t="s">
        <v>50</v>
      </c>
      <c r="C115" s="874" t="s">
        <v>53</v>
      </c>
      <c r="D115" s="874" t="s">
        <v>323</v>
      </c>
      <c r="E115" s="874" t="s">
        <v>322</v>
      </c>
      <c r="F115" s="874" t="s">
        <v>221</v>
      </c>
      <c r="G115" s="874" t="str">
        <f t="shared" si="20"/>
        <v>Euribor6M</v>
      </c>
      <c r="H115" s="873" t="str">
        <f t="shared" si="21"/>
        <v>EUR3F6Y_Quote</v>
      </c>
      <c r="I115" s="876">
        <v>0</v>
      </c>
      <c r="J115" s="43"/>
      <c r="L115" s="894" t="str">
        <f t="shared" si="18"/>
        <v>FwdSw</v>
      </c>
      <c r="M115" s="890" t="str">
        <f t="shared" si="19"/>
        <v>--</v>
      </c>
      <c r="N115" s="893" t="str">
        <f ca="1">IFERROR(_xll.qlRateHelperQuoteName(M115,Trigger),"--")</f>
        <v>--</v>
      </c>
      <c r="O115" s="892" t="str">
        <f ca="1">IFERROR(_xll.qlRateHelperQuoteValue($M115,Trigger),"--")</f>
        <v>--</v>
      </c>
      <c r="P115" s="969" t="b">
        <v>0</v>
      </c>
      <c r="Q115" s="890">
        <v>50</v>
      </c>
      <c r="R115" s="890">
        <v>1</v>
      </c>
      <c r="S115" s="889" t="str">
        <f ca="1">IFERROR(_xll.qlRateHelperEarliestDate(M115,Trigger),"--")</f>
        <v>--</v>
      </c>
      <c r="T115" s="889" t="str">
        <f ca="1">IFERROR(_xll.qlRateHelperPillarDate(M115,Trigger),"--")</f>
        <v>--</v>
      </c>
      <c r="V115" s="4" t="str">
        <f t="shared" ca="1" si="17"/>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410</v>
      </c>
      <c r="B116" s="875" t="s">
        <v>49</v>
      </c>
      <c r="C116" s="874" t="s">
        <v>53</v>
      </c>
      <c r="D116" s="874" t="s">
        <v>323</v>
      </c>
      <c r="E116" s="874" t="s">
        <v>322</v>
      </c>
      <c r="F116" s="874" t="s">
        <v>221</v>
      </c>
      <c r="G116" s="874" t="str">
        <f t="shared" si="20"/>
        <v>Euribor6M</v>
      </c>
      <c r="H116" s="873" t="str">
        <f t="shared" si="21"/>
        <v>EUR3F7Y_Quote</v>
      </c>
      <c r="I116" s="876">
        <v>0</v>
      </c>
      <c r="J116" s="43"/>
      <c r="L116" s="894" t="str">
        <f t="shared" si="18"/>
        <v>FwdSw</v>
      </c>
      <c r="M116" s="890" t="str">
        <f t="shared" si="19"/>
        <v>--</v>
      </c>
      <c r="N116" s="893" t="str">
        <f ca="1">IFERROR(_xll.qlRateHelperQuoteName(M116,Trigger),"--")</f>
        <v>--</v>
      </c>
      <c r="O116" s="892" t="str">
        <f ca="1">IFERROR(_xll.qlRateHelperQuoteValue($M116,Trigger),"--")</f>
        <v>--</v>
      </c>
      <c r="P116" s="969" t="b">
        <v>0</v>
      </c>
      <c r="Q116" s="890">
        <v>50</v>
      </c>
      <c r="R116" s="890">
        <v>1</v>
      </c>
      <c r="S116" s="889" t="str">
        <f ca="1">IFERROR(_xll.qlRateHelperEarliestDate(M116,Trigger),"--")</f>
        <v>--</v>
      </c>
      <c r="T116" s="889" t="str">
        <f ca="1">IFERROR(_xll.qlRateHelperPillarDate(M116,Trigger),"--")</f>
        <v>--</v>
      </c>
      <c r="V116" s="4" t="str">
        <f t="shared" ca="1" si="17"/>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410</v>
      </c>
      <c r="B117" s="875" t="s">
        <v>48</v>
      </c>
      <c r="C117" s="874" t="s">
        <v>53</v>
      </c>
      <c r="D117" s="874" t="s">
        <v>323</v>
      </c>
      <c r="E117" s="874" t="s">
        <v>322</v>
      </c>
      <c r="F117" s="874" t="s">
        <v>221</v>
      </c>
      <c r="G117" s="874" t="str">
        <f t="shared" si="20"/>
        <v>Euribor6M</v>
      </c>
      <c r="H117" s="873" t="str">
        <f t="shared" si="21"/>
        <v>EUR3F8Y_Quote</v>
      </c>
      <c r="I117" s="876">
        <v>0</v>
      </c>
      <c r="J117" s="43"/>
      <c r="L117" s="894" t="str">
        <f t="shared" si="18"/>
        <v>FwdSw</v>
      </c>
      <c r="M117" s="890" t="str">
        <f t="shared" si="19"/>
        <v>--</v>
      </c>
      <c r="N117" s="893" t="str">
        <f ca="1">IFERROR(_xll.qlRateHelperQuoteName(M117,Trigger),"--")</f>
        <v>--</v>
      </c>
      <c r="O117" s="892" t="str">
        <f ca="1">IFERROR(_xll.qlRateHelperQuoteValue($M117,Trigger),"--")</f>
        <v>--</v>
      </c>
      <c r="P117" s="969" t="b">
        <v>0</v>
      </c>
      <c r="Q117" s="890">
        <v>50</v>
      </c>
      <c r="R117" s="890">
        <v>1</v>
      </c>
      <c r="S117" s="889" t="str">
        <f ca="1">IFERROR(_xll.qlRateHelperEarliestDate(M117,Trigger),"--")</f>
        <v>--</v>
      </c>
      <c r="T117" s="889" t="str">
        <f ca="1">IFERROR(_xll.qlRateHelperPillarDate(M117,Trigger),"--")</f>
        <v>--</v>
      </c>
      <c r="V117" s="4" t="str">
        <f t="shared" ca="1" si="17"/>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410</v>
      </c>
      <c r="B118" s="875" t="s">
        <v>47</v>
      </c>
      <c r="C118" s="874" t="s">
        <v>53</v>
      </c>
      <c r="D118" s="874" t="s">
        <v>323</v>
      </c>
      <c r="E118" s="874" t="s">
        <v>322</v>
      </c>
      <c r="F118" s="874" t="s">
        <v>221</v>
      </c>
      <c r="G118" s="874" t="str">
        <f t="shared" si="20"/>
        <v>Euribor6M</v>
      </c>
      <c r="H118" s="873" t="str">
        <f t="shared" si="21"/>
        <v>EUR3F9Y_Quote</v>
      </c>
      <c r="I118" s="876">
        <v>0</v>
      </c>
      <c r="J118" s="43"/>
      <c r="L118" s="894" t="str">
        <f t="shared" si="18"/>
        <v>FwdSw</v>
      </c>
      <c r="M118" s="890" t="str">
        <f t="shared" si="19"/>
        <v>--</v>
      </c>
      <c r="N118" s="893" t="str">
        <f ca="1">IFERROR(_xll.qlRateHelperQuoteName(M118,Trigger),"--")</f>
        <v>--</v>
      </c>
      <c r="O118" s="892" t="str">
        <f ca="1">IFERROR(_xll.qlRateHelperQuoteValue($M118,Trigger),"--")</f>
        <v>--</v>
      </c>
      <c r="P118" s="969" t="b">
        <v>0</v>
      </c>
      <c r="Q118" s="890">
        <v>50</v>
      </c>
      <c r="R118" s="890">
        <v>1</v>
      </c>
      <c r="S118" s="889" t="str">
        <f ca="1">IFERROR(_xll.qlRateHelperEarliestDate(M118,Trigger),"--")</f>
        <v>--</v>
      </c>
      <c r="T118" s="889" t="str">
        <f ca="1">IFERROR(_xll.qlRateHelperPillarDate(M118,Trigger),"--")</f>
        <v>--</v>
      </c>
      <c r="V118" s="4" t="str">
        <f t="shared" ca="1" si="17"/>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410</v>
      </c>
      <c r="B119" s="875" t="s">
        <v>46</v>
      </c>
      <c r="C119" s="874" t="s">
        <v>53</v>
      </c>
      <c r="D119" s="874" t="s">
        <v>323</v>
      </c>
      <c r="E119" s="874" t="s">
        <v>322</v>
      </c>
      <c r="F119" s="874" t="s">
        <v>221</v>
      </c>
      <c r="G119" s="874" t="str">
        <f t="shared" si="20"/>
        <v>Euribor6M</v>
      </c>
      <c r="H119" s="873" t="str">
        <f t="shared" si="21"/>
        <v>EUR3F10Y_Quote</v>
      </c>
      <c r="I119" s="876">
        <v>0</v>
      </c>
      <c r="J119" s="43"/>
      <c r="L119" s="894" t="str">
        <f t="shared" si="18"/>
        <v>FwdSw</v>
      </c>
      <c r="M119" s="890" t="str">
        <f t="shared" si="19"/>
        <v>--</v>
      </c>
      <c r="N119" s="893" t="str">
        <f ca="1">IFERROR(_xll.qlRateHelperQuoteName(M119,Trigger),"--")</f>
        <v>--</v>
      </c>
      <c r="O119" s="892" t="str">
        <f ca="1">IFERROR(_xll.qlRateHelperQuoteValue($M119,Trigger),"--")</f>
        <v>--</v>
      </c>
      <c r="P119" s="969" t="b">
        <v>0</v>
      </c>
      <c r="Q119" s="890">
        <v>50</v>
      </c>
      <c r="R119" s="890">
        <v>1</v>
      </c>
      <c r="S119" s="889" t="str">
        <f ca="1">IFERROR(_xll.qlRateHelperEarliestDate(M119,Trigger),"--")</f>
        <v>--</v>
      </c>
      <c r="T119" s="889" t="str">
        <f ca="1">IFERROR(_xll.qlRateHelperPillarDate(M119,Trigger),"--")</f>
        <v>--</v>
      </c>
      <c r="V119" s="4" t="str">
        <f t="shared" ca="1" si="17"/>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410</v>
      </c>
      <c r="B120" s="875" t="s">
        <v>45</v>
      </c>
      <c r="C120" s="874" t="s">
        <v>53</v>
      </c>
      <c r="D120" s="874" t="s">
        <v>323</v>
      </c>
      <c r="E120" s="874" t="s">
        <v>322</v>
      </c>
      <c r="F120" s="874" t="s">
        <v>221</v>
      </c>
      <c r="G120" s="874" t="str">
        <f t="shared" si="20"/>
        <v>Euribor6M</v>
      </c>
      <c r="H120" s="873" t="str">
        <f t="shared" si="21"/>
        <v>EUR3F11Y_Quote</v>
      </c>
      <c r="I120" s="876">
        <v>0</v>
      </c>
      <c r="J120" s="43"/>
      <c r="L120" s="894" t="str">
        <f t="shared" si="18"/>
        <v>FwdSw</v>
      </c>
      <c r="M120" s="890" t="str">
        <f t="shared" si="19"/>
        <v>--</v>
      </c>
      <c r="N120" s="893" t="str">
        <f ca="1">IFERROR(_xll.qlRateHelperQuoteName(M120,Trigger),"--")</f>
        <v>--</v>
      </c>
      <c r="O120" s="892" t="str">
        <f ca="1">IFERROR(_xll.qlRateHelperQuoteValue($M120,Trigger),"--")</f>
        <v>--</v>
      </c>
      <c r="P120" s="969" t="b">
        <v>0</v>
      </c>
      <c r="Q120" s="890">
        <v>50</v>
      </c>
      <c r="R120" s="890">
        <v>1</v>
      </c>
      <c r="S120" s="889" t="str">
        <f ca="1">IFERROR(_xll.qlRateHelperEarliestDate(M120,Trigger),"--")</f>
        <v>--</v>
      </c>
      <c r="T120" s="889" t="str">
        <f ca="1">IFERROR(_xll.qlRateHelperPillarDate(M120,Trigger),"--")</f>
        <v>--</v>
      </c>
      <c r="V120" s="4" t="str">
        <f t="shared" ca="1" si="17"/>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410</v>
      </c>
      <c r="B121" s="875" t="s">
        <v>44</v>
      </c>
      <c r="C121" s="874" t="s">
        <v>53</v>
      </c>
      <c r="D121" s="874" t="s">
        <v>323</v>
      </c>
      <c r="E121" s="874" t="s">
        <v>322</v>
      </c>
      <c r="F121" s="874" t="s">
        <v>221</v>
      </c>
      <c r="G121" s="874" t="str">
        <f t="shared" si="20"/>
        <v>Euribor6M</v>
      </c>
      <c r="H121" s="873" t="str">
        <f t="shared" si="21"/>
        <v>EUR3F12Y_Quote</v>
      </c>
      <c r="I121" s="876">
        <v>0</v>
      </c>
      <c r="J121" s="43"/>
      <c r="L121" s="894" t="str">
        <f t="shared" si="18"/>
        <v>FwdSw</v>
      </c>
      <c r="M121" s="890" t="str">
        <f t="shared" si="19"/>
        <v>--</v>
      </c>
      <c r="N121" s="893" t="str">
        <f ca="1">IFERROR(_xll.qlRateHelperQuoteName(M121,Trigger),"--")</f>
        <v>--</v>
      </c>
      <c r="O121" s="892" t="str">
        <f ca="1">IFERROR(_xll.qlRateHelperQuoteValue($M121,Trigger),"--")</f>
        <v>--</v>
      </c>
      <c r="P121" s="969" t="b">
        <v>0</v>
      </c>
      <c r="Q121" s="890">
        <v>50</v>
      </c>
      <c r="R121" s="890">
        <v>1</v>
      </c>
      <c r="S121" s="889" t="str">
        <f ca="1">IFERROR(_xll.qlRateHelperEarliestDate(M121,Trigger),"--")</f>
        <v>--</v>
      </c>
      <c r="T121" s="889" t="str">
        <f ca="1">IFERROR(_xll.qlRateHelperPillarDate(M121,Trigger),"--")</f>
        <v>--</v>
      </c>
      <c r="V121" s="4" t="str">
        <f t="shared" ca="1" si="17"/>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410</v>
      </c>
      <c r="B122" s="875" t="s">
        <v>43</v>
      </c>
      <c r="C122" s="874" t="s">
        <v>53</v>
      </c>
      <c r="D122" s="874" t="s">
        <v>323</v>
      </c>
      <c r="E122" s="874" t="s">
        <v>322</v>
      </c>
      <c r="F122" s="874" t="s">
        <v>221</v>
      </c>
      <c r="G122" s="874" t="str">
        <f t="shared" si="20"/>
        <v>Euribor6M</v>
      </c>
      <c r="H122" s="873" t="str">
        <f t="shared" si="21"/>
        <v>EUR3F13Y_Quote</v>
      </c>
      <c r="I122" s="876">
        <v>0</v>
      </c>
      <c r="J122" s="43"/>
      <c r="L122" s="894" t="str">
        <f t="shared" si="18"/>
        <v>FwdSw</v>
      </c>
      <c r="M122" s="890" t="str">
        <f t="shared" si="19"/>
        <v>--</v>
      </c>
      <c r="N122" s="893" t="str">
        <f ca="1">IFERROR(_xll.qlRateHelperQuoteName(M122,Trigger),"--")</f>
        <v>--</v>
      </c>
      <c r="O122" s="892" t="str">
        <f ca="1">IFERROR(_xll.qlRateHelperQuoteValue($M122,Trigger),"--")</f>
        <v>--</v>
      </c>
      <c r="P122" s="969" t="b">
        <v>0</v>
      </c>
      <c r="Q122" s="890">
        <v>50</v>
      </c>
      <c r="R122" s="890">
        <v>1</v>
      </c>
      <c r="S122" s="889" t="str">
        <f ca="1">IFERROR(_xll.qlRateHelperEarliestDate(M122,Trigger),"--")</f>
        <v>--</v>
      </c>
      <c r="T122" s="889" t="str">
        <f ca="1">IFERROR(_xll.qlRateHelperPillarDate(M122,Trigger),"--")</f>
        <v>--</v>
      </c>
      <c r="V122" s="4" t="str">
        <f t="shared" ca="1" si="17"/>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410</v>
      </c>
      <c r="B123" s="875" t="s">
        <v>42</v>
      </c>
      <c r="C123" s="874" t="s">
        <v>53</v>
      </c>
      <c r="D123" s="874" t="s">
        <v>323</v>
      </c>
      <c r="E123" s="874" t="s">
        <v>322</v>
      </c>
      <c r="F123" s="874" t="s">
        <v>221</v>
      </c>
      <c r="G123" s="874" t="str">
        <f t="shared" si="20"/>
        <v>Euribor6M</v>
      </c>
      <c r="H123" s="873" t="str">
        <f t="shared" si="21"/>
        <v>EUR3F14Y_Quote</v>
      </c>
      <c r="I123" s="876">
        <v>0</v>
      </c>
      <c r="J123" s="43"/>
      <c r="L123" s="894" t="str">
        <f t="shared" si="18"/>
        <v>FwdSw</v>
      </c>
      <c r="M123" s="890" t="str">
        <f t="shared" si="19"/>
        <v>--</v>
      </c>
      <c r="N123" s="893" t="str">
        <f ca="1">IFERROR(_xll.qlRateHelperQuoteName(M123,Trigger),"--")</f>
        <v>--</v>
      </c>
      <c r="O123" s="892" t="str">
        <f ca="1">IFERROR(_xll.qlRateHelperQuoteValue($M123,Trigger),"--")</f>
        <v>--</v>
      </c>
      <c r="P123" s="969" t="b">
        <v>0</v>
      </c>
      <c r="Q123" s="890">
        <v>50</v>
      </c>
      <c r="R123" s="890">
        <v>1</v>
      </c>
      <c r="S123" s="889" t="str">
        <f ca="1">IFERROR(_xll.qlRateHelperEarliestDate(M123,Trigger),"--")</f>
        <v>--</v>
      </c>
      <c r="T123" s="889" t="str">
        <f ca="1">IFERROR(_xll.qlRateHelperPillarDate(M123,Trigger),"--")</f>
        <v>--</v>
      </c>
      <c r="V123" s="4" t="str">
        <f t="shared" ca="1" si="17"/>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410</v>
      </c>
      <c r="B124" s="875" t="s">
        <v>41</v>
      </c>
      <c r="C124" s="874" t="s">
        <v>53</v>
      </c>
      <c r="D124" s="874" t="s">
        <v>323</v>
      </c>
      <c r="E124" s="874" t="s">
        <v>322</v>
      </c>
      <c r="F124" s="874" t="s">
        <v>221</v>
      </c>
      <c r="G124" s="874" t="str">
        <f t="shared" si="20"/>
        <v>Euribor6M</v>
      </c>
      <c r="H124" s="873" t="str">
        <f t="shared" si="21"/>
        <v>EUR3F15Y_Quote</v>
      </c>
      <c r="I124" s="876">
        <v>0</v>
      </c>
      <c r="J124" s="43"/>
      <c r="L124" s="894" t="str">
        <f t="shared" si="18"/>
        <v>FwdSw</v>
      </c>
      <c r="M124" s="890" t="str">
        <f t="shared" si="19"/>
        <v>--</v>
      </c>
      <c r="N124" s="893" t="str">
        <f ca="1">IFERROR(_xll.qlRateHelperQuoteName(M124,Trigger),"--")</f>
        <v>--</v>
      </c>
      <c r="O124" s="892" t="str">
        <f ca="1">IFERROR(_xll.qlRateHelperQuoteValue($M124,Trigger),"--")</f>
        <v>--</v>
      </c>
      <c r="P124" s="969" t="b">
        <v>0</v>
      </c>
      <c r="Q124" s="890">
        <v>50</v>
      </c>
      <c r="R124" s="890">
        <v>1</v>
      </c>
      <c r="S124" s="889" t="str">
        <f ca="1">IFERROR(_xll.qlRateHelperEarliestDate(M124,Trigger),"--")</f>
        <v>--</v>
      </c>
      <c r="T124" s="889" t="str">
        <f ca="1">IFERROR(_xll.qlRateHelperPillarDate(M124,Trigger),"--")</f>
        <v>--</v>
      </c>
      <c r="V124" s="4" t="str">
        <f t="shared" ca="1" si="17"/>
        <v/>
      </c>
      <c r="W124" s="4" t="e">
        <f ca="1"/>
        <v>#NAME?</v>
      </c>
      <c r="X124" s="4" t="str">
        <f ca="1">IFERROR(_xll.qlRateHelperQuoteName(W124,Trigger),"")</f>
        <v/>
      </c>
      <c r="Y124" s="888" t="str">
        <f ca="1">IFERROR(_xll.qlRateHelperRate(W124,Trigger),"")</f>
        <v/>
      </c>
      <c r="Z124" s="887"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6" t="e">
        <f ca="1"/>
        <v>#NAME?</v>
      </c>
    </row>
    <row r="125" spans="1:29" x14ac:dyDescent="0.2">
      <c r="A125" s="873" t="s">
        <v>410</v>
      </c>
      <c r="B125" s="875" t="s">
        <v>36</v>
      </c>
      <c r="C125" s="874" t="s">
        <v>53</v>
      </c>
      <c r="D125" s="874" t="s">
        <v>323</v>
      </c>
      <c r="E125" s="874" t="s">
        <v>322</v>
      </c>
      <c r="F125" s="874" t="s">
        <v>221</v>
      </c>
      <c r="G125" s="874" t="str">
        <f t="shared" si="20"/>
        <v>Euribor6M</v>
      </c>
      <c r="H125" s="873" t="str">
        <f t="shared" si="21"/>
        <v>EUR3F20Y_Quote</v>
      </c>
      <c r="I125" s="876">
        <v>0</v>
      </c>
      <c r="J125" s="43"/>
      <c r="L125" s="894" t="str">
        <f t="shared" si="18"/>
        <v>FwdSw</v>
      </c>
      <c r="M125" s="890" t="str">
        <f t="shared" si="19"/>
        <v>--</v>
      </c>
      <c r="N125" s="893" t="str">
        <f ca="1">IFERROR(_xll.qlRateHelperQuoteName(M125,Trigger),"--")</f>
        <v>--</v>
      </c>
      <c r="O125" s="892" t="str">
        <f ca="1">IFERROR(_xll.qlRateHelperQuoteValue($M125,Trigger),"--")</f>
        <v>--</v>
      </c>
      <c r="P125" s="969" t="b">
        <v>0</v>
      </c>
      <c r="Q125" s="890">
        <v>50</v>
      </c>
      <c r="R125" s="890">
        <v>1</v>
      </c>
      <c r="S125" s="889" t="str">
        <f ca="1">IFERROR(_xll.qlRateHelperEarliestDate(M125,Trigger),"--")</f>
        <v>--</v>
      </c>
      <c r="T125" s="889" t="str">
        <f ca="1">IFERROR(_xll.qlRateHelperPillarDate(M125,Trigger),"--")</f>
        <v>--</v>
      </c>
      <c r="V125" s="4" t="str">
        <f t="shared" ca="1" si="17"/>
        <v/>
      </c>
      <c r="W125" s="4" t="e">
        <f ca="1"/>
        <v>#NAME?</v>
      </c>
      <c r="X125" s="4" t="str">
        <f ca="1">IFERROR(_xll.qlRateHelperQuoteName(W125,Trigger),"")</f>
        <v/>
      </c>
      <c r="Y125" s="888" t="str">
        <f ca="1">IFERROR(_xll.qlRateHelperRate(W125,Trigger),"")</f>
        <v/>
      </c>
      <c r="Z125" s="887"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6" t="e">
        <f ca="1"/>
        <v>#NAME?</v>
      </c>
    </row>
    <row r="126" spans="1:29" x14ac:dyDescent="0.2">
      <c r="A126" s="873" t="s">
        <v>410</v>
      </c>
      <c r="B126" s="875" t="s">
        <v>31</v>
      </c>
      <c r="C126" s="874" t="s">
        <v>53</v>
      </c>
      <c r="D126" s="874" t="s">
        <v>323</v>
      </c>
      <c r="E126" s="874" t="s">
        <v>322</v>
      </c>
      <c r="F126" s="874" t="s">
        <v>221</v>
      </c>
      <c r="G126" s="874" t="str">
        <f t="shared" si="20"/>
        <v>Euribor6M</v>
      </c>
      <c r="H126" s="873" t="str">
        <f t="shared" si="21"/>
        <v>EUR3F25Y_Quote</v>
      </c>
      <c r="I126" s="876">
        <v>0</v>
      </c>
      <c r="J126" s="43"/>
      <c r="L126" s="894" t="str">
        <f t="shared" si="18"/>
        <v>FwdSw</v>
      </c>
      <c r="M126" s="890" t="str">
        <f t="shared" si="19"/>
        <v>--</v>
      </c>
      <c r="N126" s="893" t="str">
        <f ca="1">IFERROR(_xll.qlRateHelperQuoteName(M126,Trigger),"--")</f>
        <v>--</v>
      </c>
      <c r="O126" s="892" t="str">
        <f ca="1">IFERROR(_xll.qlRateHelperQuoteValue($M126,Trigger),"--")</f>
        <v>--</v>
      </c>
      <c r="P126" s="969" t="b">
        <v>0</v>
      </c>
      <c r="Q126" s="890">
        <v>50</v>
      </c>
      <c r="R126" s="890">
        <v>1</v>
      </c>
      <c r="S126" s="889" t="str">
        <f ca="1">IFERROR(_xll.qlRateHelperEarliestDate(M126,Trigger),"--")</f>
        <v>--</v>
      </c>
      <c r="T126" s="889" t="str">
        <f ca="1">IFERROR(_xll.qlRateHelperPillarDate(M126,Trigger),"--")</f>
        <v>--</v>
      </c>
      <c r="V126" s="4" t="str">
        <f t="shared" ca="1" si="17"/>
        <v/>
      </c>
      <c r="W126" s="4" t="e">
        <f ca="1"/>
        <v>#NAME?</v>
      </c>
      <c r="X126" s="4" t="str">
        <f ca="1">IFERROR(_xll.qlRateHelperQuoteName(W126,Trigger),"")</f>
        <v/>
      </c>
      <c r="Y126" s="888" t="str">
        <f ca="1">IFERROR(_xll.qlRateHelperRate(W126,Trigger),"")</f>
        <v/>
      </c>
      <c r="Z126" s="887"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6" t="e">
        <f ca="1"/>
        <v>#NAME?</v>
      </c>
    </row>
    <row r="127" spans="1:29" x14ac:dyDescent="0.2">
      <c r="A127" s="873" t="s">
        <v>410</v>
      </c>
      <c r="B127" s="875" t="s">
        <v>26</v>
      </c>
      <c r="C127" s="874" t="s">
        <v>53</v>
      </c>
      <c r="D127" s="874" t="s">
        <v>323</v>
      </c>
      <c r="E127" s="874" t="s">
        <v>322</v>
      </c>
      <c r="F127" s="874" t="s">
        <v>221</v>
      </c>
      <c r="G127" s="874" t="str">
        <f t="shared" si="20"/>
        <v>Euribor6M</v>
      </c>
      <c r="H127" s="873" t="str">
        <f t="shared" si="21"/>
        <v>EUR3F30Y_Quote</v>
      </c>
      <c r="I127" s="876">
        <v>0</v>
      </c>
      <c r="J127" s="43"/>
      <c r="L127" s="894" t="str">
        <f t="shared" si="18"/>
        <v>FwdSw</v>
      </c>
      <c r="M127" s="890" t="str">
        <f t="shared" si="19"/>
        <v>--</v>
      </c>
      <c r="N127" s="893" t="str">
        <f ca="1">IFERROR(_xll.qlRateHelperQuoteName(M127,Trigger),"--")</f>
        <v>--</v>
      </c>
      <c r="O127" s="892" t="str">
        <f ca="1">IFERROR(_xll.qlRateHelperQuoteValue($M127,Trigger),"--")</f>
        <v>--</v>
      </c>
      <c r="P127" s="969" t="b">
        <v>0</v>
      </c>
      <c r="Q127" s="890">
        <v>50</v>
      </c>
      <c r="R127" s="890">
        <v>1</v>
      </c>
      <c r="S127" s="889" t="str">
        <f ca="1">IFERROR(_xll.qlRateHelperEarliestDate(M127,Trigger),"--")</f>
        <v>--</v>
      </c>
      <c r="T127" s="889" t="str">
        <f ca="1">IFERROR(_xll.qlRateHelperPillarDate(M127,Trigger),"--")</f>
        <v>--</v>
      </c>
      <c r="V127" s="4" t="str">
        <f t="shared" ca="1" si="17"/>
        <v/>
      </c>
      <c r="W127" s="4" t="e">
        <f ca="1"/>
        <v>#NAME?</v>
      </c>
      <c r="X127" s="4" t="str">
        <f ca="1">IFERROR(_xll.qlRateHelperQuoteName(W127,Trigger),"")</f>
        <v/>
      </c>
      <c r="Y127" s="888" t="str">
        <f ca="1">IFERROR(_xll.qlRateHelperRate(W127,Trigger),"")</f>
        <v/>
      </c>
      <c r="Z127" s="887"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6" t="e">
        <f ca="1"/>
        <v>#NAME?</v>
      </c>
    </row>
    <row r="128" spans="1:29" x14ac:dyDescent="0.2">
      <c r="A128" s="896" t="s">
        <v>410</v>
      </c>
      <c r="B128" s="898" t="s">
        <v>58</v>
      </c>
      <c r="C128" s="897" t="s">
        <v>52</v>
      </c>
      <c r="D128" s="897" t="s">
        <v>323</v>
      </c>
      <c r="E128" s="897" t="s">
        <v>322</v>
      </c>
      <c r="F128" s="897" t="s">
        <v>221</v>
      </c>
      <c r="G128" s="897" t="str">
        <f t="shared" si="20"/>
        <v>Euribor6M</v>
      </c>
      <c r="H128" s="896" t="str">
        <f t="shared" si="21"/>
        <v>EUR4F1Y_Quote</v>
      </c>
      <c r="I128" s="895">
        <v>0</v>
      </c>
      <c r="J128" s="47"/>
      <c r="L128" s="894" t="str">
        <f t="shared" si="18"/>
        <v>FwdSw</v>
      </c>
      <c r="M128" s="890" t="str">
        <f t="shared" si="19"/>
        <v>--</v>
      </c>
      <c r="N128" s="893" t="str">
        <f ca="1">IFERROR(_xll.qlRateHelperQuoteName(M128,Trigger),"--")</f>
        <v>--</v>
      </c>
      <c r="O128" s="892" t="str">
        <f ca="1">IFERROR(_xll.qlRateHelperQuoteValue($M128,Trigger),"--")</f>
        <v>--</v>
      </c>
      <c r="P128" s="969" t="b">
        <v>0</v>
      </c>
      <c r="Q128" s="890">
        <v>50</v>
      </c>
      <c r="R128" s="890">
        <v>1</v>
      </c>
      <c r="S128" s="889" t="str">
        <f ca="1">IFERROR(_xll.qlRateHelperEarliestDate(M128,Trigger),"--")</f>
        <v>--</v>
      </c>
      <c r="T128" s="889" t="str">
        <f ca="1">IFERROR(_xll.qlRateHelperPillarDate(M128,Trigger),"--")</f>
        <v>--</v>
      </c>
      <c r="V128" s="4" t="str">
        <f t="shared" ca="1" si="17"/>
        <v/>
      </c>
      <c r="W128" s="4" t="e">
        <f ca="1"/>
        <v>#NAME?</v>
      </c>
      <c r="X128" s="4" t="str">
        <f ca="1">IFERROR(_xll.qlRateHelperQuoteName(W128,Trigger),"")</f>
        <v/>
      </c>
      <c r="Y128" s="888" t="str">
        <f ca="1">IFERROR(_xll.qlRateHelperRate(W128,Trigger),"")</f>
        <v/>
      </c>
      <c r="Z128" s="887"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6" t="e">
        <f ca="1"/>
        <v>#NAME?</v>
      </c>
    </row>
    <row r="129" spans="1:29" x14ac:dyDescent="0.2">
      <c r="A129" s="873" t="s">
        <v>410</v>
      </c>
      <c r="B129" s="875" t="s">
        <v>54</v>
      </c>
      <c r="C129" s="874" t="s">
        <v>52</v>
      </c>
      <c r="D129" s="874" t="s">
        <v>323</v>
      </c>
      <c r="E129" s="874" t="s">
        <v>322</v>
      </c>
      <c r="F129" s="874" t="s">
        <v>221</v>
      </c>
      <c r="G129" s="874" t="str">
        <f t="shared" si="20"/>
        <v>Euribor6M</v>
      </c>
      <c r="H129" s="873" t="str">
        <f t="shared" si="21"/>
        <v>EUR4F2Y_Quote</v>
      </c>
      <c r="I129" s="876">
        <v>0</v>
      </c>
      <c r="J129" s="43"/>
      <c r="L129" s="894" t="str">
        <f t="shared" si="18"/>
        <v>FwdSw</v>
      </c>
      <c r="M129" s="890" t="str">
        <f t="shared" si="19"/>
        <v>--</v>
      </c>
      <c r="N129" s="893" t="str">
        <f ca="1">IFERROR(_xll.qlRateHelperQuoteName(M129,Trigger),"--")</f>
        <v>--</v>
      </c>
      <c r="O129" s="892" t="str">
        <f ca="1">IFERROR(_xll.qlRateHelperQuoteValue($M129,Trigger),"--")</f>
        <v>--</v>
      </c>
      <c r="P129" s="969" t="b">
        <v>0</v>
      </c>
      <c r="Q129" s="890">
        <v>50</v>
      </c>
      <c r="R129" s="890">
        <v>1</v>
      </c>
      <c r="S129" s="889" t="str">
        <f ca="1">IFERROR(_xll.qlRateHelperEarliestDate(M129,Trigger),"--")</f>
        <v>--</v>
      </c>
      <c r="T129" s="889" t="str">
        <f ca="1">IFERROR(_xll.qlRateHelperPillarDate(M129,Trigger),"--")</f>
        <v>--</v>
      </c>
      <c r="V129" s="4" t="str">
        <f t="shared" ca="1" si="17"/>
        <v/>
      </c>
      <c r="W129" s="4" t="e">
        <f ca="1"/>
        <v>#NAME?</v>
      </c>
      <c r="X129" s="4" t="str">
        <f ca="1">IFERROR(_xll.qlRateHelperQuoteName(W129,Trigger),"")</f>
        <v/>
      </c>
      <c r="Y129" s="888" t="str">
        <f ca="1">IFERROR(_xll.qlRateHelperRate(W129,Trigger),"")</f>
        <v/>
      </c>
      <c r="Z129" s="887"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6" t="e">
        <f ca="1"/>
        <v>#NAME?</v>
      </c>
    </row>
    <row r="130" spans="1:29" x14ac:dyDescent="0.2">
      <c r="A130" s="873" t="s">
        <v>410</v>
      </c>
      <c r="B130" s="875" t="s">
        <v>53</v>
      </c>
      <c r="C130" s="874" t="s">
        <v>52</v>
      </c>
      <c r="D130" s="874" t="s">
        <v>323</v>
      </c>
      <c r="E130" s="874" t="s">
        <v>322</v>
      </c>
      <c r="F130" s="874" t="s">
        <v>221</v>
      </c>
      <c r="G130" s="874" t="str">
        <f t="shared" si="20"/>
        <v>Euribor6M</v>
      </c>
      <c r="H130" s="873" t="str">
        <f t="shared" si="21"/>
        <v>EUR4F3Y_Quote</v>
      </c>
      <c r="I130" s="876">
        <v>0</v>
      </c>
      <c r="J130" s="43"/>
      <c r="L130" s="894" t="str">
        <f t="shared" si="18"/>
        <v>FwdSw</v>
      </c>
      <c r="M130" s="890" t="str">
        <f t="shared" si="19"/>
        <v>--</v>
      </c>
      <c r="N130" s="893" t="str">
        <f ca="1">IFERROR(_xll.qlRateHelperQuoteName(M130,Trigger),"--")</f>
        <v>--</v>
      </c>
      <c r="O130" s="892" t="str">
        <f ca="1">IFERROR(_xll.qlRateHelperQuoteValue($M130,Trigger),"--")</f>
        <v>--</v>
      </c>
      <c r="P130" s="969" t="b">
        <v>0</v>
      </c>
      <c r="Q130" s="890">
        <v>50</v>
      </c>
      <c r="R130" s="890">
        <v>1</v>
      </c>
      <c r="S130" s="889" t="str">
        <f ca="1">IFERROR(_xll.qlRateHelperEarliestDate(M130,Trigger),"--")</f>
        <v>--</v>
      </c>
      <c r="T130" s="889" t="str">
        <f ca="1">IFERROR(_xll.qlRateHelperPillarDate(M130,Trigger),"--")</f>
        <v>--</v>
      </c>
      <c r="V130" s="4" t="str">
        <f t="shared" ca="1" si="17"/>
        <v/>
      </c>
      <c r="W130" s="4" t="e">
        <f ca="1"/>
        <v>#NAME?</v>
      </c>
      <c r="X130" s="4" t="str">
        <f ca="1">IFERROR(_xll.qlRateHelperQuoteName(W130,Trigger),"")</f>
        <v/>
      </c>
      <c r="Y130" s="888" t="str">
        <f ca="1">IFERROR(_xll.qlRateHelperRate(W130,Trigger),"")</f>
        <v/>
      </c>
      <c r="Z130" s="887"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6" t="e">
        <f ca="1"/>
        <v>#NAME?</v>
      </c>
    </row>
    <row r="131" spans="1:29" x14ac:dyDescent="0.2">
      <c r="A131" s="873" t="s">
        <v>410</v>
      </c>
      <c r="B131" s="875" t="s">
        <v>52</v>
      </c>
      <c r="C131" s="874" t="s">
        <v>52</v>
      </c>
      <c r="D131" s="874" t="s">
        <v>323</v>
      </c>
      <c r="E131" s="874" t="s">
        <v>322</v>
      </c>
      <c r="F131" s="874" t="s">
        <v>221</v>
      </c>
      <c r="G131" s="874" t="str">
        <f t="shared" si="20"/>
        <v>Euribor6M</v>
      </c>
      <c r="H131" s="873" t="str">
        <f t="shared" si="21"/>
        <v>EUR4F4Y_Quote</v>
      </c>
      <c r="I131" s="876">
        <v>0</v>
      </c>
      <c r="J131" s="43"/>
      <c r="L131" s="894" t="str">
        <f t="shared" si="18"/>
        <v>FwdSw</v>
      </c>
      <c r="M131" s="890" t="str">
        <f t="shared" si="19"/>
        <v>--</v>
      </c>
      <c r="N131" s="893" t="str">
        <f ca="1">IFERROR(_xll.qlRateHelperQuoteName(M131,Trigger),"--")</f>
        <v>--</v>
      </c>
      <c r="O131" s="892" t="str">
        <f ca="1">IFERROR(_xll.qlRateHelperQuoteValue($M131,Trigger),"--")</f>
        <v>--</v>
      </c>
      <c r="P131" s="969" t="b">
        <v>0</v>
      </c>
      <c r="Q131" s="890">
        <v>50</v>
      </c>
      <c r="R131" s="890">
        <v>1</v>
      </c>
      <c r="S131" s="889" t="str">
        <f ca="1">IFERROR(_xll.qlRateHelperEarliestDate(M131,Trigger),"--")</f>
        <v>--</v>
      </c>
      <c r="T131" s="889" t="str">
        <f ca="1">IFERROR(_xll.qlRateHelperPillarDate(M131,Trigger),"--")</f>
        <v>--</v>
      </c>
      <c r="V131" s="4" t="str">
        <f t="shared" ref="V131:V194" ca="1" si="22">IFERROR(INDEX($L$3:$L$391,MATCH(X131,$N$3:$N$391,0),1),"")</f>
        <v/>
      </c>
      <c r="W131" s="4" t="e">
        <f ca="1"/>
        <v>#NAME?</v>
      </c>
      <c r="X131" s="4" t="str">
        <f ca="1">IFERROR(_xll.qlRateHelperQuoteName(W131,Trigger),"")</f>
        <v/>
      </c>
      <c r="Y131" s="888" t="str">
        <f ca="1">IFERROR(_xll.qlRateHelperRate(W131,Trigger),"")</f>
        <v/>
      </c>
      <c r="Z131" s="887"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6" t="e">
        <f ca="1"/>
        <v>#NAME?</v>
      </c>
    </row>
    <row r="132" spans="1:29" x14ac:dyDescent="0.2">
      <c r="A132" s="873" t="s">
        <v>410</v>
      </c>
      <c r="B132" s="875" t="s">
        <v>51</v>
      </c>
      <c r="C132" s="874" t="s">
        <v>52</v>
      </c>
      <c r="D132" s="874" t="s">
        <v>323</v>
      </c>
      <c r="E132" s="874" t="s">
        <v>322</v>
      </c>
      <c r="F132" s="874" t="s">
        <v>221</v>
      </c>
      <c r="G132" s="874" t="str">
        <f t="shared" si="20"/>
        <v>Euribor6M</v>
      </c>
      <c r="H132" s="873" t="str">
        <f t="shared" si="21"/>
        <v>EUR4F5Y_Quote</v>
      </c>
      <c r="I132" s="876">
        <v>0</v>
      </c>
      <c r="J132" s="43"/>
      <c r="L132" s="894" t="str">
        <f t="shared" ref="L132:L195" si="23">A138</f>
        <v>FwdSw</v>
      </c>
      <c r="M132" s="890" t="str">
        <f t="shared" ref="M132:M195" si="24">IF(ISBLANK(J138),"--",J138)</f>
        <v>--</v>
      </c>
      <c r="N132" s="893" t="str">
        <f ca="1">IFERROR(_xll.qlRateHelperQuoteName(M132,Trigger),"--")</f>
        <v>--</v>
      </c>
      <c r="O132" s="892" t="str">
        <f ca="1">IFERROR(_xll.qlRateHelperQuoteValue($M132,Trigger),"--")</f>
        <v>--</v>
      </c>
      <c r="P132" s="969" t="b">
        <v>0</v>
      </c>
      <c r="Q132" s="890">
        <v>50</v>
      </c>
      <c r="R132" s="890">
        <v>1</v>
      </c>
      <c r="S132" s="889" t="str">
        <f ca="1">IFERROR(_xll.qlRateHelperEarliestDate(M132,Trigger),"--")</f>
        <v>--</v>
      </c>
      <c r="T132" s="889" t="str">
        <f ca="1">IFERROR(_xll.qlRateHelperPillarDate(M132,Trigger),"--")</f>
        <v>--</v>
      </c>
      <c r="V132" s="4" t="str">
        <f t="shared" ca="1" si="22"/>
        <v/>
      </c>
      <c r="W132" s="4" t="e">
        <f ca="1"/>
        <v>#NAME?</v>
      </c>
      <c r="X132" s="4" t="str">
        <f ca="1">IFERROR(_xll.qlRateHelperQuoteName(W132,Trigger),"")</f>
        <v/>
      </c>
      <c r="Y132" s="888" t="str">
        <f ca="1">IFERROR(_xll.qlRateHelperRate(W132,Trigger),"")</f>
        <v/>
      </c>
      <c r="Z132" s="887"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6" t="e">
        <f ca="1"/>
        <v>#NAME?</v>
      </c>
    </row>
    <row r="133" spans="1:29" x14ac:dyDescent="0.2">
      <c r="A133" s="873" t="s">
        <v>410</v>
      </c>
      <c r="B133" s="875" t="s">
        <v>50</v>
      </c>
      <c r="C133" s="874" t="s">
        <v>52</v>
      </c>
      <c r="D133" s="874" t="s">
        <v>323</v>
      </c>
      <c r="E133" s="874" t="s">
        <v>322</v>
      </c>
      <c r="F133" s="874" t="s">
        <v>221</v>
      </c>
      <c r="G133" s="874" t="str">
        <f t="shared" si="20"/>
        <v>Euribor6M</v>
      </c>
      <c r="H133" s="873" t="str">
        <f t="shared" si="21"/>
        <v>EUR4F6Y_Quote</v>
      </c>
      <c r="I133" s="876">
        <v>0</v>
      </c>
      <c r="J133" s="43"/>
      <c r="L133" s="894" t="str">
        <f t="shared" si="23"/>
        <v>FwdSw</v>
      </c>
      <c r="M133" s="890" t="str">
        <f t="shared" si="24"/>
        <v>--</v>
      </c>
      <c r="N133" s="893" t="str">
        <f ca="1">IFERROR(_xll.qlRateHelperQuoteName(M133,Trigger),"--")</f>
        <v>--</v>
      </c>
      <c r="O133" s="892" t="str">
        <f ca="1">IFERROR(_xll.qlRateHelperQuoteValue($M133,Trigger),"--")</f>
        <v>--</v>
      </c>
      <c r="P133" s="969" t="b">
        <v>0</v>
      </c>
      <c r="Q133" s="890">
        <v>50</v>
      </c>
      <c r="R133" s="890">
        <v>1</v>
      </c>
      <c r="S133" s="889" t="str">
        <f ca="1">IFERROR(_xll.qlRateHelperEarliestDate(M133,Trigger),"--")</f>
        <v>--</v>
      </c>
      <c r="T133" s="889" t="str">
        <f ca="1">IFERROR(_xll.qlRateHelperPillarDate(M133,Trigger),"--")</f>
        <v>--</v>
      </c>
      <c r="V133" s="4" t="str">
        <f t="shared" ca="1" si="22"/>
        <v/>
      </c>
      <c r="W133" s="4" t="e">
        <f ca="1"/>
        <v>#NAME?</v>
      </c>
      <c r="X133" s="4" t="str">
        <f ca="1">IFERROR(_xll.qlRateHelperQuoteName(W133,Trigger),"")</f>
        <v/>
      </c>
      <c r="Y133" s="888" t="str">
        <f ca="1">IFERROR(_xll.qlRateHelperRate(W133,Trigger),"")</f>
        <v/>
      </c>
      <c r="Z133" s="887"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6" t="e">
        <f ca="1"/>
        <v>#NAME?</v>
      </c>
    </row>
    <row r="134" spans="1:29" x14ac:dyDescent="0.2">
      <c r="A134" s="873" t="s">
        <v>410</v>
      </c>
      <c r="B134" s="875" t="s">
        <v>49</v>
      </c>
      <c r="C134" s="874" t="s">
        <v>52</v>
      </c>
      <c r="D134" s="874" t="s">
        <v>323</v>
      </c>
      <c r="E134" s="874" t="s">
        <v>322</v>
      </c>
      <c r="F134" s="874" t="s">
        <v>221</v>
      </c>
      <c r="G134" s="874" t="str">
        <f t="shared" si="20"/>
        <v>Euribor6M</v>
      </c>
      <c r="H134" s="873" t="str">
        <f t="shared" si="21"/>
        <v>EUR4F7Y_Quote</v>
      </c>
      <c r="I134" s="876">
        <v>0</v>
      </c>
      <c r="J134" s="43"/>
      <c r="L134" s="894" t="str">
        <f t="shared" si="23"/>
        <v>FwdSw</v>
      </c>
      <c r="M134" s="890" t="str">
        <f t="shared" si="24"/>
        <v>--</v>
      </c>
      <c r="N134" s="893" t="str">
        <f ca="1">IFERROR(_xll.qlRateHelperQuoteName(M134,Trigger),"--")</f>
        <v>--</v>
      </c>
      <c r="O134" s="892" t="str">
        <f ca="1">IFERROR(_xll.qlRateHelperQuoteValue($M134,Trigger),"--")</f>
        <v>--</v>
      </c>
      <c r="P134" s="969" t="b">
        <v>0</v>
      </c>
      <c r="Q134" s="890">
        <v>50</v>
      </c>
      <c r="R134" s="890">
        <v>1</v>
      </c>
      <c r="S134" s="889" t="str">
        <f ca="1">IFERROR(_xll.qlRateHelperEarliestDate(M134,Trigger),"--")</f>
        <v>--</v>
      </c>
      <c r="T134" s="889" t="str">
        <f ca="1">IFERROR(_xll.qlRateHelperPillarDate(M134,Trigger),"--")</f>
        <v>--</v>
      </c>
      <c r="V134" s="4" t="str">
        <f t="shared" ca="1" si="22"/>
        <v/>
      </c>
      <c r="W134" s="4" t="e">
        <f ca="1"/>
        <v>#NAME?</v>
      </c>
      <c r="X134" s="4" t="str">
        <f ca="1">IFERROR(_xll.qlRateHelperQuoteName(W134,Trigger),"")</f>
        <v/>
      </c>
      <c r="Y134" s="888" t="str">
        <f ca="1">IFERROR(_xll.qlRateHelperRate(W134,Trigger),"")</f>
        <v/>
      </c>
      <c r="Z134" s="887"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6" t="e">
        <f ca="1"/>
        <v>#NAME?</v>
      </c>
    </row>
    <row r="135" spans="1:29" x14ac:dyDescent="0.2">
      <c r="A135" s="873" t="s">
        <v>410</v>
      </c>
      <c r="B135" s="875" t="s">
        <v>48</v>
      </c>
      <c r="C135" s="874" t="s">
        <v>52</v>
      </c>
      <c r="D135" s="874" t="s">
        <v>323</v>
      </c>
      <c r="E135" s="874" t="s">
        <v>322</v>
      </c>
      <c r="F135" s="874" t="s">
        <v>221</v>
      </c>
      <c r="G135" s="874" t="str">
        <f t="shared" si="20"/>
        <v>Euribor6M</v>
      </c>
      <c r="H135" s="873" t="str">
        <f t="shared" si="21"/>
        <v>EUR4F8Y_Quote</v>
      </c>
      <c r="I135" s="876">
        <v>0</v>
      </c>
      <c r="J135" s="43"/>
      <c r="L135" s="894" t="str">
        <f t="shared" si="23"/>
        <v>FwdSw</v>
      </c>
      <c r="M135" s="890" t="str">
        <f t="shared" si="24"/>
        <v>--</v>
      </c>
      <c r="N135" s="893" t="str">
        <f ca="1">IFERROR(_xll.qlRateHelperQuoteName(M135,Trigger),"--")</f>
        <v>--</v>
      </c>
      <c r="O135" s="892" t="str">
        <f ca="1">IFERROR(_xll.qlRateHelperQuoteValue($M135,Trigger),"--")</f>
        <v>--</v>
      </c>
      <c r="P135" s="969" t="b">
        <v>0</v>
      </c>
      <c r="Q135" s="890">
        <v>50</v>
      </c>
      <c r="R135" s="890">
        <v>1</v>
      </c>
      <c r="S135" s="889" t="str">
        <f ca="1">IFERROR(_xll.qlRateHelperEarliestDate(M135,Trigger),"--")</f>
        <v>--</v>
      </c>
      <c r="T135" s="889" t="str">
        <f ca="1">IFERROR(_xll.qlRateHelperPillarDate(M135,Trigger),"--")</f>
        <v>--</v>
      </c>
      <c r="V135" s="4" t="str">
        <f t="shared" ca="1" si="22"/>
        <v/>
      </c>
      <c r="W135" s="4" t="e">
        <f ca="1"/>
        <v>#NAME?</v>
      </c>
      <c r="X135" s="4" t="str">
        <f ca="1">IFERROR(_xll.qlRateHelperQuoteName(W135,Trigger),"")</f>
        <v/>
      </c>
      <c r="Y135" s="888" t="str">
        <f ca="1">IFERROR(_xll.qlRateHelperRate(W135,Trigger),"")</f>
        <v/>
      </c>
      <c r="Z135" s="887"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6" t="e">
        <f ca="1"/>
        <v>#NAME?</v>
      </c>
    </row>
    <row r="136" spans="1:29" x14ac:dyDescent="0.2">
      <c r="A136" s="873" t="s">
        <v>410</v>
      </c>
      <c r="B136" s="875" t="s">
        <v>47</v>
      </c>
      <c r="C136" s="874" t="s">
        <v>52</v>
      </c>
      <c r="D136" s="874" t="s">
        <v>323</v>
      </c>
      <c r="E136" s="874" t="s">
        <v>322</v>
      </c>
      <c r="F136" s="874" t="s">
        <v>221</v>
      </c>
      <c r="G136" s="874" t="str">
        <f t="shared" si="20"/>
        <v>Euribor6M</v>
      </c>
      <c r="H136" s="873" t="str">
        <f t="shared" si="21"/>
        <v>EUR4F9Y_Quote</v>
      </c>
      <c r="I136" s="876">
        <v>0</v>
      </c>
      <c r="J136" s="43"/>
      <c r="L136" s="894" t="str">
        <f t="shared" si="23"/>
        <v>FwdSw</v>
      </c>
      <c r="M136" s="890" t="str">
        <f t="shared" si="24"/>
        <v>--</v>
      </c>
      <c r="N136" s="893" t="str">
        <f ca="1">IFERROR(_xll.qlRateHelperQuoteName(M136,Trigger),"--")</f>
        <v>--</v>
      </c>
      <c r="O136" s="892" t="str">
        <f ca="1">IFERROR(_xll.qlRateHelperQuoteValue($M136,Trigger),"--")</f>
        <v>--</v>
      </c>
      <c r="P136" s="969" t="b">
        <v>0</v>
      </c>
      <c r="Q136" s="890">
        <v>50</v>
      </c>
      <c r="R136" s="890">
        <v>1</v>
      </c>
      <c r="S136" s="889" t="str">
        <f ca="1">IFERROR(_xll.qlRateHelperEarliestDate(M136,Trigger),"--")</f>
        <v>--</v>
      </c>
      <c r="T136" s="889" t="str">
        <f ca="1">IFERROR(_xll.qlRateHelperPillarDate(M136,Trigger),"--")</f>
        <v>--</v>
      </c>
      <c r="V136" s="4" t="str">
        <f t="shared" ca="1" si="22"/>
        <v/>
      </c>
      <c r="W136" s="4" t="e">
        <f ca="1"/>
        <v>#NAME?</v>
      </c>
      <c r="X136" s="4" t="str">
        <f ca="1">IFERROR(_xll.qlRateHelperQuoteName(W136,Trigger),"")</f>
        <v/>
      </c>
      <c r="Y136" s="888" t="str">
        <f ca="1">IFERROR(_xll.qlRateHelperRate(W136,Trigger),"")</f>
        <v/>
      </c>
      <c r="Z136" s="887"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6" t="e">
        <f ca="1"/>
        <v>#NAME?</v>
      </c>
    </row>
    <row r="137" spans="1:29" x14ac:dyDescent="0.2">
      <c r="A137" s="873" t="s">
        <v>410</v>
      </c>
      <c r="B137" s="875" t="s">
        <v>46</v>
      </c>
      <c r="C137" s="874" t="s">
        <v>52</v>
      </c>
      <c r="D137" s="874" t="s">
        <v>323</v>
      </c>
      <c r="E137" s="874" t="s">
        <v>322</v>
      </c>
      <c r="F137" s="874" t="s">
        <v>221</v>
      </c>
      <c r="G137" s="874" t="str">
        <f t="shared" si="20"/>
        <v>Euribor6M</v>
      </c>
      <c r="H137" s="873" t="str">
        <f t="shared" si="21"/>
        <v>EUR4F10Y_Quote</v>
      </c>
      <c r="I137" s="876">
        <v>0</v>
      </c>
      <c r="J137" s="43"/>
      <c r="L137" s="894" t="str">
        <f t="shared" si="23"/>
        <v>FwdSw</v>
      </c>
      <c r="M137" s="890" t="str">
        <f t="shared" si="24"/>
        <v>--</v>
      </c>
      <c r="N137" s="893" t="str">
        <f ca="1">IFERROR(_xll.qlRateHelperQuoteName(M137,Trigger),"--")</f>
        <v>--</v>
      </c>
      <c r="O137" s="892" t="str">
        <f ca="1">IFERROR(_xll.qlRateHelperQuoteValue($M137,Trigger),"--")</f>
        <v>--</v>
      </c>
      <c r="P137" s="969" t="b">
        <v>0</v>
      </c>
      <c r="Q137" s="890">
        <v>50</v>
      </c>
      <c r="R137" s="890">
        <v>1</v>
      </c>
      <c r="S137" s="889" t="str">
        <f ca="1">IFERROR(_xll.qlRateHelperEarliestDate(M137,Trigger),"--")</f>
        <v>--</v>
      </c>
      <c r="T137" s="889" t="str">
        <f ca="1">IFERROR(_xll.qlRateHelperPillarDate(M137,Trigger),"--")</f>
        <v>--</v>
      </c>
      <c r="V137" s="4" t="str">
        <f t="shared" ca="1" si="22"/>
        <v/>
      </c>
      <c r="W137" s="4" t="e">
        <f ca="1"/>
        <v>#NAME?</v>
      </c>
      <c r="X137" s="4" t="str">
        <f ca="1">IFERROR(_xll.qlRateHelperQuoteName(W137,Trigger),"")</f>
        <v/>
      </c>
      <c r="Y137" s="888" t="str">
        <f ca="1">IFERROR(_xll.qlRateHelperRate(W137,Trigger),"")</f>
        <v/>
      </c>
      <c r="Z137" s="887"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6" t="e">
        <f ca="1"/>
        <v>#NAME?</v>
      </c>
    </row>
    <row r="138" spans="1:29" x14ac:dyDescent="0.2">
      <c r="A138" s="873" t="s">
        <v>410</v>
      </c>
      <c r="B138" s="875" t="s">
        <v>45</v>
      </c>
      <c r="C138" s="874" t="s">
        <v>52</v>
      </c>
      <c r="D138" s="874" t="s">
        <v>323</v>
      </c>
      <c r="E138" s="874" t="s">
        <v>322</v>
      </c>
      <c r="F138" s="874" t="s">
        <v>221</v>
      </c>
      <c r="G138" s="874" t="str">
        <f t="shared" ref="G138:G201" si="25">PROPER(Currency)&amp;FamilyName&amp;Tenor</f>
        <v>Euribor6M</v>
      </c>
      <c r="H138" s="873" t="str">
        <f t="shared" ref="H138:H201" si="26">Currency&amp;SUBSTITUTE(C138,"Y","F")&amp;B138&amp;QuoteSuffix</f>
        <v>EUR4F11Y_Quote</v>
      </c>
      <c r="I138" s="876">
        <v>0</v>
      </c>
      <c r="J138" s="43"/>
      <c r="L138" s="894" t="str">
        <f t="shared" si="23"/>
        <v>FwdSw</v>
      </c>
      <c r="M138" s="890" t="str">
        <f t="shared" si="24"/>
        <v>--</v>
      </c>
      <c r="N138" s="893" t="str">
        <f ca="1">IFERROR(_xll.qlRateHelperQuoteName(M138,Trigger),"--")</f>
        <v>--</v>
      </c>
      <c r="O138" s="892" t="str">
        <f ca="1">IFERROR(_xll.qlRateHelperQuoteValue($M138,Trigger),"--")</f>
        <v>--</v>
      </c>
      <c r="P138" s="969" t="b">
        <v>0</v>
      </c>
      <c r="Q138" s="890">
        <v>50</v>
      </c>
      <c r="R138" s="890">
        <v>1</v>
      </c>
      <c r="S138" s="889" t="str">
        <f ca="1">IFERROR(_xll.qlRateHelperEarliestDate(M138,Trigger),"--")</f>
        <v>--</v>
      </c>
      <c r="T138" s="889" t="str">
        <f ca="1">IFERROR(_xll.qlRateHelperPillarDate(M138,Trigger),"--")</f>
        <v>--</v>
      </c>
      <c r="V138" s="4" t="str">
        <f t="shared" ca="1" si="22"/>
        <v/>
      </c>
      <c r="W138" s="4" t="e">
        <f ca="1"/>
        <v>#NAME?</v>
      </c>
      <c r="X138" s="4" t="str">
        <f ca="1">IFERROR(_xll.qlRateHelperQuoteName(W138,Trigger),"")</f>
        <v/>
      </c>
      <c r="Y138" s="888" t="str">
        <f ca="1">IFERROR(_xll.qlRateHelperRate(W138,Trigger),"")</f>
        <v/>
      </c>
      <c r="Z138" s="887"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6" t="e">
        <f ca="1"/>
        <v>#NAME?</v>
      </c>
    </row>
    <row r="139" spans="1:29" x14ac:dyDescent="0.2">
      <c r="A139" s="873" t="s">
        <v>410</v>
      </c>
      <c r="B139" s="875" t="s">
        <v>44</v>
      </c>
      <c r="C139" s="874" t="s">
        <v>52</v>
      </c>
      <c r="D139" s="874" t="s">
        <v>323</v>
      </c>
      <c r="E139" s="874" t="s">
        <v>322</v>
      </c>
      <c r="F139" s="874" t="s">
        <v>221</v>
      </c>
      <c r="G139" s="874" t="str">
        <f t="shared" si="25"/>
        <v>Euribor6M</v>
      </c>
      <c r="H139" s="873" t="str">
        <f t="shared" si="26"/>
        <v>EUR4F12Y_Quote</v>
      </c>
      <c r="I139" s="876">
        <v>0</v>
      </c>
      <c r="J139" s="43"/>
      <c r="L139" s="894" t="str">
        <f t="shared" si="23"/>
        <v>FwdSw</v>
      </c>
      <c r="M139" s="890" t="str">
        <f t="shared" si="24"/>
        <v>--</v>
      </c>
      <c r="N139" s="893" t="str">
        <f ca="1">IFERROR(_xll.qlRateHelperQuoteName(M139,Trigger),"--")</f>
        <v>--</v>
      </c>
      <c r="O139" s="892" t="str">
        <f ca="1">IFERROR(_xll.qlRateHelperQuoteValue($M139,Trigger),"--")</f>
        <v>--</v>
      </c>
      <c r="P139" s="969" t="b">
        <v>0</v>
      </c>
      <c r="Q139" s="890">
        <v>50</v>
      </c>
      <c r="R139" s="890">
        <v>1</v>
      </c>
      <c r="S139" s="889" t="str">
        <f ca="1">IFERROR(_xll.qlRateHelperEarliestDate(M139,Trigger),"--")</f>
        <v>--</v>
      </c>
      <c r="T139" s="889" t="str">
        <f ca="1">IFERROR(_xll.qlRateHelperPillarDate(M139,Trigger),"--")</f>
        <v>--</v>
      </c>
      <c r="V139" s="4" t="str">
        <f t="shared" ca="1" si="22"/>
        <v/>
      </c>
      <c r="W139" s="4" t="e">
        <f ca="1"/>
        <v>#NAME?</v>
      </c>
      <c r="X139" s="4" t="str">
        <f ca="1">IFERROR(_xll.qlRateHelperQuoteName(W139,Trigger),"")</f>
        <v/>
      </c>
      <c r="Y139" s="888" t="str">
        <f ca="1">IFERROR(_xll.qlRateHelperRate(W139,Trigger),"")</f>
        <v/>
      </c>
      <c r="Z139" s="887"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6" t="e">
        <f ca="1"/>
        <v>#NAME?</v>
      </c>
    </row>
    <row r="140" spans="1:29" x14ac:dyDescent="0.2">
      <c r="A140" s="873" t="s">
        <v>410</v>
      </c>
      <c r="B140" s="875" t="s">
        <v>43</v>
      </c>
      <c r="C140" s="874" t="s">
        <v>52</v>
      </c>
      <c r="D140" s="874" t="s">
        <v>323</v>
      </c>
      <c r="E140" s="874" t="s">
        <v>322</v>
      </c>
      <c r="F140" s="874" t="s">
        <v>221</v>
      </c>
      <c r="G140" s="874" t="str">
        <f t="shared" si="25"/>
        <v>Euribor6M</v>
      </c>
      <c r="H140" s="873" t="str">
        <f t="shared" si="26"/>
        <v>EUR4F13Y_Quote</v>
      </c>
      <c r="I140" s="876">
        <v>0</v>
      </c>
      <c r="J140" s="43"/>
      <c r="L140" s="894" t="str">
        <f t="shared" si="23"/>
        <v>FwdSw</v>
      </c>
      <c r="M140" s="890" t="str">
        <f t="shared" si="24"/>
        <v>--</v>
      </c>
      <c r="N140" s="893" t="str">
        <f ca="1">IFERROR(_xll.qlRateHelperQuoteName(M140,Trigger),"--")</f>
        <v>--</v>
      </c>
      <c r="O140" s="892" t="str">
        <f ca="1">IFERROR(_xll.qlRateHelperQuoteValue($M140,Trigger),"--")</f>
        <v>--</v>
      </c>
      <c r="P140" s="969" t="b">
        <v>0</v>
      </c>
      <c r="Q140" s="890">
        <v>50</v>
      </c>
      <c r="R140" s="890">
        <v>1</v>
      </c>
      <c r="S140" s="889" t="str">
        <f ca="1">IFERROR(_xll.qlRateHelperEarliestDate(M140,Trigger),"--")</f>
        <v>--</v>
      </c>
      <c r="T140" s="889" t="str">
        <f ca="1">IFERROR(_xll.qlRateHelperPillarDate(M140,Trigger),"--")</f>
        <v>--</v>
      </c>
      <c r="V140" s="4" t="str">
        <f t="shared" ca="1" si="22"/>
        <v/>
      </c>
      <c r="W140" s="4" t="e">
        <f ca="1"/>
        <v>#NAME?</v>
      </c>
      <c r="X140" s="4" t="str">
        <f ca="1">IFERROR(_xll.qlRateHelperQuoteName(W140,Trigger),"")</f>
        <v/>
      </c>
      <c r="Y140" s="888" t="str">
        <f ca="1">IFERROR(_xll.qlRateHelperRate(W140,Trigger),"")</f>
        <v/>
      </c>
      <c r="Z140" s="887"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6" t="e">
        <f ca="1"/>
        <v>#NAME?</v>
      </c>
    </row>
    <row r="141" spans="1:29" x14ac:dyDescent="0.2">
      <c r="A141" s="873" t="s">
        <v>410</v>
      </c>
      <c r="B141" s="875" t="s">
        <v>42</v>
      </c>
      <c r="C141" s="874" t="s">
        <v>52</v>
      </c>
      <c r="D141" s="874" t="s">
        <v>323</v>
      </c>
      <c r="E141" s="874" t="s">
        <v>322</v>
      </c>
      <c r="F141" s="874" t="s">
        <v>221</v>
      </c>
      <c r="G141" s="874" t="str">
        <f t="shared" si="25"/>
        <v>Euribor6M</v>
      </c>
      <c r="H141" s="873" t="str">
        <f t="shared" si="26"/>
        <v>EUR4F14Y_Quote</v>
      </c>
      <c r="I141" s="876">
        <v>0</v>
      </c>
      <c r="J141" s="43"/>
      <c r="L141" s="894" t="str">
        <f t="shared" si="23"/>
        <v>FwdSw</v>
      </c>
      <c r="M141" s="890" t="str">
        <f t="shared" si="24"/>
        <v>--</v>
      </c>
      <c r="N141" s="893" t="str">
        <f ca="1">IFERROR(_xll.qlRateHelperQuoteName(M141,Trigger),"--")</f>
        <v>--</v>
      </c>
      <c r="O141" s="892" t="str">
        <f ca="1">IFERROR(_xll.qlRateHelperQuoteValue($M141,Trigger),"--")</f>
        <v>--</v>
      </c>
      <c r="P141" s="969" t="b">
        <v>0</v>
      </c>
      <c r="Q141" s="890">
        <v>50</v>
      </c>
      <c r="R141" s="890">
        <v>1</v>
      </c>
      <c r="S141" s="889" t="str">
        <f ca="1">IFERROR(_xll.qlRateHelperEarliestDate(M141,Trigger),"--")</f>
        <v>--</v>
      </c>
      <c r="T141" s="889" t="str">
        <f ca="1">IFERROR(_xll.qlRateHelperPillarDate(M141,Trigger),"--")</f>
        <v>--</v>
      </c>
      <c r="V141" s="4" t="str">
        <f t="shared" ca="1" si="22"/>
        <v/>
      </c>
      <c r="W141" s="4" t="e">
        <f ca="1"/>
        <v>#NAME?</v>
      </c>
      <c r="X141" s="4" t="str">
        <f ca="1">IFERROR(_xll.qlRateHelperQuoteName(W141,Trigger),"")</f>
        <v/>
      </c>
      <c r="Y141" s="888" t="str">
        <f ca="1">IFERROR(_xll.qlRateHelperRate(W141,Trigger),"")</f>
        <v/>
      </c>
      <c r="Z141" s="887"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6" t="e">
        <f ca="1"/>
        <v>#NAME?</v>
      </c>
    </row>
    <row r="142" spans="1:29" x14ac:dyDescent="0.2">
      <c r="A142" s="873" t="s">
        <v>410</v>
      </c>
      <c r="B142" s="875" t="s">
        <v>41</v>
      </c>
      <c r="C142" s="874" t="s">
        <v>52</v>
      </c>
      <c r="D142" s="874" t="s">
        <v>323</v>
      </c>
      <c r="E142" s="874" t="s">
        <v>322</v>
      </c>
      <c r="F142" s="874" t="s">
        <v>221</v>
      </c>
      <c r="G142" s="874" t="str">
        <f t="shared" si="25"/>
        <v>Euribor6M</v>
      </c>
      <c r="H142" s="873" t="str">
        <f t="shared" si="26"/>
        <v>EUR4F15Y_Quote</v>
      </c>
      <c r="I142" s="876">
        <v>0</v>
      </c>
      <c r="J142" s="43"/>
      <c r="L142" s="894" t="str">
        <f t="shared" si="23"/>
        <v>FwdSw</v>
      </c>
      <c r="M142" s="890" t="str">
        <f t="shared" si="24"/>
        <v>--</v>
      </c>
      <c r="N142" s="893" t="str">
        <f ca="1">IFERROR(_xll.qlRateHelperQuoteName(M142,Trigger),"--")</f>
        <v>--</v>
      </c>
      <c r="O142" s="892" t="str">
        <f ca="1">IFERROR(_xll.qlRateHelperQuoteValue($M142,Trigger),"--")</f>
        <v>--</v>
      </c>
      <c r="P142" s="969" t="b">
        <v>0</v>
      </c>
      <c r="Q142" s="890">
        <v>50</v>
      </c>
      <c r="R142" s="890">
        <v>1</v>
      </c>
      <c r="S142" s="889" t="str">
        <f ca="1">IFERROR(_xll.qlRateHelperEarliestDate(M142,Trigger),"--")</f>
        <v>--</v>
      </c>
      <c r="T142" s="889" t="str">
        <f ca="1">IFERROR(_xll.qlRateHelperPillarDate(M142,Trigger),"--")</f>
        <v>--</v>
      </c>
      <c r="V142" s="4" t="str">
        <f t="shared" ca="1" si="22"/>
        <v/>
      </c>
      <c r="W142" s="4" t="e">
        <f ca="1"/>
        <v>#NAME?</v>
      </c>
      <c r="X142" s="4" t="str">
        <f ca="1">IFERROR(_xll.qlRateHelperQuoteName(W142,Trigger),"")</f>
        <v/>
      </c>
      <c r="Y142" s="888" t="str">
        <f ca="1">IFERROR(_xll.qlRateHelperRate(W142,Trigger),"")</f>
        <v/>
      </c>
      <c r="Z142" s="887"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6" t="e">
        <f ca="1"/>
        <v>#NAME?</v>
      </c>
    </row>
    <row r="143" spans="1:29" x14ac:dyDescent="0.2">
      <c r="A143" s="873" t="s">
        <v>410</v>
      </c>
      <c r="B143" s="875" t="s">
        <v>36</v>
      </c>
      <c r="C143" s="874" t="s">
        <v>52</v>
      </c>
      <c r="D143" s="874" t="s">
        <v>323</v>
      </c>
      <c r="E143" s="874" t="s">
        <v>322</v>
      </c>
      <c r="F143" s="874" t="s">
        <v>221</v>
      </c>
      <c r="G143" s="874" t="str">
        <f t="shared" si="25"/>
        <v>Euribor6M</v>
      </c>
      <c r="H143" s="873" t="str">
        <f t="shared" si="26"/>
        <v>EUR4F20Y_Quote</v>
      </c>
      <c r="I143" s="876">
        <v>0</v>
      </c>
      <c r="J143" s="43"/>
      <c r="L143" s="894" t="str">
        <f t="shared" si="23"/>
        <v>FwdSw</v>
      </c>
      <c r="M143" s="890" t="str">
        <f t="shared" si="24"/>
        <v>--</v>
      </c>
      <c r="N143" s="893" t="str">
        <f ca="1">IFERROR(_xll.qlRateHelperQuoteName(M143,Trigger),"--")</f>
        <v>--</v>
      </c>
      <c r="O143" s="892" t="str">
        <f ca="1">IFERROR(_xll.qlRateHelperQuoteValue($M143,Trigger),"--")</f>
        <v>--</v>
      </c>
      <c r="P143" s="969" t="b">
        <v>0</v>
      </c>
      <c r="Q143" s="890">
        <v>50</v>
      </c>
      <c r="R143" s="890">
        <v>1</v>
      </c>
      <c r="S143" s="889" t="str">
        <f ca="1">IFERROR(_xll.qlRateHelperEarliestDate(M143,Trigger),"--")</f>
        <v>--</v>
      </c>
      <c r="T143" s="889" t="str">
        <f ca="1">IFERROR(_xll.qlRateHelperPillarDate(M143,Trigger),"--")</f>
        <v>--</v>
      </c>
      <c r="V143" s="4" t="str">
        <f t="shared" ca="1" si="22"/>
        <v/>
      </c>
      <c r="W143" s="4" t="e">
        <f ca="1"/>
        <v>#NAME?</v>
      </c>
      <c r="X143" s="4" t="str">
        <f ca="1">IFERROR(_xll.qlRateHelperQuoteName(W143,Trigger),"")</f>
        <v/>
      </c>
      <c r="Y143" s="888" t="str">
        <f ca="1">IFERROR(_xll.qlRateHelperRate(W143,Trigger),"")</f>
        <v/>
      </c>
      <c r="Z143" s="887"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6" t="e">
        <f ca="1"/>
        <v>#NAME?</v>
      </c>
    </row>
    <row r="144" spans="1:29" x14ac:dyDescent="0.2">
      <c r="A144" s="873" t="s">
        <v>410</v>
      </c>
      <c r="B144" s="875" t="s">
        <v>31</v>
      </c>
      <c r="C144" s="874" t="s">
        <v>52</v>
      </c>
      <c r="D144" s="874" t="s">
        <v>323</v>
      </c>
      <c r="E144" s="874" t="s">
        <v>322</v>
      </c>
      <c r="F144" s="874" t="s">
        <v>221</v>
      </c>
      <c r="G144" s="874" t="str">
        <f t="shared" si="25"/>
        <v>Euribor6M</v>
      </c>
      <c r="H144" s="873" t="str">
        <f t="shared" si="26"/>
        <v>EUR4F25Y_Quote</v>
      </c>
      <c r="I144" s="876">
        <v>0</v>
      </c>
      <c r="J144" s="43"/>
      <c r="L144" s="894" t="str">
        <f t="shared" si="23"/>
        <v>FwdSw</v>
      </c>
      <c r="M144" s="890" t="str">
        <f t="shared" si="24"/>
        <v>--</v>
      </c>
      <c r="N144" s="893" t="str">
        <f ca="1">IFERROR(_xll.qlRateHelperQuoteName(M144,Trigger),"--")</f>
        <v>--</v>
      </c>
      <c r="O144" s="892" t="str">
        <f ca="1">IFERROR(_xll.qlRateHelperQuoteValue($M144,Trigger),"--")</f>
        <v>--</v>
      </c>
      <c r="P144" s="969" t="b">
        <v>0</v>
      </c>
      <c r="Q144" s="890">
        <v>50</v>
      </c>
      <c r="R144" s="890">
        <v>1</v>
      </c>
      <c r="S144" s="889" t="str">
        <f ca="1">IFERROR(_xll.qlRateHelperEarliestDate(M144,Trigger),"--")</f>
        <v>--</v>
      </c>
      <c r="T144" s="889" t="str">
        <f ca="1">IFERROR(_xll.qlRateHelperPillarDate(M144,Trigger),"--")</f>
        <v>--</v>
      </c>
      <c r="V144" s="4" t="str">
        <f t="shared" ca="1" si="22"/>
        <v/>
      </c>
      <c r="W144" s="4" t="e">
        <f ca="1"/>
        <v>#NAME?</v>
      </c>
      <c r="X144" s="4" t="str">
        <f ca="1">IFERROR(_xll.qlRateHelperQuoteName(W144,Trigger),"")</f>
        <v/>
      </c>
      <c r="Y144" s="888" t="str">
        <f ca="1">IFERROR(_xll.qlRateHelperRate(W144,Trigger),"")</f>
        <v/>
      </c>
      <c r="Z144" s="887"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6" t="e">
        <f ca="1"/>
        <v>#NAME?</v>
      </c>
    </row>
    <row r="145" spans="1:29" x14ac:dyDescent="0.2">
      <c r="A145" s="869" t="s">
        <v>410</v>
      </c>
      <c r="B145" s="871" t="s">
        <v>26</v>
      </c>
      <c r="C145" s="870" t="s">
        <v>52</v>
      </c>
      <c r="D145" s="870" t="s">
        <v>323</v>
      </c>
      <c r="E145" s="870" t="s">
        <v>322</v>
      </c>
      <c r="F145" s="870" t="s">
        <v>221</v>
      </c>
      <c r="G145" s="870" t="str">
        <f t="shared" si="25"/>
        <v>Euribor6M</v>
      </c>
      <c r="H145" s="869" t="str">
        <f t="shared" si="26"/>
        <v>EUR4F30Y_Quote</v>
      </c>
      <c r="I145" s="984">
        <v>0</v>
      </c>
      <c r="J145" s="38"/>
      <c r="L145" s="894" t="str">
        <f t="shared" si="23"/>
        <v>FwdSw</v>
      </c>
      <c r="M145" s="890" t="str">
        <f t="shared" si="24"/>
        <v>--</v>
      </c>
      <c r="N145" s="893" t="str">
        <f ca="1">IFERROR(_xll.qlRateHelperQuoteName(M145,Trigger),"--")</f>
        <v>--</v>
      </c>
      <c r="O145" s="892" t="str">
        <f ca="1">IFERROR(_xll.qlRateHelperQuoteValue($M145,Trigger),"--")</f>
        <v>--</v>
      </c>
      <c r="P145" s="969" t="b">
        <v>0</v>
      </c>
      <c r="Q145" s="890">
        <v>50</v>
      </c>
      <c r="R145" s="890">
        <v>1</v>
      </c>
      <c r="S145" s="889" t="str">
        <f ca="1">IFERROR(_xll.qlRateHelperEarliestDate(M145,Trigger),"--")</f>
        <v>--</v>
      </c>
      <c r="T145" s="889" t="str">
        <f ca="1">IFERROR(_xll.qlRateHelperPillarDate(M145,Trigger),"--")</f>
        <v>--</v>
      </c>
      <c r="V145" s="4" t="str">
        <f t="shared" ca="1" si="22"/>
        <v/>
      </c>
      <c r="W145" s="4" t="e">
        <f ca="1"/>
        <v>#NAME?</v>
      </c>
      <c r="X145" s="4" t="str">
        <f ca="1">IFERROR(_xll.qlRateHelperQuoteName(W145,Trigger),"")</f>
        <v/>
      </c>
      <c r="Y145" s="888" t="str">
        <f ca="1">IFERROR(_xll.qlRateHelperRate(W145,Trigger),"")</f>
        <v/>
      </c>
      <c r="Z145" s="887"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6" t="e">
        <f ca="1"/>
        <v>#NAME?</v>
      </c>
    </row>
    <row r="146" spans="1:29" x14ac:dyDescent="0.2">
      <c r="A146" s="873" t="s">
        <v>410</v>
      </c>
      <c r="B146" s="875" t="s">
        <v>58</v>
      </c>
      <c r="C146" s="874" t="s">
        <v>51</v>
      </c>
      <c r="D146" s="874" t="s">
        <v>323</v>
      </c>
      <c r="E146" s="874" t="s">
        <v>322</v>
      </c>
      <c r="F146" s="874" t="s">
        <v>221</v>
      </c>
      <c r="G146" s="874" t="str">
        <f t="shared" si="25"/>
        <v>Euribor6M</v>
      </c>
      <c r="H146" s="873" t="str">
        <f t="shared" si="26"/>
        <v>EUR5F1Y_Quote</v>
      </c>
      <c r="I146" s="876">
        <v>0</v>
      </c>
      <c r="J146" s="43"/>
      <c r="L146" s="894" t="str">
        <f t="shared" si="23"/>
        <v>FwdSw</v>
      </c>
      <c r="M146" s="890" t="str">
        <f t="shared" si="24"/>
        <v>--</v>
      </c>
      <c r="N146" s="893" t="str">
        <f ca="1">IFERROR(_xll.qlRateHelperQuoteName(M146,Trigger),"--")</f>
        <v>--</v>
      </c>
      <c r="O146" s="892" t="str">
        <f ca="1">IFERROR(_xll.qlRateHelperQuoteValue($M146,Trigger),"--")</f>
        <v>--</v>
      </c>
      <c r="P146" s="969" t="b">
        <v>0</v>
      </c>
      <c r="Q146" s="890">
        <v>50</v>
      </c>
      <c r="R146" s="890">
        <v>1</v>
      </c>
      <c r="S146" s="889" t="str">
        <f ca="1">IFERROR(_xll.qlRateHelperEarliestDate(M146,Trigger),"--")</f>
        <v>--</v>
      </c>
      <c r="T146" s="889" t="str">
        <f ca="1">IFERROR(_xll.qlRateHelperPillarDate(M146,Trigger),"--")</f>
        <v>--</v>
      </c>
      <c r="V146" s="4" t="str">
        <f t="shared" ca="1" si="22"/>
        <v/>
      </c>
      <c r="W146" s="4" t="e">
        <f ca="1"/>
        <v>#NAME?</v>
      </c>
      <c r="X146" s="4" t="str">
        <f ca="1">IFERROR(_xll.qlRateHelperQuoteName(W146,Trigger),"")</f>
        <v/>
      </c>
      <c r="Y146" s="888" t="str">
        <f ca="1">IFERROR(_xll.qlRateHelperRate(W146,Trigger),"")</f>
        <v/>
      </c>
      <c r="Z146" s="887"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6" t="e">
        <f ca="1"/>
        <v>#NAME?</v>
      </c>
    </row>
    <row r="147" spans="1:29" x14ac:dyDescent="0.2">
      <c r="A147" s="873" t="s">
        <v>410</v>
      </c>
      <c r="B147" s="875" t="s">
        <v>54</v>
      </c>
      <c r="C147" s="874" t="s">
        <v>51</v>
      </c>
      <c r="D147" s="874" t="s">
        <v>323</v>
      </c>
      <c r="E147" s="874" t="s">
        <v>322</v>
      </c>
      <c r="F147" s="874" t="s">
        <v>221</v>
      </c>
      <c r="G147" s="874" t="str">
        <f t="shared" si="25"/>
        <v>Euribor6M</v>
      </c>
      <c r="H147" s="873" t="str">
        <f t="shared" si="26"/>
        <v>EUR5F2Y_Quote</v>
      </c>
      <c r="I147" s="876">
        <v>0</v>
      </c>
      <c r="J147" s="43"/>
      <c r="L147" s="894" t="str">
        <f t="shared" si="23"/>
        <v>FwdSw</v>
      </c>
      <c r="M147" s="890" t="str">
        <f t="shared" si="24"/>
        <v>--</v>
      </c>
      <c r="N147" s="893" t="str">
        <f ca="1">IFERROR(_xll.qlRateHelperQuoteName(M147,Trigger),"--")</f>
        <v>--</v>
      </c>
      <c r="O147" s="892" t="str">
        <f ca="1">IFERROR(_xll.qlRateHelperQuoteValue($M147,Trigger),"--")</f>
        <v>--</v>
      </c>
      <c r="P147" s="969" t="b">
        <v>0</v>
      </c>
      <c r="Q147" s="890">
        <v>50</v>
      </c>
      <c r="R147" s="890">
        <v>1</v>
      </c>
      <c r="S147" s="889" t="str">
        <f ca="1">IFERROR(_xll.qlRateHelperEarliestDate(M147,Trigger),"--")</f>
        <v>--</v>
      </c>
      <c r="T147" s="889" t="str">
        <f ca="1">IFERROR(_xll.qlRateHelperPillarDate(M147,Trigger),"--")</f>
        <v>--</v>
      </c>
      <c r="V147" s="4" t="str">
        <f t="shared" ca="1" si="22"/>
        <v/>
      </c>
      <c r="W147" s="4" t="e">
        <f ca="1"/>
        <v>#NAME?</v>
      </c>
      <c r="X147" s="4" t="str">
        <f ca="1">IFERROR(_xll.qlRateHelperQuoteName(W147,Trigger),"")</f>
        <v/>
      </c>
      <c r="Y147" s="888" t="str">
        <f ca="1">IFERROR(_xll.qlRateHelperRate(W147,Trigger),"")</f>
        <v/>
      </c>
      <c r="Z147" s="887"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6" t="e">
        <f ca="1"/>
        <v>#NAME?</v>
      </c>
    </row>
    <row r="148" spans="1:29" x14ac:dyDescent="0.2">
      <c r="A148" s="873" t="s">
        <v>410</v>
      </c>
      <c r="B148" s="875" t="s">
        <v>53</v>
      </c>
      <c r="C148" s="874" t="s">
        <v>51</v>
      </c>
      <c r="D148" s="874" t="s">
        <v>323</v>
      </c>
      <c r="E148" s="874" t="s">
        <v>322</v>
      </c>
      <c r="F148" s="874" t="s">
        <v>221</v>
      </c>
      <c r="G148" s="874" t="str">
        <f t="shared" si="25"/>
        <v>Euribor6M</v>
      </c>
      <c r="H148" s="873" t="str">
        <f t="shared" si="26"/>
        <v>EUR5F3Y_Quote</v>
      </c>
      <c r="I148" s="876">
        <v>0</v>
      </c>
      <c r="J148" s="43"/>
      <c r="L148" s="894" t="str">
        <f t="shared" si="23"/>
        <v>FwdSw</v>
      </c>
      <c r="M148" s="890" t="str">
        <f t="shared" si="24"/>
        <v>--</v>
      </c>
      <c r="N148" s="893" t="str">
        <f ca="1">IFERROR(_xll.qlRateHelperQuoteName(M148,Trigger),"--")</f>
        <v>--</v>
      </c>
      <c r="O148" s="892" t="str">
        <f ca="1">IFERROR(_xll.qlRateHelperQuoteValue($M148,Trigger),"--")</f>
        <v>--</v>
      </c>
      <c r="P148" s="969" t="b">
        <v>0</v>
      </c>
      <c r="Q148" s="890">
        <v>50</v>
      </c>
      <c r="R148" s="890">
        <v>1</v>
      </c>
      <c r="S148" s="889" t="str">
        <f ca="1">IFERROR(_xll.qlRateHelperEarliestDate(M148,Trigger),"--")</f>
        <v>--</v>
      </c>
      <c r="T148" s="889" t="str">
        <f ca="1">IFERROR(_xll.qlRateHelperPillarDate(M148,Trigger),"--")</f>
        <v>--</v>
      </c>
      <c r="V148" s="4" t="str">
        <f t="shared" ca="1" si="22"/>
        <v/>
      </c>
      <c r="W148" s="4" t="e">
        <f ca="1"/>
        <v>#NAME?</v>
      </c>
      <c r="X148" s="4" t="str">
        <f ca="1">IFERROR(_xll.qlRateHelperQuoteName(W148,Trigger),"")</f>
        <v/>
      </c>
      <c r="Y148" s="888" t="str">
        <f ca="1">IFERROR(_xll.qlRateHelperRate(W148,Trigger),"")</f>
        <v/>
      </c>
      <c r="Z148" s="887"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6" t="e">
        <f ca="1"/>
        <v>#NAME?</v>
      </c>
    </row>
    <row r="149" spans="1:29" x14ac:dyDescent="0.2">
      <c r="A149" s="873" t="s">
        <v>410</v>
      </c>
      <c r="B149" s="875" t="s">
        <v>52</v>
      </c>
      <c r="C149" s="874" t="s">
        <v>51</v>
      </c>
      <c r="D149" s="874" t="s">
        <v>323</v>
      </c>
      <c r="E149" s="874" t="s">
        <v>322</v>
      </c>
      <c r="F149" s="874" t="s">
        <v>221</v>
      </c>
      <c r="G149" s="874" t="str">
        <f t="shared" si="25"/>
        <v>Euribor6M</v>
      </c>
      <c r="H149" s="873" t="str">
        <f t="shared" si="26"/>
        <v>EUR5F4Y_Quote</v>
      </c>
      <c r="I149" s="876">
        <v>0</v>
      </c>
      <c r="J149" s="43"/>
      <c r="L149" s="894" t="str">
        <f t="shared" si="23"/>
        <v>FwdSw</v>
      </c>
      <c r="M149" s="890" t="str">
        <f t="shared" si="24"/>
        <v>--</v>
      </c>
      <c r="N149" s="893" t="str">
        <f ca="1">IFERROR(_xll.qlRateHelperQuoteName(M149,Trigger),"--")</f>
        <v>--</v>
      </c>
      <c r="O149" s="892" t="str">
        <f ca="1">IFERROR(_xll.qlRateHelperQuoteValue($M149,Trigger),"--")</f>
        <v>--</v>
      </c>
      <c r="P149" s="969" t="b">
        <v>0</v>
      </c>
      <c r="Q149" s="890">
        <v>50</v>
      </c>
      <c r="R149" s="890">
        <v>1</v>
      </c>
      <c r="S149" s="889" t="str">
        <f ca="1">IFERROR(_xll.qlRateHelperEarliestDate(M149,Trigger),"--")</f>
        <v>--</v>
      </c>
      <c r="T149" s="889" t="str">
        <f ca="1">IFERROR(_xll.qlRateHelperPillarDate(M149,Trigger),"--")</f>
        <v>--</v>
      </c>
      <c r="V149" s="4" t="str">
        <f t="shared" ca="1" si="22"/>
        <v/>
      </c>
      <c r="W149" s="4" t="e">
        <f ca="1"/>
        <v>#NAME?</v>
      </c>
      <c r="X149" s="4" t="str">
        <f ca="1">IFERROR(_xll.qlRateHelperQuoteName(W149,Trigger),"")</f>
        <v/>
      </c>
      <c r="Y149" s="888" t="str">
        <f ca="1">IFERROR(_xll.qlRateHelperRate(W149,Trigger),"")</f>
        <v/>
      </c>
      <c r="Z149" s="887"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6" t="e">
        <f ca="1"/>
        <v>#NAME?</v>
      </c>
    </row>
    <row r="150" spans="1:29" x14ac:dyDescent="0.2">
      <c r="A150" s="873" t="s">
        <v>410</v>
      </c>
      <c r="B150" s="875" t="s">
        <v>51</v>
      </c>
      <c r="C150" s="874" t="s">
        <v>51</v>
      </c>
      <c r="D150" s="874" t="s">
        <v>323</v>
      </c>
      <c r="E150" s="874" t="s">
        <v>322</v>
      </c>
      <c r="F150" s="874" t="s">
        <v>221</v>
      </c>
      <c r="G150" s="874" t="str">
        <f t="shared" si="25"/>
        <v>Euribor6M</v>
      </c>
      <c r="H150" s="873" t="str">
        <f t="shared" si="26"/>
        <v>EUR5F5Y_Quote</v>
      </c>
      <c r="I150" s="876">
        <v>0</v>
      </c>
      <c r="J150" s="43"/>
      <c r="L150" s="894" t="str">
        <f t="shared" si="23"/>
        <v>FwdSw</v>
      </c>
      <c r="M150" s="890" t="str">
        <f t="shared" si="24"/>
        <v>--</v>
      </c>
      <c r="N150" s="893" t="str">
        <f ca="1">IFERROR(_xll.qlRateHelperQuoteName(M150,Trigger),"--")</f>
        <v>--</v>
      </c>
      <c r="O150" s="892" t="str">
        <f ca="1">IFERROR(_xll.qlRateHelperQuoteValue($M150,Trigger),"--")</f>
        <v>--</v>
      </c>
      <c r="P150" s="969" t="b">
        <v>0</v>
      </c>
      <c r="Q150" s="890">
        <v>50</v>
      </c>
      <c r="R150" s="890">
        <v>1</v>
      </c>
      <c r="S150" s="889" t="str">
        <f ca="1">IFERROR(_xll.qlRateHelperEarliestDate(M150,Trigger),"--")</f>
        <v>--</v>
      </c>
      <c r="T150" s="889" t="str">
        <f ca="1">IFERROR(_xll.qlRateHelperPillarDate(M150,Trigger),"--")</f>
        <v>--</v>
      </c>
      <c r="V150" s="4" t="str">
        <f t="shared" ca="1" si="22"/>
        <v/>
      </c>
      <c r="W150" s="4" t="e">
        <f ca="1"/>
        <v>#NAME?</v>
      </c>
      <c r="X150" s="4" t="str">
        <f ca="1">IFERROR(_xll.qlRateHelperQuoteName(W150,Trigger),"")</f>
        <v/>
      </c>
      <c r="Y150" s="888" t="str">
        <f ca="1">IFERROR(_xll.qlRateHelperRate(W150,Trigger),"")</f>
        <v/>
      </c>
      <c r="Z150" s="887"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6" t="e">
        <f ca="1"/>
        <v>#NAME?</v>
      </c>
    </row>
    <row r="151" spans="1:29" x14ac:dyDescent="0.2">
      <c r="A151" s="873" t="s">
        <v>410</v>
      </c>
      <c r="B151" s="875" t="s">
        <v>50</v>
      </c>
      <c r="C151" s="874" t="s">
        <v>51</v>
      </c>
      <c r="D151" s="874" t="s">
        <v>323</v>
      </c>
      <c r="E151" s="874" t="s">
        <v>322</v>
      </c>
      <c r="F151" s="874" t="s">
        <v>221</v>
      </c>
      <c r="G151" s="874" t="str">
        <f t="shared" si="25"/>
        <v>Euribor6M</v>
      </c>
      <c r="H151" s="873" t="str">
        <f t="shared" si="26"/>
        <v>EUR5F6Y_Quote</v>
      </c>
      <c r="I151" s="876">
        <v>0</v>
      </c>
      <c r="J151" s="43"/>
      <c r="L151" s="894" t="str">
        <f t="shared" si="23"/>
        <v>FwdSw</v>
      </c>
      <c r="M151" s="890" t="str">
        <f t="shared" si="24"/>
        <v>--</v>
      </c>
      <c r="N151" s="893" t="str">
        <f ca="1">IFERROR(_xll.qlRateHelperQuoteName(M151,Trigger),"--")</f>
        <v>--</v>
      </c>
      <c r="O151" s="892" t="str">
        <f ca="1">IFERROR(_xll.qlRateHelperQuoteValue($M151,Trigger),"--")</f>
        <v>--</v>
      </c>
      <c r="P151" s="969" t="b">
        <v>0</v>
      </c>
      <c r="Q151" s="890">
        <v>50</v>
      </c>
      <c r="R151" s="890">
        <v>1</v>
      </c>
      <c r="S151" s="889" t="str">
        <f ca="1">IFERROR(_xll.qlRateHelperEarliestDate(M151,Trigger),"--")</f>
        <v>--</v>
      </c>
      <c r="T151" s="889" t="str">
        <f ca="1">IFERROR(_xll.qlRateHelperPillarDate(M151,Trigger),"--")</f>
        <v>--</v>
      </c>
      <c r="V151" s="4" t="str">
        <f t="shared" ca="1" si="22"/>
        <v/>
      </c>
      <c r="W151" s="4" t="e">
        <f ca="1"/>
        <v>#NAME?</v>
      </c>
      <c r="X151" s="4" t="str">
        <f ca="1">IFERROR(_xll.qlRateHelperQuoteName(W151,Trigger),"")</f>
        <v/>
      </c>
      <c r="Y151" s="888" t="str">
        <f ca="1">IFERROR(_xll.qlRateHelperRate(W151,Trigger),"")</f>
        <v/>
      </c>
      <c r="Z151" s="887"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6" t="e">
        <f ca="1"/>
        <v>#NAME?</v>
      </c>
    </row>
    <row r="152" spans="1:29" x14ac:dyDescent="0.2">
      <c r="A152" s="873" t="s">
        <v>410</v>
      </c>
      <c r="B152" s="875" t="s">
        <v>49</v>
      </c>
      <c r="C152" s="874" t="s">
        <v>51</v>
      </c>
      <c r="D152" s="874" t="s">
        <v>323</v>
      </c>
      <c r="E152" s="874" t="s">
        <v>322</v>
      </c>
      <c r="F152" s="874" t="s">
        <v>221</v>
      </c>
      <c r="G152" s="874" t="str">
        <f t="shared" si="25"/>
        <v>Euribor6M</v>
      </c>
      <c r="H152" s="873" t="str">
        <f t="shared" si="26"/>
        <v>EUR5F7Y_Quote</v>
      </c>
      <c r="I152" s="876">
        <v>0</v>
      </c>
      <c r="J152" s="43"/>
      <c r="L152" s="894" t="str">
        <f t="shared" si="23"/>
        <v>FwdSw</v>
      </c>
      <c r="M152" s="890" t="str">
        <f t="shared" si="24"/>
        <v>--</v>
      </c>
      <c r="N152" s="893" t="str">
        <f ca="1">IFERROR(_xll.qlRateHelperQuoteName(M152,Trigger),"--")</f>
        <v>--</v>
      </c>
      <c r="O152" s="892" t="str">
        <f ca="1">IFERROR(_xll.qlRateHelperQuoteValue($M152,Trigger),"--")</f>
        <v>--</v>
      </c>
      <c r="P152" s="969" t="b">
        <v>0</v>
      </c>
      <c r="Q152" s="890">
        <v>50</v>
      </c>
      <c r="R152" s="890">
        <v>1</v>
      </c>
      <c r="S152" s="889" t="str">
        <f ca="1">IFERROR(_xll.qlRateHelperEarliestDate(M152,Trigger),"--")</f>
        <v>--</v>
      </c>
      <c r="T152" s="889" t="str">
        <f ca="1">IFERROR(_xll.qlRateHelperPillarDate(M152,Trigger),"--")</f>
        <v>--</v>
      </c>
      <c r="V152" s="4" t="str">
        <f t="shared" ca="1" si="22"/>
        <v/>
      </c>
      <c r="W152" s="4" t="e">
        <f ca="1"/>
        <v>#NAME?</v>
      </c>
      <c r="X152" s="4" t="str">
        <f ca="1">IFERROR(_xll.qlRateHelperQuoteName(W152,Trigger),"")</f>
        <v/>
      </c>
      <c r="Y152" s="888" t="str">
        <f ca="1">IFERROR(_xll.qlRateHelperRate(W152,Trigger),"")</f>
        <v/>
      </c>
      <c r="Z152" s="887"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6" t="e">
        <f ca="1"/>
        <v>#NAME?</v>
      </c>
    </row>
    <row r="153" spans="1:29" x14ac:dyDescent="0.2">
      <c r="A153" s="873" t="s">
        <v>410</v>
      </c>
      <c r="B153" s="875" t="s">
        <v>48</v>
      </c>
      <c r="C153" s="874" t="s">
        <v>51</v>
      </c>
      <c r="D153" s="874" t="s">
        <v>323</v>
      </c>
      <c r="E153" s="874" t="s">
        <v>322</v>
      </c>
      <c r="F153" s="874" t="s">
        <v>221</v>
      </c>
      <c r="G153" s="874" t="str">
        <f t="shared" si="25"/>
        <v>Euribor6M</v>
      </c>
      <c r="H153" s="873" t="str">
        <f t="shared" si="26"/>
        <v>EUR5F8Y_Quote</v>
      </c>
      <c r="I153" s="876">
        <v>0</v>
      </c>
      <c r="J153" s="43"/>
      <c r="L153" s="894" t="str">
        <f t="shared" si="23"/>
        <v>FwdSw</v>
      </c>
      <c r="M153" s="890" t="str">
        <f t="shared" si="24"/>
        <v>--</v>
      </c>
      <c r="N153" s="893" t="str">
        <f ca="1">IFERROR(_xll.qlRateHelperQuoteName(M153,Trigger),"--")</f>
        <v>--</v>
      </c>
      <c r="O153" s="892" t="str">
        <f ca="1">IFERROR(_xll.qlRateHelperQuoteValue($M153,Trigger),"--")</f>
        <v>--</v>
      </c>
      <c r="P153" s="969" t="b">
        <v>0</v>
      </c>
      <c r="Q153" s="890">
        <v>50</v>
      </c>
      <c r="R153" s="890">
        <v>1</v>
      </c>
      <c r="S153" s="889" t="str">
        <f ca="1">IFERROR(_xll.qlRateHelperEarliestDate(M153,Trigger),"--")</f>
        <v>--</v>
      </c>
      <c r="T153" s="889" t="str">
        <f ca="1">IFERROR(_xll.qlRateHelperPillarDate(M153,Trigger),"--")</f>
        <v>--</v>
      </c>
      <c r="V153" s="4" t="str">
        <f t="shared" ca="1" si="22"/>
        <v/>
      </c>
      <c r="W153" s="4" t="e">
        <f ca="1"/>
        <v>#NAME?</v>
      </c>
      <c r="X153" s="4" t="str">
        <f ca="1">IFERROR(_xll.qlRateHelperQuoteName(W153,Trigger),"")</f>
        <v/>
      </c>
      <c r="Y153" s="888" t="str">
        <f ca="1">IFERROR(_xll.qlRateHelperRate(W153,Trigger),"")</f>
        <v/>
      </c>
      <c r="Z153" s="887"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6" t="e">
        <f ca="1"/>
        <v>#NAME?</v>
      </c>
    </row>
    <row r="154" spans="1:29" x14ac:dyDescent="0.2">
      <c r="A154" s="873" t="s">
        <v>410</v>
      </c>
      <c r="B154" s="875" t="s">
        <v>47</v>
      </c>
      <c r="C154" s="874" t="s">
        <v>51</v>
      </c>
      <c r="D154" s="874" t="s">
        <v>323</v>
      </c>
      <c r="E154" s="874" t="s">
        <v>322</v>
      </c>
      <c r="F154" s="874" t="s">
        <v>221</v>
      </c>
      <c r="G154" s="874" t="str">
        <f t="shared" si="25"/>
        <v>Euribor6M</v>
      </c>
      <c r="H154" s="873" t="str">
        <f t="shared" si="26"/>
        <v>EUR5F9Y_Quote</v>
      </c>
      <c r="I154" s="876">
        <v>0</v>
      </c>
      <c r="J154" s="43"/>
      <c r="L154" s="894" t="str">
        <f t="shared" si="23"/>
        <v>FwdSw</v>
      </c>
      <c r="M154" s="890" t="str">
        <f t="shared" si="24"/>
        <v>--</v>
      </c>
      <c r="N154" s="893" t="str">
        <f ca="1">IFERROR(_xll.qlRateHelperQuoteName(M154,Trigger),"--")</f>
        <v>--</v>
      </c>
      <c r="O154" s="892" t="str">
        <f ca="1">IFERROR(_xll.qlRateHelperQuoteValue($M154,Trigger),"--")</f>
        <v>--</v>
      </c>
      <c r="P154" s="969" t="b">
        <v>0</v>
      </c>
      <c r="Q154" s="890">
        <v>50</v>
      </c>
      <c r="R154" s="890">
        <v>1</v>
      </c>
      <c r="S154" s="889" t="str">
        <f ca="1">IFERROR(_xll.qlRateHelperEarliestDate(M154,Trigger),"--")</f>
        <v>--</v>
      </c>
      <c r="T154" s="889" t="str">
        <f ca="1">IFERROR(_xll.qlRateHelperPillarDate(M154,Trigger),"--")</f>
        <v>--</v>
      </c>
      <c r="V154" s="4" t="str">
        <f t="shared" ca="1" si="22"/>
        <v/>
      </c>
      <c r="W154" s="4" t="e">
        <f ca="1"/>
        <v>#NAME?</v>
      </c>
      <c r="X154" s="4" t="str">
        <f ca="1">IFERROR(_xll.qlRateHelperQuoteName(W154,Trigger),"")</f>
        <v/>
      </c>
      <c r="Y154" s="888" t="str">
        <f ca="1">IFERROR(_xll.qlRateHelperRate(W154,Trigger),"")</f>
        <v/>
      </c>
      <c r="Z154" s="887"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6" t="e">
        <f ca="1"/>
        <v>#NAME?</v>
      </c>
    </row>
    <row r="155" spans="1:29" x14ac:dyDescent="0.2">
      <c r="A155" s="873" t="s">
        <v>410</v>
      </c>
      <c r="B155" s="875" t="s">
        <v>46</v>
      </c>
      <c r="C155" s="874" t="s">
        <v>51</v>
      </c>
      <c r="D155" s="874" t="s">
        <v>323</v>
      </c>
      <c r="E155" s="874" t="s">
        <v>322</v>
      </c>
      <c r="F155" s="874" t="s">
        <v>221</v>
      </c>
      <c r="G155" s="874" t="str">
        <f t="shared" si="25"/>
        <v>Euribor6M</v>
      </c>
      <c r="H155" s="873" t="str">
        <f t="shared" si="26"/>
        <v>EUR5F10Y_Quote</v>
      </c>
      <c r="I155" s="876">
        <v>0</v>
      </c>
      <c r="J155" s="43"/>
      <c r="L155" s="894" t="str">
        <f t="shared" si="23"/>
        <v>FwdSw</v>
      </c>
      <c r="M155" s="890" t="str">
        <f t="shared" si="24"/>
        <v>--</v>
      </c>
      <c r="N155" s="893" t="str">
        <f ca="1">IFERROR(_xll.qlRateHelperQuoteName(M155,Trigger),"--")</f>
        <v>--</v>
      </c>
      <c r="O155" s="892" t="str">
        <f ca="1">IFERROR(_xll.qlRateHelperQuoteValue($M155,Trigger),"--")</f>
        <v>--</v>
      </c>
      <c r="P155" s="969" t="b">
        <v>0</v>
      </c>
      <c r="Q155" s="890">
        <v>50</v>
      </c>
      <c r="R155" s="890">
        <v>1</v>
      </c>
      <c r="S155" s="889" t="str">
        <f ca="1">IFERROR(_xll.qlRateHelperEarliestDate(M155,Trigger),"--")</f>
        <v>--</v>
      </c>
      <c r="T155" s="889" t="str">
        <f ca="1">IFERROR(_xll.qlRateHelperPillarDate(M155,Trigger),"--")</f>
        <v>--</v>
      </c>
      <c r="V155" s="4" t="str">
        <f t="shared" ca="1" si="22"/>
        <v/>
      </c>
      <c r="W155" s="4" t="e">
        <f ca="1"/>
        <v>#NAME?</v>
      </c>
      <c r="X155" s="4" t="str">
        <f ca="1">IFERROR(_xll.qlRateHelperQuoteName(W155,Trigger),"")</f>
        <v/>
      </c>
      <c r="Y155" s="888" t="str">
        <f ca="1">IFERROR(_xll.qlRateHelperRate(W155,Trigger),"")</f>
        <v/>
      </c>
      <c r="Z155" s="887"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6" t="e">
        <f ca="1"/>
        <v>#NAME?</v>
      </c>
    </row>
    <row r="156" spans="1:29" x14ac:dyDescent="0.2">
      <c r="A156" s="873" t="s">
        <v>410</v>
      </c>
      <c r="B156" s="875" t="s">
        <v>45</v>
      </c>
      <c r="C156" s="874" t="s">
        <v>51</v>
      </c>
      <c r="D156" s="874" t="s">
        <v>323</v>
      </c>
      <c r="E156" s="874" t="s">
        <v>322</v>
      </c>
      <c r="F156" s="874" t="s">
        <v>221</v>
      </c>
      <c r="G156" s="874" t="str">
        <f t="shared" si="25"/>
        <v>Euribor6M</v>
      </c>
      <c r="H156" s="873" t="str">
        <f t="shared" si="26"/>
        <v>EUR5F11Y_Quote</v>
      </c>
      <c r="I156" s="876">
        <v>0</v>
      </c>
      <c r="J156" s="43"/>
      <c r="L156" s="894" t="str">
        <f t="shared" si="23"/>
        <v>FwdSw</v>
      </c>
      <c r="M156" s="890" t="str">
        <f t="shared" si="24"/>
        <v>--</v>
      </c>
      <c r="N156" s="893" t="str">
        <f ca="1">IFERROR(_xll.qlRateHelperQuoteName(M156,Trigger),"--")</f>
        <v>--</v>
      </c>
      <c r="O156" s="892" t="str">
        <f ca="1">IFERROR(_xll.qlRateHelperQuoteValue($M156,Trigger),"--")</f>
        <v>--</v>
      </c>
      <c r="P156" s="969" t="b">
        <v>0</v>
      </c>
      <c r="Q156" s="890">
        <v>50</v>
      </c>
      <c r="R156" s="890">
        <v>1</v>
      </c>
      <c r="S156" s="889" t="str">
        <f ca="1">IFERROR(_xll.qlRateHelperEarliestDate(M156,Trigger),"--")</f>
        <v>--</v>
      </c>
      <c r="T156" s="889" t="str">
        <f ca="1">IFERROR(_xll.qlRateHelperPillarDate(M156,Trigger),"--")</f>
        <v>--</v>
      </c>
      <c r="V156" s="4" t="str">
        <f t="shared" ca="1" si="22"/>
        <v/>
      </c>
      <c r="W156" s="4" t="e">
        <f ca="1"/>
        <v>#NAME?</v>
      </c>
      <c r="X156" s="4" t="str">
        <f ca="1">IFERROR(_xll.qlRateHelperQuoteName(W156,Trigger),"")</f>
        <v/>
      </c>
      <c r="Y156" s="888" t="str">
        <f ca="1">IFERROR(_xll.qlRateHelperRate(W156,Trigger),"")</f>
        <v/>
      </c>
      <c r="Z156" s="887"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6" t="e">
        <f ca="1"/>
        <v>#NAME?</v>
      </c>
    </row>
    <row r="157" spans="1:29" x14ac:dyDescent="0.2">
      <c r="A157" s="873" t="s">
        <v>410</v>
      </c>
      <c r="B157" s="875" t="s">
        <v>44</v>
      </c>
      <c r="C157" s="874" t="s">
        <v>51</v>
      </c>
      <c r="D157" s="874" t="s">
        <v>323</v>
      </c>
      <c r="E157" s="874" t="s">
        <v>322</v>
      </c>
      <c r="F157" s="874" t="s">
        <v>221</v>
      </c>
      <c r="G157" s="874" t="str">
        <f t="shared" si="25"/>
        <v>Euribor6M</v>
      </c>
      <c r="H157" s="873" t="str">
        <f t="shared" si="26"/>
        <v>EUR5F12Y_Quote</v>
      </c>
      <c r="I157" s="876">
        <v>0</v>
      </c>
      <c r="J157" s="43"/>
      <c r="L157" s="894" t="str">
        <f t="shared" si="23"/>
        <v>FwdSw</v>
      </c>
      <c r="M157" s="890" t="str">
        <f t="shared" si="24"/>
        <v>--</v>
      </c>
      <c r="N157" s="893" t="str">
        <f ca="1">IFERROR(_xll.qlRateHelperQuoteName(M157,Trigger),"--")</f>
        <v>--</v>
      </c>
      <c r="O157" s="892" t="str">
        <f ca="1">IFERROR(_xll.qlRateHelperQuoteValue($M157,Trigger),"--")</f>
        <v>--</v>
      </c>
      <c r="P157" s="969" t="b">
        <v>0</v>
      </c>
      <c r="Q157" s="890">
        <v>50</v>
      </c>
      <c r="R157" s="890">
        <v>1</v>
      </c>
      <c r="S157" s="889" t="str">
        <f ca="1">IFERROR(_xll.qlRateHelperEarliestDate(M157,Trigger),"--")</f>
        <v>--</v>
      </c>
      <c r="T157" s="889" t="str">
        <f ca="1">IFERROR(_xll.qlRateHelperPillarDate(M157,Trigger),"--")</f>
        <v>--</v>
      </c>
      <c r="V157" s="4" t="str">
        <f t="shared" ca="1" si="22"/>
        <v/>
      </c>
      <c r="W157" s="4" t="e">
        <f ca="1"/>
        <v>#NAME?</v>
      </c>
      <c r="X157" s="4" t="str">
        <f ca="1">IFERROR(_xll.qlRateHelperQuoteName(W157,Trigger),"")</f>
        <v/>
      </c>
      <c r="Y157" s="888" t="str">
        <f ca="1">IFERROR(_xll.qlRateHelperRate(W157,Trigger),"")</f>
        <v/>
      </c>
      <c r="Z157" s="887"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6" t="e">
        <f ca="1"/>
        <v>#NAME?</v>
      </c>
    </row>
    <row r="158" spans="1:29" x14ac:dyDescent="0.2">
      <c r="A158" s="873" t="s">
        <v>410</v>
      </c>
      <c r="B158" s="875" t="s">
        <v>43</v>
      </c>
      <c r="C158" s="874" t="s">
        <v>51</v>
      </c>
      <c r="D158" s="874" t="s">
        <v>323</v>
      </c>
      <c r="E158" s="874" t="s">
        <v>322</v>
      </c>
      <c r="F158" s="874" t="s">
        <v>221</v>
      </c>
      <c r="G158" s="874" t="str">
        <f t="shared" si="25"/>
        <v>Euribor6M</v>
      </c>
      <c r="H158" s="873" t="str">
        <f t="shared" si="26"/>
        <v>EUR5F13Y_Quote</v>
      </c>
      <c r="I158" s="876">
        <v>0</v>
      </c>
      <c r="J158" s="43"/>
      <c r="L158" s="894" t="str">
        <f t="shared" si="23"/>
        <v>FwdSw</v>
      </c>
      <c r="M158" s="890" t="str">
        <f t="shared" si="24"/>
        <v>--</v>
      </c>
      <c r="N158" s="893" t="str">
        <f ca="1">IFERROR(_xll.qlRateHelperQuoteName(M158,Trigger),"--")</f>
        <v>--</v>
      </c>
      <c r="O158" s="892" t="str">
        <f ca="1">IFERROR(_xll.qlRateHelperQuoteValue($M158,Trigger),"--")</f>
        <v>--</v>
      </c>
      <c r="P158" s="969" t="b">
        <v>0</v>
      </c>
      <c r="Q158" s="890">
        <v>50</v>
      </c>
      <c r="R158" s="890">
        <v>1</v>
      </c>
      <c r="S158" s="889" t="str">
        <f ca="1">IFERROR(_xll.qlRateHelperEarliestDate(M158,Trigger),"--")</f>
        <v>--</v>
      </c>
      <c r="T158" s="889" t="str">
        <f ca="1">IFERROR(_xll.qlRateHelperPillarDate(M158,Trigger),"--")</f>
        <v>--</v>
      </c>
      <c r="V158" s="4" t="str">
        <f t="shared" ca="1" si="22"/>
        <v/>
      </c>
      <c r="W158" s="4" t="e">
        <f ca="1"/>
        <v>#NAME?</v>
      </c>
      <c r="X158" s="4" t="str">
        <f ca="1">IFERROR(_xll.qlRateHelperQuoteName(W158,Trigger),"")</f>
        <v/>
      </c>
      <c r="Y158" s="888" t="str">
        <f ca="1">IFERROR(_xll.qlRateHelperRate(W158,Trigger),"")</f>
        <v/>
      </c>
      <c r="Z158" s="887"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6" t="e">
        <f ca="1"/>
        <v>#NAME?</v>
      </c>
    </row>
    <row r="159" spans="1:29" x14ac:dyDescent="0.2">
      <c r="A159" s="873" t="s">
        <v>410</v>
      </c>
      <c r="B159" s="875" t="s">
        <v>42</v>
      </c>
      <c r="C159" s="874" t="s">
        <v>51</v>
      </c>
      <c r="D159" s="874" t="s">
        <v>323</v>
      </c>
      <c r="E159" s="874" t="s">
        <v>322</v>
      </c>
      <c r="F159" s="874" t="s">
        <v>221</v>
      </c>
      <c r="G159" s="874" t="str">
        <f t="shared" si="25"/>
        <v>Euribor6M</v>
      </c>
      <c r="H159" s="873" t="str">
        <f t="shared" si="26"/>
        <v>EUR5F14Y_Quote</v>
      </c>
      <c r="I159" s="876">
        <v>0</v>
      </c>
      <c r="J159" s="43"/>
      <c r="L159" s="894" t="str">
        <f t="shared" si="23"/>
        <v>FwdSw</v>
      </c>
      <c r="M159" s="890" t="str">
        <f t="shared" si="24"/>
        <v>--</v>
      </c>
      <c r="N159" s="893" t="str">
        <f ca="1">IFERROR(_xll.qlRateHelperQuoteName(M159,Trigger),"--")</f>
        <v>--</v>
      </c>
      <c r="O159" s="892" t="str">
        <f ca="1">IFERROR(_xll.qlRateHelperQuoteValue($M159,Trigger),"--")</f>
        <v>--</v>
      </c>
      <c r="P159" s="969" t="b">
        <v>0</v>
      </c>
      <c r="Q159" s="890">
        <v>50</v>
      </c>
      <c r="R159" s="890">
        <v>1</v>
      </c>
      <c r="S159" s="889" t="str">
        <f ca="1">IFERROR(_xll.qlRateHelperEarliestDate(M159,Trigger),"--")</f>
        <v>--</v>
      </c>
      <c r="T159" s="889" t="str">
        <f ca="1">IFERROR(_xll.qlRateHelperPillarDate(M159,Trigger),"--")</f>
        <v>--</v>
      </c>
      <c r="V159" s="4" t="str">
        <f t="shared" ca="1" si="22"/>
        <v/>
      </c>
      <c r="W159" s="4" t="e">
        <f ca="1"/>
        <v>#NAME?</v>
      </c>
      <c r="X159" s="4" t="str">
        <f ca="1">IFERROR(_xll.qlRateHelperQuoteName(W159,Trigger),"")</f>
        <v/>
      </c>
      <c r="Y159" s="888" t="str">
        <f ca="1">IFERROR(_xll.qlRateHelperRate(W159,Trigger),"")</f>
        <v/>
      </c>
      <c r="Z159" s="887"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6" t="e">
        <f ca="1"/>
        <v>#NAME?</v>
      </c>
    </row>
    <row r="160" spans="1:29" x14ac:dyDescent="0.2">
      <c r="A160" s="873" t="s">
        <v>410</v>
      </c>
      <c r="B160" s="875" t="s">
        <v>41</v>
      </c>
      <c r="C160" s="874" t="s">
        <v>51</v>
      </c>
      <c r="D160" s="874" t="s">
        <v>323</v>
      </c>
      <c r="E160" s="874" t="s">
        <v>322</v>
      </c>
      <c r="F160" s="874" t="s">
        <v>221</v>
      </c>
      <c r="G160" s="874" t="str">
        <f t="shared" si="25"/>
        <v>Euribor6M</v>
      </c>
      <c r="H160" s="873" t="str">
        <f t="shared" si="26"/>
        <v>EUR5F15Y_Quote</v>
      </c>
      <c r="I160" s="876">
        <v>0</v>
      </c>
      <c r="J160" s="43"/>
      <c r="L160" s="894" t="str">
        <f t="shared" si="23"/>
        <v>FwdSw</v>
      </c>
      <c r="M160" s="890" t="str">
        <f t="shared" si="24"/>
        <v>--</v>
      </c>
      <c r="N160" s="893" t="str">
        <f ca="1">IFERROR(_xll.qlRateHelperQuoteName(M160,Trigger),"--")</f>
        <v>--</v>
      </c>
      <c r="O160" s="892" t="str">
        <f ca="1">IFERROR(_xll.qlRateHelperQuoteValue($M160,Trigger),"--")</f>
        <v>--</v>
      </c>
      <c r="P160" s="969" t="b">
        <v>0</v>
      </c>
      <c r="Q160" s="890">
        <v>50</v>
      </c>
      <c r="R160" s="890">
        <v>1</v>
      </c>
      <c r="S160" s="889" t="str">
        <f ca="1">IFERROR(_xll.qlRateHelperEarliestDate(M160,Trigger),"--")</f>
        <v>--</v>
      </c>
      <c r="T160" s="889" t="str">
        <f ca="1">IFERROR(_xll.qlRateHelperPillarDate(M160,Trigger),"--")</f>
        <v>--</v>
      </c>
      <c r="V160" s="4" t="str">
        <f t="shared" ca="1" si="22"/>
        <v/>
      </c>
      <c r="W160" s="4" t="e">
        <f ca="1"/>
        <v>#NAME?</v>
      </c>
      <c r="X160" s="4" t="str">
        <f ca="1">IFERROR(_xll.qlRateHelperQuoteName(W160,Trigger),"")</f>
        <v/>
      </c>
      <c r="Y160" s="888" t="str">
        <f ca="1">IFERROR(_xll.qlRateHelperRate(W160,Trigger),"")</f>
        <v/>
      </c>
      <c r="Z160" s="887"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6" t="e">
        <f ca="1"/>
        <v>#NAME?</v>
      </c>
    </row>
    <row r="161" spans="1:29" x14ac:dyDescent="0.2">
      <c r="A161" s="873" t="s">
        <v>410</v>
      </c>
      <c r="B161" s="875" t="s">
        <v>36</v>
      </c>
      <c r="C161" s="874" t="s">
        <v>51</v>
      </c>
      <c r="D161" s="874" t="s">
        <v>323</v>
      </c>
      <c r="E161" s="874" t="s">
        <v>322</v>
      </c>
      <c r="F161" s="874" t="s">
        <v>221</v>
      </c>
      <c r="G161" s="874" t="str">
        <f t="shared" si="25"/>
        <v>Euribor6M</v>
      </c>
      <c r="H161" s="873" t="str">
        <f t="shared" si="26"/>
        <v>EUR5F20Y_Quote</v>
      </c>
      <c r="I161" s="876">
        <v>0</v>
      </c>
      <c r="J161" s="43"/>
      <c r="L161" s="894" t="str">
        <f t="shared" si="23"/>
        <v>FwdSw</v>
      </c>
      <c r="M161" s="890" t="str">
        <f t="shared" si="24"/>
        <v>--</v>
      </c>
      <c r="N161" s="893" t="str">
        <f ca="1">IFERROR(_xll.qlRateHelperQuoteName(M161,Trigger),"--")</f>
        <v>--</v>
      </c>
      <c r="O161" s="892" t="str">
        <f ca="1">IFERROR(_xll.qlRateHelperQuoteValue($M161,Trigger),"--")</f>
        <v>--</v>
      </c>
      <c r="P161" s="969" t="b">
        <v>0</v>
      </c>
      <c r="Q161" s="890">
        <v>50</v>
      </c>
      <c r="R161" s="890">
        <v>1</v>
      </c>
      <c r="S161" s="889" t="str">
        <f ca="1">IFERROR(_xll.qlRateHelperEarliestDate(M161,Trigger),"--")</f>
        <v>--</v>
      </c>
      <c r="T161" s="889" t="str">
        <f ca="1">IFERROR(_xll.qlRateHelperPillarDate(M161,Trigger),"--")</f>
        <v>--</v>
      </c>
      <c r="V161" s="4" t="str">
        <f t="shared" ca="1" si="22"/>
        <v/>
      </c>
      <c r="W161" s="4" t="e">
        <f ca="1"/>
        <v>#NAME?</v>
      </c>
      <c r="X161" s="4" t="str">
        <f ca="1">IFERROR(_xll.qlRateHelperQuoteName(W161,Trigger),"")</f>
        <v/>
      </c>
      <c r="Y161" s="888" t="str">
        <f ca="1">IFERROR(_xll.qlRateHelperRate(W161,Trigger),"")</f>
        <v/>
      </c>
      <c r="Z161" s="887"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6" t="e">
        <f ca="1"/>
        <v>#NAME?</v>
      </c>
    </row>
    <row r="162" spans="1:29" x14ac:dyDescent="0.2">
      <c r="A162" s="873" t="s">
        <v>410</v>
      </c>
      <c r="B162" s="875" t="s">
        <v>31</v>
      </c>
      <c r="C162" s="874" t="s">
        <v>51</v>
      </c>
      <c r="D162" s="874" t="s">
        <v>323</v>
      </c>
      <c r="E162" s="874" t="s">
        <v>322</v>
      </c>
      <c r="F162" s="874" t="s">
        <v>221</v>
      </c>
      <c r="G162" s="874" t="str">
        <f t="shared" si="25"/>
        <v>Euribor6M</v>
      </c>
      <c r="H162" s="873" t="str">
        <f t="shared" si="26"/>
        <v>EUR5F25Y_Quote</v>
      </c>
      <c r="I162" s="876">
        <v>0</v>
      </c>
      <c r="J162" s="43"/>
      <c r="L162" s="894" t="str">
        <f t="shared" si="23"/>
        <v>FwdSw</v>
      </c>
      <c r="M162" s="890" t="str">
        <f t="shared" si="24"/>
        <v>--</v>
      </c>
      <c r="N162" s="893" t="str">
        <f ca="1">IFERROR(_xll.qlRateHelperQuoteName(M162,Trigger),"--")</f>
        <v>--</v>
      </c>
      <c r="O162" s="892" t="str">
        <f ca="1">IFERROR(_xll.qlRateHelperQuoteValue($M162,Trigger),"--")</f>
        <v>--</v>
      </c>
      <c r="P162" s="969" t="b">
        <v>0</v>
      </c>
      <c r="Q162" s="890">
        <v>50</v>
      </c>
      <c r="R162" s="890">
        <v>1</v>
      </c>
      <c r="S162" s="889" t="str">
        <f ca="1">IFERROR(_xll.qlRateHelperEarliestDate(M162,Trigger),"--")</f>
        <v>--</v>
      </c>
      <c r="T162" s="889" t="str">
        <f ca="1">IFERROR(_xll.qlRateHelperPillarDate(M162,Trigger),"--")</f>
        <v>--</v>
      </c>
      <c r="V162" s="4" t="str">
        <f t="shared" ca="1" si="22"/>
        <v/>
      </c>
      <c r="W162" s="4" t="e">
        <f ca="1"/>
        <v>#NAME?</v>
      </c>
      <c r="X162" s="4" t="str">
        <f ca="1">IFERROR(_xll.qlRateHelperQuoteName(W162,Trigger),"")</f>
        <v/>
      </c>
      <c r="Y162" s="888" t="str">
        <f ca="1">IFERROR(_xll.qlRateHelperRate(W162,Trigger),"")</f>
        <v/>
      </c>
      <c r="Z162" s="887"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6" t="e">
        <f ca="1"/>
        <v>#NAME?</v>
      </c>
    </row>
    <row r="163" spans="1:29" x14ac:dyDescent="0.2">
      <c r="A163" s="873" t="s">
        <v>410</v>
      </c>
      <c r="B163" s="875" t="s">
        <v>26</v>
      </c>
      <c r="C163" s="874" t="s">
        <v>51</v>
      </c>
      <c r="D163" s="874" t="s">
        <v>323</v>
      </c>
      <c r="E163" s="874" t="s">
        <v>322</v>
      </c>
      <c r="F163" s="874" t="s">
        <v>221</v>
      </c>
      <c r="G163" s="874" t="str">
        <f t="shared" si="25"/>
        <v>Euribor6M</v>
      </c>
      <c r="H163" s="873" t="str">
        <f t="shared" si="26"/>
        <v>EUR5F30Y_Quote</v>
      </c>
      <c r="I163" s="876">
        <v>0</v>
      </c>
      <c r="J163" s="43"/>
      <c r="L163" s="894" t="str">
        <f t="shared" si="23"/>
        <v>FwdSw</v>
      </c>
      <c r="M163" s="890" t="str">
        <f t="shared" si="24"/>
        <v>--</v>
      </c>
      <c r="N163" s="893" t="str">
        <f ca="1">IFERROR(_xll.qlRateHelperQuoteName(M163,Trigger),"--")</f>
        <v>--</v>
      </c>
      <c r="O163" s="892" t="str">
        <f ca="1">IFERROR(_xll.qlRateHelperQuoteValue($M163,Trigger),"--")</f>
        <v>--</v>
      </c>
      <c r="P163" s="969" t="b">
        <v>0</v>
      </c>
      <c r="Q163" s="890">
        <v>50</v>
      </c>
      <c r="R163" s="890">
        <v>1</v>
      </c>
      <c r="S163" s="889" t="str">
        <f ca="1">IFERROR(_xll.qlRateHelperEarliestDate(M163,Trigger),"--")</f>
        <v>--</v>
      </c>
      <c r="T163" s="889" t="str">
        <f ca="1">IFERROR(_xll.qlRateHelperPillarDate(M163,Trigger),"--")</f>
        <v>--</v>
      </c>
      <c r="V163" s="4" t="str">
        <f t="shared" ca="1" si="22"/>
        <v/>
      </c>
      <c r="W163" s="4" t="e">
        <f ca="1"/>
        <v>#NAME?</v>
      </c>
      <c r="X163" s="4" t="str">
        <f ca="1">IFERROR(_xll.qlRateHelperQuoteName(W163,Trigger),"")</f>
        <v/>
      </c>
      <c r="Y163" s="888" t="str">
        <f ca="1">IFERROR(_xll.qlRateHelperRate(W163,Trigger),"")</f>
        <v/>
      </c>
      <c r="Z163" s="887"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6" t="e">
        <f ca="1"/>
        <v>#NAME?</v>
      </c>
    </row>
    <row r="164" spans="1:29" x14ac:dyDescent="0.2">
      <c r="A164" s="896" t="s">
        <v>410</v>
      </c>
      <c r="B164" s="898" t="s">
        <v>58</v>
      </c>
      <c r="C164" s="897" t="s">
        <v>50</v>
      </c>
      <c r="D164" s="897" t="s">
        <v>323</v>
      </c>
      <c r="E164" s="897" t="s">
        <v>322</v>
      </c>
      <c r="F164" s="897" t="s">
        <v>221</v>
      </c>
      <c r="G164" s="897" t="str">
        <f t="shared" si="25"/>
        <v>Euribor6M</v>
      </c>
      <c r="H164" s="896" t="str">
        <f t="shared" si="26"/>
        <v>EUR6F1Y_Quote</v>
      </c>
      <c r="I164" s="895">
        <v>0</v>
      </c>
      <c r="J164" s="47"/>
      <c r="L164" s="894" t="str">
        <f t="shared" si="23"/>
        <v>FwdSw</v>
      </c>
      <c r="M164" s="890" t="str">
        <f t="shared" si="24"/>
        <v>--</v>
      </c>
      <c r="N164" s="893" t="str">
        <f ca="1">IFERROR(_xll.qlRateHelperQuoteName(M164,Trigger),"--")</f>
        <v>--</v>
      </c>
      <c r="O164" s="892" t="str">
        <f ca="1">IFERROR(_xll.qlRateHelperQuoteValue($M164,Trigger),"--")</f>
        <v>--</v>
      </c>
      <c r="P164" s="969" t="b">
        <v>0</v>
      </c>
      <c r="Q164" s="890">
        <v>50</v>
      </c>
      <c r="R164" s="890">
        <v>1</v>
      </c>
      <c r="S164" s="889" t="str">
        <f ca="1">IFERROR(_xll.qlRateHelperEarliestDate(M164,Trigger),"--")</f>
        <v>--</v>
      </c>
      <c r="T164" s="889" t="str">
        <f ca="1">IFERROR(_xll.qlRateHelperPillarDate(M164,Trigger),"--")</f>
        <v>--</v>
      </c>
      <c r="V164" s="4" t="str">
        <f t="shared" ca="1" si="22"/>
        <v/>
      </c>
      <c r="W164" s="4" t="e">
        <f ca="1"/>
        <v>#NAME?</v>
      </c>
      <c r="X164" s="4" t="str">
        <f ca="1">IFERROR(_xll.qlRateHelperQuoteName(W164,Trigger),"")</f>
        <v/>
      </c>
      <c r="Y164" s="888" t="str">
        <f ca="1">IFERROR(_xll.qlRateHelperRate(W164,Trigger),"")</f>
        <v/>
      </c>
      <c r="Z164" s="887"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6" t="e">
        <f ca="1"/>
        <v>#NAME?</v>
      </c>
    </row>
    <row r="165" spans="1:29" x14ac:dyDescent="0.2">
      <c r="A165" s="873" t="s">
        <v>410</v>
      </c>
      <c r="B165" s="875" t="s">
        <v>54</v>
      </c>
      <c r="C165" s="874" t="s">
        <v>50</v>
      </c>
      <c r="D165" s="874" t="s">
        <v>323</v>
      </c>
      <c r="E165" s="874" t="s">
        <v>322</v>
      </c>
      <c r="F165" s="874" t="s">
        <v>221</v>
      </c>
      <c r="G165" s="874" t="str">
        <f t="shared" si="25"/>
        <v>Euribor6M</v>
      </c>
      <c r="H165" s="873" t="str">
        <f t="shared" si="26"/>
        <v>EUR6F2Y_Quote</v>
      </c>
      <c r="I165" s="876">
        <v>0</v>
      </c>
      <c r="J165" s="43"/>
      <c r="L165" s="894" t="str">
        <f t="shared" si="23"/>
        <v>FwdSw</v>
      </c>
      <c r="M165" s="890" t="str">
        <f t="shared" si="24"/>
        <v>--</v>
      </c>
      <c r="N165" s="893" t="str">
        <f ca="1">IFERROR(_xll.qlRateHelperQuoteName(M165,Trigger),"--")</f>
        <v>--</v>
      </c>
      <c r="O165" s="892" t="str">
        <f ca="1">IFERROR(_xll.qlRateHelperQuoteValue($M165,Trigger),"--")</f>
        <v>--</v>
      </c>
      <c r="P165" s="969" t="b">
        <v>0</v>
      </c>
      <c r="Q165" s="890">
        <v>50</v>
      </c>
      <c r="R165" s="890">
        <v>1</v>
      </c>
      <c r="S165" s="889" t="str">
        <f ca="1">IFERROR(_xll.qlRateHelperEarliestDate(M165,Trigger),"--")</f>
        <v>--</v>
      </c>
      <c r="T165" s="889" t="str">
        <f ca="1">IFERROR(_xll.qlRateHelperPillarDate(M165,Trigger),"--")</f>
        <v>--</v>
      </c>
      <c r="V165" s="4" t="str">
        <f t="shared" ca="1" si="22"/>
        <v/>
      </c>
      <c r="W165" s="4" t="e">
        <f ca="1"/>
        <v>#NAME?</v>
      </c>
      <c r="X165" s="4" t="str">
        <f ca="1">IFERROR(_xll.qlRateHelperQuoteName(W165,Trigger),"")</f>
        <v/>
      </c>
      <c r="Y165" s="888" t="str">
        <f ca="1">IFERROR(_xll.qlRateHelperRate(W165,Trigger),"")</f>
        <v/>
      </c>
      <c r="Z165" s="887"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6" t="e">
        <f ca="1"/>
        <v>#NAME?</v>
      </c>
    </row>
    <row r="166" spans="1:29" x14ac:dyDescent="0.2">
      <c r="A166" s="873" t="s">
        <v>410</v>
      </c>
      <c r="B166" s="875" t="s">
        <v>53</v>
      </c>
      <c r="C166" s="874" t="s">
        <v>50</v>
      </c>
      <c r="D166" s="874" t="s">
        <v>323</v>
      </c>
      <c r="E166" s="874" t="s">
        <v>322</v>
      </c>
      <c r="F166" s="874" t="s">
        <v>221</v>
      </c>
      <c r="G166" s="874" t="str">
        <f t="shared" si="25"/>
        <v>Euribor6M</v>
      </c>
      <c r="H166" s="873" t="str">
        <f t="shared" si="26"/>
        <v>EUR6F3Y_Quote</v>
      </c>
      <c r="I166" s="876">
        <v>0</v>
      </c>
      <c r="J166" s="43"/>
      <c r="L166" s="894" t="str">
        <f t="shared" si="23"/>
        <v>FwdSw</v>
      </c>
      <c r="M166" s="890" t="str">
        <f t="shared" si="24"/>
        <v>--</v>
      </c>
      <c r="N166" s="893" t="str">
        <f ca="1">IFERROR(_xll.qlRateHelperQuoteName(M166,Trigger),"--")</f>
        <v>--</v>
      </c>
      <c r="O166" s="892" t="str">
        <f ca="1">IFERROR(_xll.qlRateHelperQuoteValue($M166,Trigger),"--")</f>
        <v>--</v>
      </c>
      <c r="P166" s="969" t="b">
        <v>0</v>
      </c>
      <c r="Q166" s="890">
        <v>50</v>
      </c>
      <c r="R166" s="890">
        <v>1</v>
      </c>
      <c r="S166" s="889" t="str">
        <f ca="1">IFERROR(_xll.qlRateHelperEarliestDate(M166,Trigger),"--")</f>
        <v>--</v>
      </c>
      <c r="T166" s="889" t="str">
        <f ca="1">IFERROR(_xll.qlRateHelperPillarDate(M166,Trigger),"--")</f>
        <v>--</v>
      </c>
      <c r="V166" s="4" t="str">
        <f t="shared" ca="1" si="22"/>
        <v/>
      </c>
      <c r="W166" s="4" t="e">
        <f ca="1"/>
        <v>#NAME?</v>
      </c>
      <c r="X166" s="4" t="str">
        <f ca="1">IFERROR(_xll.qlRateHelperQuoteName(W166,Trigger),"")</f>
        <v/>
      </c>
      <c r="Y166" s="888" t="str">
        <f ca="1">IFERROR(_xll.qlRateHelperRate(W166,Trigger),"")</f>
        <v/>
      </c>
      <c r="Z166" s="887"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6" t="e">
        <f ca="1"/>
        <v>#NAME?</v>
      </c>
    </row>
    <row r="167" spans="1:29" x14ac:dyDescent="0.2">
      <c r="A167" s="873" t="s">
        <v>410</v>
      </c>
      <c r="B167" s="875" t="s">
        <v>52</v>
      </c>
      <c r="C167" s="874" t="s">
        <v>50</v>
      </c>
      <c r="D167" s="874" t="s">
        <v>323</v>
      </c>
      <c r="E167" s="874" t="s">
        <v>322</v>
      </c>
      <c r="F167" s="874" t="s">
        <v>221</v>
      </c>
      <c r="G167" s="874" t="str">
        <f t="shared" si="25"/>
        <v>Euribor6M</v>
      </c>
      <c r="H167" s="873" t="str">
        <f t="shared" si="26"/>
        <v>EUR6F4Y_Quote</v>
      </c>
      <c r="I167" s="876">
        <v>0</v>
      </c>
      <c r="J167" s="43"/>
      <c r="L167" s="894" t="str">
        <f t="shared" si="23"/>
        <v>FwdSw</v>
      </c>
      <c r="M167" s="890" t="str">
        <f t="shared" si="24"/>
        <v>--</v>
      </c>
      <c r="N167" s="893" t="str">
        <f ca="1">IFERROR(_xll.qlRateHelperQuoteName(M167,Trigger),"--")</f>
        <v>--</v>
      </c>
      <c r="O167" s="892" t="str">
        <f ca="1">IFERROR(_xll.qlRateHelperQuoteValue($M167,Trigger),"--")</f>
        <v>--</v>
      </c>
      <c r="P167" s="969" t="b">
        <v>0</v>
      </c>
      <c r="Q167" s="890">
        <v>50</v>
      </c>
      <c r="R167" s="890">
        <v>1</v>
      </c>
      <c r="S167" s="889" t="str">
        <f ca="1">IFERROR(_xll.qlRateHelperEarliestDate(M167,Trigger),"--")</f>
        <v>--</v>
      </c>
      <c r="T167" s="889" t="str">
        <f ca="1">IFERROR(_xll.qlRateHelperPillarDate(M167,Trigger),"--")</f>
        <v>--</v>
      </c>
      <c r="V167" s="4" t="str">
        <f t="shared" ca="1" si="22"/>
        <v/>
      </c>
      <c r="W167" s="4" t="e">
        <f ca="1"/>
        <v>#NAME?</v>
      </c>
      <c r="X167" s="4" t="str">
        <f ca="1">IFERROR(_xll.qlRateHelperQuoteName(W167,Trigger),"")</f>
        <v/>
      </c>
      <c r="Y167" s="888" t="str">
        <f ca="1">IFERROR(_xll.qlRateHelperRate(W167,Trigger),"")</f>
        <v/>
      </c>
      <c r="Z167" s="887"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6" t="e">
        <f ca="1"/>
        <v>#NAME?</v>
      </c>
    </row>
    <row r="168" spans="1:29" x14ac:dyDescent="0.2">
      <c r="A168" s="873" t="s">
        <v>410</v>
      </c>
      <c r="B168" s="875" t="s">
        <v>51</v>
      </c>
      <c r="C168" s="874" t="s">
        <v>50</v>
      </c>
      <c r="D168" s="874" t="s">
        <v>323</v>
      </c>
      <c r="E168" s="874" t="s">
        <v>322</v>
      </c>
      <c r="F168" s="874" t="s">
        <v>221</v>
      </c>
      <c r="G168" s="874" t="str">
        <f t="shared" si="25"/>
        <v>Euribor6M</v>
      </c>
      <c r="H168" s="873" t="str">
        <f t="shared" si="26"/>
        <v>EUR6F5Y_Quote</v>
      </c>
      <c r="I168" s="876">
        <v>0</v>
      </c>
      <c r="J168" s="43"/>
      <c r="L168" s="894" t="str">
        <f t="shared" si="23"/>
        <v>FwdSw</v>
      </c>
      <c r="M168" s="890" t="str">
        <f t="shared" si="24"/>
        <v>--</v>
      </c>
      <c r="N168" s="893" t="str">
        <f ca="1">IFERROR(_xll.qlRateHelperQuoteName(M168,Trigger),"--")</f>
        <v>--</v>
      </c>
      <c r="O168" s="892" t="str">
        <f ca="1">IFERROR(_xll.qlRateHelperQuoteValue($M168,Trigger),"--")</f>
        <v>--</v>
      </c>
      <c r="P168" s="969" t="b">
        <v>0</v>
      </c>
      <c r="Q168" s="890">
        <v>50</v>
      </c>
      <c r="R168" s="890">
        <v>1</v>
      </c>
      <c r="S168" s="889" t="str">
        <f ca="1">IFERROR(_xll.qlRateHelperEarliestDate(M168,Trigger),"--")</f>
        <v>--</v>
      </c>
      <c r="T168" s="889" t="str">
        <f ca="1">IFERROR(_xll.qlRateHelperPillarDate(M168,Trigger),"--")</f>
        <v>--</v>
      </c>
      <c r="V168" s="4" t="str">
        <f t="shared" ca="1" si="22"/>
        <v/>
      </c>
      <c r="W168" s="4" t="e">
        <f ca="1"/>
        <v>#NAME?</v>
      </c>
      <c r="X168" s="4" t="str">
        <f ca="1">IFERROR(_xll.qlRateHelperQuoteName(W168,Trigger),"")</f>
        <v/>
      </c>
      <c r="Y168" s="888" t="str">
        <f ca="1">IFERROR(_xll.qlRateHelperRate(W168,Trigger),"")</f>
        <v/>
      </c>
      <c r="Z168" s="887"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6" t="e">
        <f ca="1"/>
        <v>#NAME?</v>
      </c>
    </row>
    <row r="169" spans="1:29" x14ac:dyDescent="0.2">
      <c r="A169" s="873" t="s">
        <v>410</v>
      </c>
      <c r="B169" s="875" t="s">
        <v>50</v>
      </c>
      <c r="C169" s="874" t="s">
        <v>50</v>
      </c>
      <c r="D169" s="874" t="s">
        <v>323</v>
      </c>
      <c r="E169" s="874" t="s">
        <v>322</v>
      </c>
      <c r="F169" s="874" t="s">
        <v>221</v>
      </c>
      <c r="G169" s="874" t="str">
        <f t="shared" si="25"/>
        <v>Euribor6M</v>
      </c>
      <c r="H169" s="873" t="str">
        <f t="shared" si="26"/>
        <v>EUR6F6Y_Quote</v>
      </c>
      <c r="I169" s="876">
        <v>0</v>
      </c>
      <c r="J169" s="43"/>
      <c r="L169" s="894" t="str">
        <f t="shared" si="23"/>
        <v>FwdSw</v>
      </c>
      <c r="M169" s="890" t="str">
        <f t="shared" si="24"/>
        <v>--</v>
      </c>
      <c r="N169" s="893" t="str">
        <f ca="1">IFERROR(_xll.qlRateHelperQuoteName(M169,Trigger),"--")</f>
        <v>--</v>
      </c>
      <c r="O169" s="892" t="str">
        <f ca="1">IFERROR(_xll.qlRateHelperQuoteValue($M169,Trigger),"--")</f>
        <v>--</v>
      </c>
      <c r="P169" s="969" t="b">
        <v>0</v>
      </c>
      <c r="Q169" s="890">
        <v>50</v>
      </c>
      <c r="R169" s="890">
        <v>1</v>
      </c>
      <c r="S169" s="889" t="str">
        <f ca="1">IFERROR(_xll.qlRateHelperEarliestDate(M169,Trigger),"--")</f>
        <v>--</v>
      </c>
      <c r="T169" s="889" t="str">
        <f ca="1">IFERROR(_xll.qlRateHelperPillarDate(M169,Trigger),"--")</f>
        <v>--</v>
      </c>
      <c r="V169" s="4" t="str">
        <f t="shared" ca="1" si="22"/>
        <v/>
      </c>
      <c r="W169" s="4" t="e">
        <f ca="1"/>
        <v>#NAME?</v>
      </c>
      <c r="X169" s="4" t="str">
        <f ca="1">IFERROR(_xll.qlRateHelperQuoteName(W169,Trigger),"")</f>
        <v/>
      </c>
      <c r="Y169" s="888" t="str">
        <f ca="1">IFERROR(_xll.qlRateHelperRate(W169,Trigger),"")</f>
        <v/>
      </c>
      <c r="Z169" s="887"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6" t="e">
        <f ca="1"/>
        <v>#NAME?</v>
      </c>
    </row>
    <row r="170" spans="1:29" x14ac:dyDescent="0.2">
      <c r="A170" s="873" t="s">
        <v>410</v>
      </c>
      <c r="B170" s="875" t="s">
        <v>49</v>
      </c>
      <c r="C170" s="874" t="s">
        <v>50</v>
      </c>
      <c r="D170" s="874" t="s">
        <v>323</v>
      </c>
      <c r="E170" s="874" t="s">
        <v>322</v>
      </c>
      <c r="F170" s="874" t="s">
        <v>221</v>
      </c>
      <c r="G170" s="874" t="str">
        <f t="shared" si="25"/>
        <v>Euribor6M</v>
      </c>
      <c r="H170" s="873" t="str">
        <f t="shared" si="26"/>
        <v>EUR6F7Y_Quote</v>
      </c>
      <c r="I170" s="876">
        <v>0</v>
      </c>
      <c r="J170" s="43"/>
      <c r="L170" s="894" t="str">
        <f t="shared" si="23"/>
        <v>FwdSw</v>
      </c>
      <c r="M170" s="890" t="str">
        <f t="shared" si="24"/>
        <v>--</v>
      </c>
      <c r="N170" s="893" t="str">
        <f ca="1">IFERROR(_xll.qlRateHelperQuoteName(M170,Trigger),"--")</f>
        <v>--</v>
      </c>
      <c r="O170" s="892" t="str">
        <f ca="1">IFERROR(_xll.qlRateHelperQuoteValue($M170,Trigger),"--")</f>
        <v>--</v>
      </c>
      <c r="P170" s="969" t="b">
        <v>0</v>
      </c>
      <c r="Q170" s="890">
        <v>50</v>
      </c>
      <c r="R170" s="890">
        <v>1</v>
      </c>
      <c r="S170" s="889" t="str">
        <f ca="1">IFERROR(_xll.qlRateHelperEarliestDate(M170,Trigger),"--")</f>
        <v>--</v>
      </c>
      <c r="T170" s="889" t="str">
        <f ca="1">IFERROR(_xll.qlRateHelperPillarDate(M170,Trigger),"--")</f>
        <v>--</v>
      </c>
      <c r="V170" s="4" t="str">
        <f t="shared" ca="1" si="22"/>
        <v/>
      </c>
      <c r="W170" s="4" t="e">
        <f ca="1"/>
        <v>#NAME?</v>
      </c>
      <c r="X170" s="4" t="str">
        <f ca="1">IFERROR(_xll.qlRateHelperQuoteName(W170,Trigger),"")</f>
        <v/>
      </c>
      <c r="Y170" s="888" t="str">
        <f ca="1">IFERROR(_xll.qlRateHelperRate(W170,Trigger),"")</f>
        <v/>
      </c>
      <c r="Z170" s="887"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6" t="e">
        <f ca="1"/>
        <v>#NAME?</v>
      </c>
    </row>
    <row r="171" spans="1:29" x14ac:dyDescent="0.2">
      <c r="A171" s="873" t="s">
        <v>410</v>
      </c>
      <c r="B171" s="875" t="s">
        <v>48</v>
      </c>
      <c r="C171" s="874" t="s">
        <v>50</v>
      </c>
      <c r="D171" s="874" t="s">
        <v>323</v>
      </c>
      <c r="E171" s="874" t="s">
        <v>322</v>
      </c>
      <c r="F171" s="874" t="s">
        <v>221</v>
      </c>
      <c r="G171" s="874" t="str">
        <f t="shared" si="25"/>
        <v>Euribor6M</v>
      </c>
      <c r="H171" s="873" t="str">
        <f t="shared" si="26"/>
        <v>EUR6F8Y_Quote</v>
      </c>
      <c r="I171" s="876">
        <v>0</v>
      </c>
      <c r="J171" s="43"/>
      <c r="L171" s="894" t="str">
        <f t="shared" si="23"/>
        <v>FwdSw</v>
      </c>
      <c r="M171" s="890" t="str">
        <f t="shared" si="24"/>
        <v>--</v>
      </c>
      <c r="N171" s="893" t="str">
        <f ca="1">IFERROR(_xll.qlRateHelperQuoteName(M171,Trigger),"--")</f>
        <v>--</v>
      </c>
      <c r="O171" s="892" t="str">
        <f ca="1">IFERROR(_xll.qlRateHelperQuoteValue($M171,Trigger),"--")</f>
        <v>--</v>
      </c>
      <c r="P171" s="969" t="b">
        <v>0</v>
      </c>
      <c r="Q171" s="890">
        <v>50</v>
      </c>
      <c r="R171" s="890">
        <v>1</v>
      </c>
      <c r="S171" s="889" t="str">
        <f ca="1">IFERROR(_xll.qlRateHelperEarliestDate(M171,Trigger),"--")</f>
        <v>--</v>
      </c>
      <c r="T171" s="889" t="str">
        <f ca="1">IFERROR(_xll.qlRateHelperPillarDate(M171,Trigger),"--")</f>
        <v>--</v>
      </c>
      <c r="V171" s="4" t="str">
        <f t="shared" ca="1" si="22"/>
        <v/>
      </c>
      <c r="W171" s="4" t="e">
        <f ca="1"/>
        <v>#NAME?</v>
      </c>
      <c r="X171" s="4" t="str">
        <f ca="1">IFERROR(_xll.qlRateHelperQuoteName(W171,Trigger),"")</f>
        <v/>
      </c>
      <c r="Y171" s="888" t="str">
        <f ca="1">IFERROR(_xll.qlRateHelperRate(W171,Trigger),"")</f>
        <v/>
      </c>
      <c r="Z171" s="887"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6" t="e">
        <f ca="1"/>
        <v>#NAME?</v>
      </c>
    </row>
    <row r="172" spans="1:29" x14ac:dyDescent="0.2">
      <c r="A172" s="873" t="s">
        <v>410</v>
      </c>
      <c r="B172" s="875" t="s">
        <v>47</v>
      </c>
      <c r="C172" s="874" t="s">
        <v>50</v>
      </c>
      <c r="D172" s="874" t="s">
        <v>323</v>
      </c>
      <c r="E172" s="874" t="s">
        <v>322</v>
      </c>
      <c r="F172" s="874" t="s">
        <v>221</v>
      </c>
      <c r="G172" s="874" t="str">
        <f t="shared" si="25"/>
        <v>Euribor6M</v>
      </c>
      <c r="H172" s="873" t="str">
        <f t="shared" si="26"/>
        <v>EUR6F9Y_Quote</v>
      </c>
      <c r="I172" s="876">
        <v>0</v>
      </c>
      <c r="J172" s="43"/>
      <c r="L172" s="894" t="str">
        <f t="shared" si="23"/>
        <v>FwdSw</v>
      </c>
      <c r="M172" s="890" t="str">
        <f t="shared" si="24"/>
        <v>--</v>
      </c>
      <c r="N172" s="893" t="str">
        <f ca="1">IFERROR(_xll.qlRateHelperQuoteName(M172,Trigger),"--")</f>
        <v>--</v>
      </c>
      <c r="O172" s="892" t="str">
        <f ca="1">IFERROR(_xll.qlRateHelperQuoteValue($M172,Trigger),"--")</f>
        <v>--</v>
      </c>
      <c r="P172" s="969" t="b">
        <v>0</v>
      </c>
      <c r="Q172" s="890">
        <v>50</v>
      </c>
      <c r="R172" s="890">
        <v>1</v>
      </c>
      <c r="S172" s="889" t="str">
        <f ca="1">IFERROR(_xll.qlRateHelperEarliestDate(M172,Trigger),"--")</f>
        <v>--</v>
      </c>
      <c r="T172" s="889" t="str">
        <f ca="1">IFERROR(_xll.qlRateHelperPillarDate(M172,Trigger),"--")</f>
        <v>--</v>
      </c>
      <c r="V172" s="4" t="str">
        <f t="shared" ca="1" si="22"/>
        <v/>
      </c>
      <c r="W172" s="4" t="e">
        <f ca="1"/>
        <v>#NAME?</v>
      </c>
      <c r="X172" s="4" t="str">
        <f ca="1">IFERROR(_xll.qlRateHelperQuoteName(W172,Trigger),"")</f>
        <v/>
      </c>
      <c r="Y172" s="888" t="str">
        <f ca="1">IFERROR(_xll.qlRateHelperRate(W172,Trigger),"")</f>
        <v/>
      </c>
      <c r="Z172" s="887"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6" t="e">
        <f ca="1"/>
        <v>#NAME?</v>
      </c>
    </row>
    <row r="173" spans="1:29" x14ac:dyDescent="0.2">
      <c r="A173" s="873" t="s">
        <v>410</v>
      </c>
      <c r="B173" s="875" t="s">
        <v>46</v>
      </c>
      <c r="C173" s="874" t="s">
        <v>50</v>
      </c>
      <c r="D173" s="874" t="s">
        <v>323</v>
      </c>
      <c r="E173" s="874" t="s">
        <v>322</v>
      </c>
      <c r="F173" s="874" t="s">
        <v>221</v>
      </c>
      <c r="G173" s="874" t="str">
        <f t="shared" si="25"/>
        <v>Euribor6M</v>
      </c>
      <c r="H173" s="873" t="str">
        <f t="shared" si="26"/>
        <v>EUR6F10Y_Quote</v>
      </c>
      <c r="I173" s="876">
        <v>0</v>
      </c>
      <c r="J173" s="43"/>
      <c r="L173" s="894" t="str">
        <f t="shared" si="23"/>
        <v>FwdSw</v>
      </c>
      <c r="M173" s="890" t="str">
        <f t="shared" si="24"/>
        <v>--</v>
      </c>
      <c r="N173" s="893" t="str">
        <f ca="1">IFERROR(_xll.qlRateHelperQuoteName(M173,Trigger),"--")</f>
        <v>--</v>
      </c>
      <c r="O173" s="892" t="str">
        <f ca="1">IFERROR(_xll.qlRateHelperQuoteValue($M173,Trigger),"--")</f>
        <v>--</v>
      </c>
      <c r="P173" s="969" t="b">
        <v>0</v>
      </c>
      <c r="Q173" s="890">
        <v>50</v>
      </c>
      <c r="R173" s="890">
        <v>1</v>
      </c>
      <c r="S173" s="889" t="str">
        <f ca="1">IFERROR(_xll.qlRateHelperEarliestDate(M173,Trigger),"--")</f>
        <v>--</v>
      </c>
      <c r="T173" s="889" t="str">
        <f ca="1">IFERROR(_xll.qlRateHelperPillarDate(M173,Trigger),"--")</f>
        <v>--</v>
      </c>
      <c r="V173" s="4" t="str">
        <f t="shared" ca="1" si="22"/>
        <v/>
      </c>
      <c r="W173" s="4" t="e">
        <f ca="1"/>
        <v>#NAME?</v>
      </c>
      <c r="X173" s="4" t="str">
        <f ca="1">IFERROR(_xll.qlRateHelperQuoteName(W173,Trigger),"")</f>
        <v/>
      </c>
      <c r="Y173" s="888" t="str">
        <f ca="1">IFERROR(_xll.qlRateHelperRate(W173,Trigger),"")</f>
        <v/>
      </c>
      <c r="Z173" s="887"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6" t="e">
        <f ca="1"/>
        <v>#NAME?</v>
      </c>
    </row>
    <row r="174" spans="1:29" x14ac:dyDescent="0.2">
      <c r="A174" s="873" t="s">
        <v>410</v>
      </c>
      <c r="B174" s="875" t="s">
        <v>45</v>
      </c>
      <c r="C174" s="874" t="s">
        <v>50</v>
      </c>
      <c r="D174" s="874" t="s">
        <v>323</v>
      </c>
      <c r="E174" s="874" t="s">
        <v>322</v>
      </c>
      <c r="F174" s="874" t="s">
        <v>221</v>
      </c>
      <c r="G174" s="874" t="str">
        <f t="shared" si="25"/>
        <v>Euribor6M</v>
      </c>
      <c r="H174" s="873" t="str">
        <f t="shared" si="26"/>
        <v>EUR6F11Y_Quote</v>
      </c>
      <c r="I174" s="876">
        <v>0</v>
      </c>
      <c r="J174" s="43"/>
      <c r="L174" s="894" t="str">
        <f t="shared" si="23"/>
        <v>FwdSw</v>
      </c>
      <c r="M174" s="890" t="str">
        <f t="shared" si="24"/>
        <v>--</v>
      </c>
      <c r="N174" s="893" t="str">
        <f ca="1">IFERROR(_xll.qlRateHelperQuoteName(M174,Trigger),"--")</f>
        <v>--</v>
      </c>
      <c r="O174" s="892" t="str">
        <f ca="1">IFERROR(_xll.qlRateHelperQuoteValue($M174,Trigger),"--")</f>
        <v>--</v>
      </c>
      <c r="P174" s="969" t="b">
        <v>0</v>
      </c>
      <c r="Q174" s="890">
        <v>50</v>
      </c>
      <c r="R174" s="890">
        <v>1</v>
      </c>
      <c r="S174" s="889" t="str">
        <f ca="1">IFERROR(_xll.qlRateHelperEarliestDate(M174,Trigger),"--")</f>
        <v>--</v>
      </c>
      <c r="T174" s="889" t="str">
        <f ca="1">IFERROR(_xll.qlRateHelperPillarDate(M174,Trigger),"--")</f>
        <v>--</v>
      </c>
      <c r="V174" s="4" t="str">
        <f t="shared" ca="1" si="22"/>
        <v/>
      </c>
      <c r="W174" s="4" t="e">
        <f ca="1"/>
        <v>#NAME?</v>
      </c>
      <c r="X174" s="4" t="str">
        <f ca="1">IFERROR(_xll.qlRateHelperQuoteName(W174,Trigger),"")</f>
        <v/>
      </c>
      <c r="Y174" s="888" t="str">
        <f ca="1">IFERROR(_xll.qlRateHelperRate(W174,Trigger),"")</f>
        <v/>
      </c>
      <c r="Z174" s="887"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6" t="e">
        <f ca="1"/>
        <v>#NAME?</v>
      </c>
    </row>
    <row r="175" spans="1:29" x14ac:dyDescent="0.2">
      <c r="A175" s="873" t="s">
        <v>410</v>
      </c>
      <c r="B175" s="875" t="s">
        <v>44</v>
      </c>
      <c r="C175" s="874" t="s">
        <v>50</v>
      </c>
      <c r="D175" s="874" t="s">
        <v>323</v>
      </c>
      <c r="E175" s="874" t="s">
        <v>322</v>
      </c>
      <c r="F175" s="874" t="s">
        <v>221</v>
      </c>
      <c r="G175" s="874" t="str">
        <f t="shared" si="25"/>
        <v>Euribor6M</v>
      </c>
      <c r="H175" s="873" t="str">
        <f t="shared" si="26"/>
        <v>EUR6F12Y_Quote</v>
      </c>
      <c r="I175" s="876">
        <v>0</v>
      </c>
      <c r="J175" s="43"/>
      <c r="L175" s="894" t="str">
        <f t="shared" si="23"/>
        <v>FwdSw</v>
      </c>
      <c r="M175" s="890" t="str">
        <f t="shared" si="24"/>
        <v>--</v>
      </c>
      <c r="N175" s="893" t="str">
        <f ca="1">IFERROR(_xll.qlRateHelperQuoteName(M175,Trigger),"--")</f>
        <v>--</v>
      </c>
      <c r="O175" s="892" t="str">
        <f ca="1">IFERROR(_xll.qlRateHelperQuoteValue($M175,Trigger),"--")</f>
        <v>--</v>
      </c>
      <c r="P175" s="969" t="b">
        <v>0</v>
      </c>
      <c r="Q175" s="890">
        <v>50</v>
      </c>
      <c r="R175" s="890">
        <v>1</v>
      </c>
      <c r="S175" s="889" t="str">
        <f ca="1">IFERROR(_xll.qlRateHelperEarliestDate(M175,Trigger),"--")</f>
        <v>--</v>
      </c>
      <c r="T175" s="889" t="str">
        <f ca="1">IFERROR(_xll.qlRateHelperPillarDate(M175,Trigger),"--")</f>
        <v>--</v>
      </c>
      <c r="V175" s="4" t="str">
        <f t="shared" ca="1" si="22"/>
        <v/>
      </c>
      <c r="W175" s="4" t="e">
        <f ca="1"/>
        <v>#NAME?</v>
      </c>
      <c r="X175" s="4" t="str">
        <f ca="1">IFERROR(_xll.qlRateHelperQuoteName(W175,Trigger),"")</f>
        <v/>
      </c>
      <c r="Y175" s="888" t="str">
        <f ca="1">IFERROR(_xll.qlRateHelperRate(W175,Trigger),"")</f>
        <v/>
      </c>
      <c r="Z175" s="887"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6" t="e">
        <f ca="1"/>
        <v>#NAME?</v>
      </c>
    </row>
    <row r="176" spans="1:29" x14ac:dyDescent="0.2">
      <c r="A176" s="873" t="s">
        <v>410</v>
      </c>
      <c r="B176" s="875" t="s">
        <v>43</v>
      </c>
      <c r="C176" s="874" t="s">
        <v>50</v>
      </c>
      <c r="D176" s="874" t="s">
        <v>323</v>
      </c>
      <c r="E176" s="874" t="s">
        <v>322</v>
      </c>
      <c r="F176" s="874" t="s">
        <v>221</v>
      </c>
      <c r="G176" s="874" t="str">
        <f t="shared" si="25"/>
        <v>Euribor6M</v>
      </c>
      <c r="H176" s="873" t="str">
        <f t="shared" si="26"/>
        <v>EUR6F13Y_Quote</v>
      </c>
      <c r="I176" s="876">
        <v>0</v>
      </c>
      <c r="J176" s="43"/>
      <c r="L176" s="894" t="str">
        <f t="shared" si="23"/>
        <v>FwdSw</v>
      </c>
      <c r="M176" s="890" t="str">
        <f t="shared" si="24"/>
        <v>--</v>
      </c>
      <c r="N176" s="893" t="str">
        <f ca="1">IFERROR(_xll.qlRateHelperQuoteName(M176,Trigger),"--")</f>
        <v>--</v>
      </c>
      <c r="O176" s="892" t="str">
        <f ca="1">IFERROR(_xll.qlRateHelperQuoteValue($M176,Trigger),"--")</f>
        <v>--</v>
      </c>
      <c r="P176" s="969" t="b">
        <v>0</v>
      </c>
      <c r="Q176" s="890">
        <v>50</v>
      </c>
      <c r="R176" s="890">
        <v>1</v>
      </c>
      <c r="S176" s="889" t="str">
        <f ca="1">IFERROR(_xll.qlRateHelperEarliestDate(M176,Trigger),"--")</f>
        <v>--</v>
      </c>
      <c r="T176" s="889" t="str">
        <f ca="1">IFERROR(_xll.qlRateHelperPillarDate(M176,Trigger),"--")</f>
        <v>--</v>
      </c>
      <c r="V176" s="4" t="str">
        <f t="shared" ca="1" si="22"/>
        <v/>
      </c>
      <c r="W176" s="4" t="e">
        <f ca="1"/>
        <v>#NAME?</v>
      </c>
      <c r="X176" s="4" t="str">
        <f ca="1">IFERROR(_xll.qlRateHelperQuoteName(W176,Trigger),"")</f>
        <v/>
      </c>
      <c r="Y176" s="888" t="str">
        <f ca="1">IFERROR(_xll.qlRateHelperRate(W176,Trigger),"")</f>
        <v/>
      </c>
      <c r="Z176" s="887"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6" t="e">
        <f ca="1"/>
        <v>#NAME?</v>
      </c>
    </row>
    <row r="177" spans="1:29" x14ac:dyDescent="0.2">
      <c r="A177" s="873" t="s">
        <v>410</v>
      </c>
      <c r="B177" s="875" t="s">
        <v>42</v>
      </c>
      <c r="C177" s="874" t="s">
        <v>50</v>
      </c>
      <c r="D177" s="874" t="s">
        <v>323</v>
      </c>
      <c r="E177" s="874" t="s">
        <v>322</v>
      </c>
      <c r="F177" s="874" t="s">
        <v>221</v>
      </c>
      <c r="G177" s="874" t="str">
        <f t="shared" si="25"/>
        <v>Euribor6M</v>
      </c>
      <c r="H177" s="873" t="str">
        <f t="shared" si="26"/>
        <v>EUR6F14Y_Quote</v>
      </c>
      <c r="I177" s="876">
        <v>0</v>
      </c>
      <c r="J177" s="43"/>
      <c r="L177" s="894" t="str">
        <f t="shared" si="23"/>
        <v>FwdSw</v>
      </c>
      <c r="M177" s="890" t="str">
        <f t="shared" si="24"/>
        <v>--</v>
      </c>
      <c r="N177" s="893" t="str">
        <f ca="1">IFERROR(_xll.qlRateHelperQuoteName(M177,Trigger),"--")</f>
        <v>--</v>
      </c>
      <c r="O177" s="892" t="str">
        <f ca="1">IFERROR(_xll.qlRateHelperQuoteValue($M177,Trigger),"--")</f>
        <v>--</v>
      </c>
      <c r="P177" s="969" t="b">
        <v>0</v>
      </c>
      <c r="Q177" s="890">
        <v>50</v>
      </c>
      <c r="R177" s="890">
        <v>1</v>
      </c>
      <c r="S177" s="889" t="str">
        <f ca="1">IFERROR(_xll.qlRateHelperEarliestDate(M177,Trigger),"--")</f>
        <v>--</v>
      </c>
      <c r="T177" s="889" t="str">
        <f ca="1">IFERROR(_xll.qlRateHelperPillarDate(M177,Trigger),"--")</f>
        <v>--</v>
      </c>
      <c r="V177" s="4" t="str">
        <f t="shared" ca="1" si="22"/>
        <v/>
      </c>
      <c r="W177" s="4" t="e">
        <f ca="1"/>
        <v>#NAME?</v>
      </c>
      <c r="X177" s="4" t="str">
        <f ca="1">IFERROR(_xll.qlRateHelperQuoteName(W177,Trigger),"")</f>
        <v/>
      </c>
      <c r="Y177" s="888" t="str">
        <f ca="1">IFERROR(_xll.qlRateHelperRate(W177,Trigger),"")</f>
        <v/>
      </c>
      <c r="Z177" s="887"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6" t="e">
        <f ca="1"/>
        <v>#NAME?</v>
      </c>
    </row>
    <row r="178" spans="1:29" x14ac:dyDescent="0.2">
      <c r="A178" s="873" t="s">
        <v>410</v>
      </c>
      <c r="B178" s="875" t="s">
        <v>41</v>
      </c>
      <c r="C178" s="874" t="s">
        <v>50</v>
      </c>
      <c r="D178" s="874" t="s">
        <v>323</v>
      </c>
      <c r="E178" s="874" t="s">
        <v>322</v>
      </c>
      <c r="F178" s="874" t="s">
        <v>221</v>
      </c>
      <c r="G178" s="874" t="str">
        <f t="shared" si="25"/>
        <v>Euribor6M</v>
      </c>
      <c r="H178" s="873" t="str">
        <f t="shared" si="26"/>
        <v>EUR6F15Y_Quote</v>
      </c>
      <c r="I178" s="876">
        <v>0</v>
      </c>
      <c r="J178" s="43"/>
      <c r="L178" s="894" t="str">
        <f t="shared" si="23"/>
        <v>FwdSw</v>
      </c>
      <c r="M178" s="890" t="str">
        <f t="shared" si="24"/>
        <v>--</v>
      </c>
      <c r="N178" s="893" t="str">
        <f ca="1">IFERROR(_xll.qlRateHelperQuoteName(M178,Trigger),"--")</f>
        <v>--</v>
      </c>
      <c r="O178" s="892" t="str">
        <f ca="1">IFERROR(_xll.qlRateHelperQuoteValue($M178,Trigger),"--")</f>
        <v>--</v>
      </c>
      <c r="P178" s="969" t="b">
        <v>0</v>
      </c>
      <c r="Q178" s="890">
        <v>50</v>
      </c>
      <c r="R178" s="890">
        <v>1</v>
      </c>
      <c r="S178" s="889" t="str">
        <f ca="1">IFERROR(_xll.qlRateHelperEarliestDate(M178,Trigger),"--")</f>
        <v>--</v>
      </c>
      <c r="T178" s="889" t="str">
        <f ca="1">IFERROR(_xll.qlRateHelperPillarDate(M178,Trigger),"--")</f>
        <v>--</v>
      </c>
      <c r="V178" s="4" t="str">
        <f t="shared" ca="1" si="22"/>
        <v/>
      </c>
      <c r="W178" s="4" t="e">
        <f ca="1"/>
        <v>#NAME?</v>
      </c>
      <c r="X178" s="4" t="str">
        <f ca="1">IFERROR(_xll.qlRateHelperQuoteName(W178,Trigger),"")</f>
        <v/>
      </c>
      <c r="Y178" s="888" t="str">
        <f ca="1">IFERROR(_xll.qlRateHelperRate(W178,Trigger),"")</f>
        <v/>
      </c>
      <c r="Z178" s="887"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6" t="e">
        <f ca="1"/>
        <v>#NAME?</v>
      </c>
    </row>
    <row r="179" spans="1:29" x14ac:dyDescent="0.2">
      <c r="A179" s="873" t="s">
        <v>410</v>
      </c>
      <c r="B179" s="875" t="s">
        <v>36</v>
      </c>
      <c r="C179" s="874" t="s">
        <v>50</v>
      </c>
      <c r="D179" s="874" t="s">
        <v>323</v>
      </c>
      <c r="E179" s="874" t="s">
        <v>322</v>
      </c>
      <c r="F179" s="874" t="s">
        <v>221</v>
      </c>
      <c r="G179" s="874" t="str">
        <f t="shared" si="25"/>
        <v>Euribor6M</v>
      </c>
      <c r="H179" s="873" t="str">
        <f t="shared" si="26"/>
        <v>EUR6F20Y_Quote</v>
      </c>
      <c r="I179" s="876">
        <v>0</v>
      </c>
      <c r="J179" s="43"/>
      <c r="L179" s="894" t="str">
        <f t="shared" si="23"/>
        <v>FwdSw</v>
      </c>
      <c r="M179" s="890" t="str">
        <f t="shared" si="24"/>
        <v>--</v>
      </c>
      <c r="N179" s="893" t="str">
        <f ca="1">IFERROR(_xll.qlRateHelperQuoteName(M179,Trigger),"--")</f>
        <v>--</v>
      </c>
      <c r="O179" s="892" t="str">
        <f ca="1">IFERROR(_xll.qlRateHelperQuoteValue($M179,Trigger),"--")</f>
        <v>--</v>
      </c>
      <c r="P179" s="969" t="b">
        <v>0</v>
      </c>
      <c r="Q179" s="890">
        <v>50</v>
      </c>
      <c r="R179" s="890">
        <v>1</v>
      </c>
      <c r="S179" s="889" t="str">
        <f ca="1">IFERROR(_xll.qlRateHelperEarliestDate(M179,Trigger),"--")</f>
        <v>--</v>
      </c>
      <c r="T179" s="889" t="str">
        <f ca="1">IFERROR(_xll.qlRateHelperPillarDate(M179,Trigger),"--")</f>
        <v>--</v>
      </c>
      <c r="V179" s="4" t="str">
        <f t="shared" ca="1" si="22"/>
        <v/>
      </c>
      <c r="W179" s="4" t="e">
        <f ca="1"/>
        <v>#NAME?</v>
      </c>
      <c r="X179" s="4" t="str">
        <f ca="1">IFERROR(_xll.qlRateHelperQuoteName(W179,Trigger),"")</f>
        <v/>
      </c>
      <c r="Y179" s="888" t="str">
        <f ca="1">IFERROR(_xll.qlRateHelperRate(W179,Trigger),"")</f>
        <v/>
      </c>
      <c r="Z179" s="887"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6" t="e">
        <f ca="1"/>
        <v>#NAME?</v>
      </c>
    </row>
    <row r="180" spans="1:29" x14ac:dyDescent="0.2">
      <c r="A180" s="873" t="s">
        <v>410</v>
      </c>
      <c r="B180" s="875" t="s">
        <v>31</v>
      </c>
      <c r="C180" s="874" t="s">
        <v>50</v>
      </c>
      <c r="D180" s="874" t="s">
        <v>323</v>
      </c>
      <c r="E180" s="874" t="s">
        <v>322</v>
      </c>
      <c r="F180" s="874" t="s">
        <v>221</v>
      </c>
      <c r="G180" s="874" t="str">
        <f t="shared" si="25"/>
        <v>Euribor6M</v>
      </c>
      <c r="H180" s="873" t="str">
        <f t="shared" si="26"/>
        <v>EUR6F25Y_Quote</v>
      </c>
      <c r="I180" s="876">
        <v>0</v>
      </c>
      <c r="J180" s="43"/>
      <c r="L180" s="894" t="str">
        <f t="shared" si="23"/>
        <v>FwdSw</v>
      </c>
      <c r="M180" s="890" t="str">
        <f t="shared" si="24"/>
        <v>--</v>
      </c>
      <c r="N180" s="893" t="str">
        <f ca="1">IFERROR(_xll.qlRateHelperQuoteName(M180,Trigger),"--")</f>
        <v>--</v>
      </c>
      <c r="O180" s="892" t="str">
        <f ca="1">IFERROR(_xll.qlRateHelperQuoteValue($M180,Trigger),"--")</f>
        <v>--</v>
      </c>
      <c r="P180" s="969" t="b">
        <v>0</v>
      </c>
      <c r="Q180" s="890">
        <v>50</v>
      </c>
      <c r="R180" s="890">
        <v>1</v>
      </c>
      <c r="S180" s="889" t="str">
        <f ca="1">IFERROR(_xll.qlRateHelperEarliestDate(M180,Trigger),"--")</f>
        <v>--</v>
      </c>
      <c r="T180" s="889" t="str">
        <f ca="1">IFERROR(_xll.qlRateHelperPillarDate(M180,Trigger),"--")</f>
        <v>--</v>
      </c>
      <c r="V180" s="4" t="str">
        <f t="shared" ca="1" si="22"/>
        <v/>
      </c>
      <c r="W180" s="4" t="e">
        <f ca="1"/>
        <v>#NAME?</v>
      </c>
      <c r="X180" s="4" t="str">
        <f ca="1">IFERROR(_xll.qlRateHelperQuoteName(W180,Trigger),"")</f>
        <v/>
      </c>
      <c r="Y180" s="888" t="str">
        <f ca="1">IFERROR(_xll.qlRateHelperRate(W180,Trigger),"")</f>
        <v/>
      </c>
      <c r="Z180" s="887"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6" t="e">
        <f ca="1"/>
        <v>#NAME?</v>
      </c>
    </row>
    <row r="181" spans="1:29" x14ac:dyDescent="0.2">
      <c r="A181" s="869" t="s">
        <v>410</v>
      </c>
      <c r="B181" s="871" t="s">
        <v>26</v>
      </c>
      <c r="C181" s="870" t="s">
        <v>50</v>
      </c>
      <c r="D181" s="870" t="s">
        <v>323</v>
      </c>
      <c r="E181" s="870" t="s">
        <v>322</v>
      </c>
      <c r="F181" s="870" t="s">
        <v>221</v>
      </c>
      <c r="G181" s="870" t="str">
        <f t="shared" si="25"/>
        <v>Euribor6M</v>
      </c>
      <c r="H181" s="869" t="str">
        <f t="shared" si="26"/>
        <v>EUR6F30Y_Quote</v>
      </c>
      <c r="I181" s="984">
        <v>0</v>
      </c>
      <c r="J181" s="38"/>
      <c r="L181" s="894" t="str">
        <f t="shared" si="23"/>
        <v>FwdSw</v>
      </c>
      <c r="M181" s="890" t="str">
        <f t="shared" si="24"/>
        <v>--</v>
      </c>
      <c r="N181" s="893" t="str">
        <f ca="1">IFERROR(_xll.qlRateHelperQuoteName(M181,Trigger),"--")</f>
        <v>--</v>
      </c>
      <c r="O181" s="892" t="str">
        <f ca="1">IFERROR(_xll.qlRateHelperQuoteValue($M181,Trigger),"--")</f>
        <v>--</v>
      </c>
      <c r="P181" s="969" t="b">
        <v>0</v>
      </c>
      <c r="Q181" s="890">
        <v>50</v>
      </c>
      <c r="R181" s="890">
        <v>1</v>
      </c>
      <c r="S181" s="889" t="str">
        <f ca="1">IFERROR(_xll.qlRateHelperEarliestDate(M181,Trigger),"--")</f>
        <v>--</v>
      </c>
      <c r="T181" s="889" t="str">
        <f ca="1">IFERROR(_xll.qlRateHelperPillarDate(M181,Trigger),"--")</f>
        <v>--</v>
      </c>
      <c r="V181" s="4" t="str">
        <f t="shared" ca="1" si="22"/>
        <v/>
      </c>
      <c r="W181" s="4" t="e">
        <f ca="1"/>
        <v>#NAME?</v>
      </c>
      <c r="X181" s="4" t="str">
        <f ca="1">IFERROR(_xll.qlRateHelperQuoteName(W181,Trigger),"")</f>
        <v/>
      </c>
      <c r="Y181" s="888" t="str">
        <f ca="1">IFERROR(_xll.qlRateHelperRate(W181,Trigger),"")</f>
        <v/>
      </c>
      <c r="Z181" s="887"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6" t="e">
        <f ca="1"/>
        <v>#NAME?</v>
      </c>
    </row>
    <row r="182" spans="1:29" x14ac:dyDescent="0.2">
      <c r="A182" s="873" t="s">
        <v>410</v>
      </c>
      <c r="B182" s="875" t="s">
        <v>58</v>
      </c>
      <c r="C182" s="874" t="s">
        <v>49</v>
      </c>
      <c r="D182" s="874" t="s">
        <v>323</v>
      </c>
      <c r="E182" s="874" t="s">
        <v>322</v>
      </c>
      <c r="F182" s="874" t="s">
        <v>221</v>
      </c>
      <c r="G182" s="874" t="str">
        <f t="shared" si="25"/>
        <v>Euribor6M</v>
      </c>
      <c r="H182" s="873" t="str">
        <f t="shared" si="26"/>
        <v>EUR7F1Y_Quote</v>
      </c>
      <c r="I182" s="876">
        <v>0</v>
      </c>
      <c r="J182" s="43"/>
      <c r="L182" s="894" t="str">
        <f t="shared" si="23"/>
        <v>FwdSw</v>
      </c>
      <c r="M182" s="890" t="str">
        <f t="shared" si="24"/>
        <v>--</v>
      </c>
      <c r="N182" s="893" t="str">
        <f ca="1">IFERROR(_xll.qlRateHelperQuoteName(M182,Trigger),"--")</f>
        <v>--</v>
      </c>
      <c r="O182" s="892" t="str">
        <f ca="1">IFERROR(_xll.qlRateHelperQuoteValue($M182,Trigger),"--")</f>
        <v>--</v>
      </c>
      <c r="P182" s="969" t="b">
        <v>0</v>
      </c>
      <c r="Q182" s="890">
        <v>50</v>
      </c>
      <c r="R182" s="890">
        <v>1</v>
      </c>
      <c r="S182" s="889" t="str">
        <f ca="1">IFERROR(_xll.qlRateHelperEarliestDate(M182,Trigger),"--")</f>
        <v>--</v>
      </c>
      <c r="T182" s="889" t="str">
        <f ca="1">IFERROR(_xll.qlRateHelperPillarDate(M182,Trigger),"--")</f>
        <v>--</v>
      </c>
      <c r="V182" s="4" t="str">
        <f t="shared" ca="1" si="22"/>
        <v/>
      </c>
      <c r="W182" s="4" t="e">
        <f ca="1"/>
        <v>#NAME?</v>
      </c>
      <c r="X182" s="4" t="str">
        <f ca="1">IFERROR(_xll.qlRateHelperQuoteName(W182,Trigger),"")</f>
        <v/>
      </c>
      <c r="Y182" s="888" t="str">
        <f ca="1">IFERROR(_xll.qlRateHelperRate(W182,Trigger),"")</f>
        <v/>
      </c>
      <c r="Z182" s="887"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6" t="e">
        <f ca="1"/>
        <v>#NAME?</v>
      </c>
    </row>
    <row r="183" spans="1:29" x14ac:dyDescent="0.2">
      <c r="A183" s="873" t="s">
        <v>410</v>
      </c>
      <c r="B183" s="875" t="s">
        <v>54</v>
      </c>
      <c r="C183" s="874" t="s">
        <v>49</v>
      </c>
      <c r="D183" s="874" t="s">
        <v>323</v>
      </c>
      <c r="E183" s="874" t="s">
        <v>322</v>
      </c>
      <c r="F183" s="874" t="s">
        <v>221</v>
      </c>
      <c r="G183" s="874" t="str">
        <f t="shared" si="25"/>
        <v>Euribor6M</v>
      </c>
      <c r="H183" s="873" t="str">
        <f t="shared" si="26"/>
        <v>EUR7F2Y_Quote</v>
      </c>
      <c r="I183" s="876">
        <v>0</v>
      </c>
      <c r="J183" s="43"/>
      <c r="L183" s="894" t="str">
        <f t="shared" si="23"/>
        <v>FwdSw</v>
      </c>
      <c r="M183" s="890" t="str">
        <f t="shared" si="24"/>
        <v>--</v>
      </c>
      <c r="N183" s="893" t="str">
        <f ca="1">IFERROR(_xll.qlRateHelperQuoteName(M183,Trigger),"--")</f>
        <v>--</v>
      </c>
      <c r="O183" s="892" t="str">
        <f ca="1">IFERROR(_xll.qlRateHelperQuoteValue($M183,Trigger),"--")</f>
        <v>--</v>
      </c>
      <c r="P183" s="969" t="b">
        <v>0</v>
      </c>
      <c r="Q183" s="890">
        <v>50</v>
      </c>
      <c r="R183" s="890">
        <v>1</v>
      </c>
      <c r="S183" s="889" t="str">
        <f ca="1">IFERROR(_xll.qlRateHelperEarliestDate(M183,Trigger),"--")</f>
        <v>--</v>
      </c>
      <c r="T183" s="889" t="str">
        <f ca="1">IFERROR(_xll.qlRateHelperPillarDate(M183,Trigger),"--")</f>
        <v>--</v>
      </c>
      <c r="V183" s="4" t="str">
        <f t="shared" ca="1" si="22"/>
        <v/>
      </c>
      <c r="W183" s="4" t="e">
        <f ca="1"/>
        <v>#NAME?</v>
      </c>
      <c r="X183" s="4" t="str">
        <f ca="1">IFERROR(_xll.qlRateHelperQuoteName(W183,Trigger),"")</f>
        <v/>
      </c>
      <c r="Y183" s="888" t="str">
        <f ca="1">IFERROR(_xll.qlRateHelperRate(W183,Trigger),"")</f>
        <v/>
      </c>
      <c r="Z183" s="887"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6" t="e">
        <f ca="1"/>
        <v>#NAME?</v>
      </c>
    </row>
    <row r="184" spans="1:29" x14ac:dyDescent="0.2">
      <c r="A184" s="873" t="s">
        <v>410</v>
      </c>
      <c r="B184" s="875" t="s">
        <v>53</v>
      </c>
      <c r="C184" s="874" t="s">
        <v>49</v>
      </c>
      <c r="D184" s="874" t="s">
        <v>323</v>
      </c>
      <c r="E184" s="874" t="s">
        <v>322</v>
      </c>
      <c r="F184" s="874" t="s">
        <v>221</v>
      </c>
      <c r="G184" s="874" t="str">
        <f t="shared" si="25"/>
        <v>Euribor6M</v>
      </c>
      <c r="H184" s="873" t="str">
        <f t="shared" si="26"/>
        <v>EUR7F3Y_Quote</v>
      </c>
      <c r="I184" s="876">
        <v>0</v>
      </c>
      <c r="J184" s="43"/>
      <c r="L184" s="894" t="str">
        <f t="shared" si="23"/>
        <v>FwdSw</v>
      </c>
      <c r="M184" s="890" t="str">
        <f t="shared" si="24"/>
        <v>--</v>
      </c>
      <c r="N184" s="893" t="str">
        <f ca="1">IFERROR(_xll.qlRateHelperQuoteName(M184,Trigger),"--")</f>
        <v>--</v>
      </c>
      <c r="O184" s="892" t="str">
        <f ca="1">IFERROR(_xll.qlRateHelperQuoteValue($M184,Trigger),"--")</f>
        <v>--</v>
      </c>
      <c r="P184" s="969" t="b">
        <v>0</v>
      </c>
      <c r="Q184" s="890">
        <v>50</v>
      </c>
      <c r="R184" s="890">
        <v>1</v>
      </c>
      <c r="S184" s="889" t="str">
        <f ca="1">IFERROR(_xll.qlRateHelperEarliestDate(M184,Trigger),"--")</f>
        <v>--</v>
      </c>
      <c r="T184" s="889" t="str">
        <f ca="1">IFERROR(_xll.qlRateHelperPillarDate(M184,Trigger),"--")</f>
        <v>--</v>
      </c>
      <c r="V184" s="4" t="str">
        <f t="shared" ca="1" si="22"/>
        <v/>
      </c>
      <c r="W184" s="4" t="e">
        <f ca="1"/>
        <v>#NAME?</v>
      </c>
      <c r="X184" s="4" t="str">
        <f ca="1">IFERROR(_xll.qlRateHelperQuoteName(W184,Trigger),"")</f>
        <v/>
      </c>
      <c r="Y184" s="888" t="str">
        <f ca="1">IFERROR(_xll.qlRateHelperRate(W184,Trigger),"")</f>
        <v/>
      </c>
      <c r="Z184" s="887"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6" t="e">
        <f ca="1"/>
        <v>#NAME?</v>
      </c>
    </row>
    <row r="185" spans="1:29" x14ac:dyDescent="0.2">
      <c r="A185" s="873" t="s">
        <v>410</v>
      </c>
      <c r="B185" s="875" t="s">
        <v>52</v>
      </c>
      <c r="C185" s="874" t="s">
        <v>49</v>
      </c>
      <c r="D185" s="874" t="s">
        <v>323</v>
      </c>
      <c r="E185" s="874" t="s">
        <v>322</v>
      </c>
      <c r="F185" s="874" t="s">
        <v>221</v>
      </c>
      <c r="G185" s="874" t="str">
        <f t="shared" si="25"/>
        <v>Euribor6M</v>
      </c>
      <c r="H185" s="873" t="str">
        <f t="shared" si="26"/>
        <v>EUR7F4Y_Quote</v>
      </c>
      <c r="I185" s="876">
        <v>0</v>
      </c>
      <c r="J185" s="43"/>
      <c r="L185" s="894" t="str">
        <f t="shared" si="23"/>
        <v>FwdSw</v>
      </c>
      <c r="M185" s="890" t="str">
        <f t="shared" si="24"/>
        <v>--</v>
      </c>
      <c r="N185" s="893" t="str">
        <f ca="1">IFERROR(_xll.qlRateHelperQuoteName(M185,Trigger),"--")</f>
        <v>--</v>
      </c>
      <c r="O185" s="892" t="str">
        <f ca="1">IFERROR(_xll.qlRateHelperQuoteValue($M185,Trigger),"--")</f>
        <v>--</v>
      </c>
      <c r="P185" s="969" t="b">
        <v>0</v>
      </c>
      <c r="Q185" s="890">
        <v>50</v>
      </c>
      <c r="R185" s="890">
        <v>1</v>
      </c>
      <c r="S185" s="889" t="str">
        <f ca="1">IFERROR(_xll.qlRateHelperEarliestDate(M185,Trigger),"--")</f>
        <v>--</v>
      </c>
      <c r="T185" s="889" t="str">
        <f ca="1">IFERROR(_xll.qlRateHelperPillarDate(M185,Trigger),"--")</f>
        <v>--</v>
      </c>
      <c r="V185" s="4" t="str">
        <f t="shared" ca="1" si="22"/>
        <v/>
      </c>
      <c r="W185" s="4" t="e">
        <f ca="1"/>
        <v>#NAME?</v>
      </c>
      <c r="X185" s="4" t="str">
        <f ca="1">IFERROR(_xll.qlRateHelperQuoteName(W185,Trigger),"")</f>
        <v/>
      </c>
      <c r="Y185" s="888" t="str">
        <f ca="1">IFERROR(_xll.qlRateHelperRate(W185,Trigger),"")</f>
        <v/>
      </c>
      <c r="Z185" s="887"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6" t="e">
        <f ca="1"/>
        <v>#NAME?</v>
      </c>
    </row>
    <row r="186" spans="1:29" x14ac:dyDescent="0.2">
      <c r="A186" s="873" t="s">
        <v>410</v>
      </c>
      <c r="B186" s="875" t="s">
        <v>51</v>
      </c>
      <c r="C186" s="874" t="s">
        <v>49</v>
      </c>
      <c r="D186" s="874" t="s">
        <v>323</v>
      </c>
      <c r="E186" s="874" t="s">
        <v>322</v>
      </c>
      <c r="F186" s="874" t="s">
        <v>221</v>
      </c>
      <c r="G186" s="874" t="str">
        <f t="shared" si="25"/>
        <v>Euribor6M</v>
      </c>
      <c r="H186" s="873" t="str">
        <f t="shared" si="26"/>
        <v>EUR7F5Y_Quote</v>
      </c>
      <c r="I186" s="876">
        <v>0</v>
      </c>
      <c r="J186" s="43"/>
      <c r="L186" s="894" t="str">
        <f t="shared" si="23"/>
        <v>FwdSw</v>
      </c>
      <c r="M186" s="890" t="str">
        <f t="shared" si="24"/>
        <v>--</v>
      </c>
      <c r="N186" s="893" t="str">
        <f ca="1">IFERROR(_xll.qlRateHelperQuoteName(M186,Trigger),"--")</f>
        <v>--</v>
      </c>
      <c r="O186" s="892" t="str">
        <f ca="1">IFERROR(_xll.qlRateHelperQuoteValue($M186,Trigger),"--")</f>
        <v>--</v>
      </c>
      <c r="P186" s="969" t="b">
        <v>0</v>
      </c>
      <c r="Q186" s="890">
        <v>50</v>
      </c>
      <c r="R186" s="890">
        <v>1</v>
      </c>
      <c r="S186" s="889" t="str">
        <f ca="1">IFERROR(_xll.qlRateHelperEarliestDate(M186,Trigger),"--")</f>
        <v>--</v>
      </c>
      <c r="T186" s="889" t="str">
        <f ca="1">IFERROR(_xll.qlRateHelperPillarDate(M186,Trigger),"--")</f>
        <v>--</v>
      </c>
      <c r="V186" s="4" t="str">
        <f t="shared" ca="1" si="22"/>
        <v/>
      </c>
      <c r="W186" s="4" t="e">
        <f ca="1"/>
        <v>#NAME?</v>
      </c>
      <c r="X186" s="4" t="str">
        <f ca="1">IFERROR(_xll.qlRateHelperQuoteName(W186,Trigger),"")</f>
        <v/>
      </c>
      <c r="Y186" s="888" t="str">
        <f ca="1">IFERROR(_xll.qlRateHelperRate(W186,Trigger),"")</f>
        <v/>
      </c>
      <c r="Z186" s="887"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6" t="e">
        <f ca="1"/>
        <v>#NAME?</v>
      </c>
    </row>
    <row r="187" spans="1:29" x14ac:dyDescent="0.2">
      <c r="A187" s="873" t="s">
        <v>410</v>
      </c>
      <c r="B187" s="875" t="s">
        <v>50</v>
      </c>
      <c r="C187" s="874" t="s">
        <v>49</v>
      </c>
      <c r="D187" s="874" t="s">
        <v>323</v>
      </c>
      <c r="E187" s="874" t="s">
        <v>322</v>
      </c>
      <c r="F187" s="874" t="s">
        <v>221</v>
      </c>
      <c r="G187" s="874" t="str">
        <f t="shared" si="25"/>
        <v>Euribor6M</v>
      </c>
      <c r="H187" s="873" t="str">
        <f t="shared" si="26"/>
        <v>EUR7F6Y_Quote</v>
      </c>
      <c r="I187" s="876">
        <v>0</v>
      </c>
      <c r="J187" s="43"/>
      <c r="L187" s="894" t="str">
        <f t="shared" si="23"/>
        <v>FwdSw</v>
      </c>
      <c r="M187" s="890" t="str">
        <f t="shared" si="24"/>
        <v>--</v>
      </c>
      <c r="N187" s="893" t="str">
        <f ca="1">IFERROR(_xll.qlRateHelperQuoteName(M187,Trigger),"--")</f>
        <v>--</v>
      </c>
      <c r="O187" s="892" t="str">
        <f ca="1">IFERROR(_xll.qlRateHelperQuoteValue($M187,Trigger),"--")</f>
        <v>--</v>
      </c>
      <c r="P187" s="969" t="b">
        <v>0</v>
      </c>
      <c r="Q187" s="890">
        <v>50</v>
      </c>
      <c r="R187" s="890">
        <v>1</v>
      </c>
      <c r="S187" s="889" t="str">
        <f ca="1">IFERROR(_xll.qlRateHelperEarliestDate(M187,Trigger),"--")</f>
        <v>--</v>
      </c>
      <c r="T187" s="889" t="str">
        <f ca="1">IFERROR(_xll.qlRateHelperPillarDate(M187,Trigger),"--")</f>
        <v>--</v>
      </c>
      <c r="V187" s="4" t="str">
        <f t="shared" ca="1" si="22"/>
        <v/>
      </c>
      <c r="W187" s="4" t="e">
        <f ca="1"/>
        <v>#NAME?</v>
      </c>
      <c r="X187" s="4" t="str">
        <f ca="1">IFERROR(_xll.qlRateHelperQuoteName(W187,Trigger),"")</f>
        <v/>
      </c>
      <c r="Y187" s="888" t="str">
        <f ca="1">IFERROR(_xll.qlRateHelperRate(W187,Trigger),"")</f>
        <v/>
      </c>
      <c r="Z187" s="887"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6" t="e">
        <f ca="1"/>
        <v>#NAME?</v>
      </c>
    </row>
    <row r="188" spans="1:29" x14ac:dyDescent="0.2">
      <c r="A188" s="873" t="s">
        <v>410</v>
      </c>
      <c r="B188" s="875" t="s">
        <v>49</v>
      </c>
      <c r="C188" s="874" t="s">
        <v>49</v>
      </c>
      <c r="D188" s="874" t="s">
        <v>323</v>
      </c>
      <c r="E188" s="874" t="s">
        <v>322</v>
      </c>
      <c r="F188" s="874" t="s">
        <v>221</v>
      </c>
      <c r="G188" s="874" t="str">
        <f t="shared" si="25"/>
        <v>Euribor6M</v>
      </c>
      <c r="H188" s="873" t="str">
        <f t="shared" si="26"/>
        <v>EUR7F7Y_Quote</v>
      </c>
      <c r="I188" s="876">
        <v>0</v>
      </c>
      <c r="J188" s="43"/>
      <c r="L188" s="894" t="str">
        <f t="shared" si="23"/>
        <v>FwdSw</v>
      </c>
      <c r="M188" s="890" t="str">
        <f t="shared" si="24"/>
        <v>--</v>
      </c>
      <c r="N188" s="893" t="str">
        <f ca="1">IFERROR(_xll.qlRateHelperQuoteName(M188,Trigger),"--")</f>
        <v>--</v>
      </c>
      <c r="O188" s="892" t="str">
        <f ca="1">IFERROR(_xll.qlRateHelperQuoteValue($M188,Trigger),"--")</f>
        <v>--</v>
      </c>
      <c r="P188" s="969" t="b">
        <v>0</v>
      </c>
      <c r="Q188" s="890">
        <v>50</v>
      </c>
      <c r="R188" s="890">
        <v>1</v>
      </c>
      <c r="S188" s="889" t="str">
        <f ca="1">IFERROR(_xll.qlRateHelperEarliestDate(M188,Trigger),"--")</f>
        <v>--</v>
      </c>
      <c r="T188" s="889" t="str">
        <f ca="1">IFERROR(_xll.qlRateHelperPillarDate(M188,Trigger),"--")</f>
        <v>--</v>
      </c>
      <c r="V188" s="4" t="str">
        <f t="shared" ca="1" si="22"/>
        <v/>
      </c>
      <c r="W188" s="4" t="e">
        <f ca="1"/>
        <v>#NAME?</v>
      </c>
      <c r="X188" s="4" t="str">
        <f ca="1">IFERROR(_xll.qlRateHelperQuoteName(W188,Trigger),"")</f>
        <v/>
      </c>
      <c r="Y188" s="888" t="str">
        <f ca="1">IFERROR(_xll.qlRateHelperRate(W188,Trigger),"")</f>
        <v/>
      </c>
      <c r="Z188" s="887"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6" t="e">
        <f ca="1"/>
        <v>#NAME?</v>
      </c>
    </row>
    <row r="189" spans="1:29" x14ac:dyDescent="0.2">
      <c r="A189" s="873" t="s">
        <v>410</v>
      </c>
      <c r="B189" s="875" t="s">
        <v>48</v>
      </c>
      <c r="C189" s="874" t="s">
        <v>49</v>
      </c>
      <c r="D189" s="874" t="s">
        <v>323</v>
      </c>
      <c r="E189" s="874" t="s">
        <v>322</v>
      </c>
      <c r="F189" s="874" t="s">
        <v>221</v>
      </c>
      <c r="G189" s="874" t="str">
        <f t="shared" si="25"/>
        <v>Euribor6M</v>
      </c>
      <c r="H189" s="873" t="str">
        <f t="shared" si="26"/>
        <v>EUR7F8Y_Quote</v>
      </c>
      <c r="I189" s="876">
        <v>0</v>
      </c>
      <c r="J189" s="43"/>
      <c r="L189" s="894" t="str">
        <f t="shared" si="23"/>
        <v>FwdSw</v>
      </c>
      <c r="M189" s="890" t="str">
        <f t="shared" si="24"/>
        <v>--</v>
      </c>
      <c r="N189" s="893" t="str">
        <f ca="1">IFERROR(_xll.qlRateHelperQuoteName(M189,Trigger),"--")</f>
        <v>--</v>
      </c>
      <c r="O189" s="892" t="str">
        <f ca="1">IFERROR(_xll.qlRateHelperQuoteValue($M189,Trigger),"--")</f>
        <v>--</v>
      </c>
      <c r="P189" s="969" t="b">
        <v>0</v>
      </c>
      <c r="Q189" s="890">
        <v>50</v>
      </c>
      <c r="R189" s="890">
        <v>1</v>
      </c>
      <c r="S189" s="889" t="str">
        <f ca="1">IFERROR(_xll.qlRateHelperEarliestDate(M189,Trigger),"--")</f>
        <v>--</v>
      </c>
      <c r="T189" s="889" t="str">
        <f ca="1">IFERROR(_xll.qlRateHelperPillarDate(M189,Trigger),"--")</f>
        <v>--</v>
      </c>
      <c r="V189" s="4" t="str">
        <f t="shared" ca="1" si="22"/>
        <v/>
      </c>
      <c r="W189" s="4" t="e">
        <f ca="1"/>
        <v>#NAME?</v>
      </c>
      <c r="X189" s="4" t="str">
        <f ca="1">IFERROR(_xll.qlRateHelperQuoteName(W189,Trigger),"")</f>
        <v/>
      </c>
      <c r="Y189" s="888" t="str">
        <f ca="1">IFERROR(_xll.qlRateHelperRate(W189,Trigger),"")</f>
        <v/>
      </c>
      <c r="Z189" s="887"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6" t="e">
        <f ca="1"/>
        <v>#NAME?</v>
      </c>
    </row>
    <row r="190" spans="1:29" x14ac:dyDescent="0.2">
      <c r="A190" s="873" t="s">
        <v>410</v>
      </c>
      <c r="B190" s="875" t="s">
        <v>47</v>
      </c>
      <c r="C190" s="874" t="s">
        <v>49</v>
      </c>
      <c r="D190" s="874" t="s">
        <v>323</v>
      </c>
      <c r="E190" s="874" t="s">
        <v>322</v>
      </c>
      <c r="F190" s="874" t="s">
        <v>221</v>
      </c>
      <c r="G190" s="874" t="str">
        <f t="shared" si="25"/>
        <v>Euribor6M</v>
      </c>
      <c r="H190" s="873" t="str">
        <f t="shared" si="26"/>
        <v>EUR7F9Y_Quote</v>
      </c>
      <c r="I190" s="876">
        <v>0</v>
      </c>
      <c r="J190" s="43"/>
      <c r="L190" s="894" t="str">
        <f t="shared" si="23"/>
        <v>FwdSw</v>
      </c>
      <c r="M190" s="890" t="str">
        <f t="shared" si="24"/>
        <v>--</v>
      </c>
      <c r="N190" s="893" t="str">
        <f ca="1">IFERROR(_xll.qlRateHelperQuoteName(M190,Trigger),"--")</f>
        <v>--</v>
      </c>
      <c r="O190" s="892" t="str">
        <f ca="1">IFERROR(_xll.qlRateHelperQuoteValue($M190,Trigger),"--")</f>
        <v>--</v>
      </c>
      <c r="P190" s="969" t="b">
        <v>0</v>
      </c>
      <c r="Q190" s="890">
        <v>50</v>
      </c>
      <c r="R190" s="890">
        <v>1</v>
      </c>
      <c r="S190" s="889" t="str">
        <f ca="1">IFERROR(_xll.qlRateHelperEarliestDate(M190,Trigger),"--")</f>
        <v>--</v>
      </c>
      <c r="T190" s="889" t="str">
        <f ca="1">IFERROR(_xll.qlRateHelperPillarDate(M190,Trigger),"--")</f>
        <v>--</v>
      </c>
      <c r="V190" s="4" t="str">
        <f t="shared" ca="1" si="22"/>
        <v/>
      </c>
      <c r="W190" s="4" t="e">
        <f ca="1"/>
        <v>#NAME?</v>
      </c>
      <c r="X190" s="4" t="str">
        <f ca="1">IFERROR(_xll.qlRateHelperQuoteName(W190,Trigger),"")</f>
        <v/>
      </c>
      <c r="Y190" s="888" t="str">
        <f ca="1">IFERROR(_xll.qlRateHelperRate(W190,Trigger),"")</f>
        <v/>
      </c>
      <c r="Z190" s="887"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6" t="e">
        <f ca="1"/>
        <v>#NAME?</v>
      </c>
    </row>
    <row r="191" spans="1:29" x14ac:dyDescent="0.2">
      <c r="A191" s="873" t="s">
        <v>410</v>
      </c>
      <c r="B191" s="875" t="s">
        <v>46</v>
      </c>
      <c r="C191" s="874" t="s">
        <v>49</v>
      </c>
      <c r="D191" s="874" t="s">
        <v>323</v>
      </c>
      <c r="E191" s="874" t="s">
        <v>322</v>
      </c>
      <c r="F191" s="874" t="s">
        <v>221</v>
      </c>
      <c r="G191" s="874" t="str">
        <f t="shared" si="25"/>
        <v>Euribor6M</v>
      </c>
      <c r="H191" s="873" t="str">
        <f t="shared" si="26"/>
        <v>EUR7F10Y_Quote</v>
      </c>
      <c r="I191" s="876">
        <v>0</v>
      </c>
      <c r="J191" s="43"/>
      <c r="L191" s="894" t="str">
        <f t="shared" si="23"/>
        <v>FwdSw</v>
      </c>
      <c r="M191" s="890" t="str">
        <f t="shared" si="24"/>
        <v>--</v>
      </c>
      <c r="N191" s="893" t="str">
        <f ca="1">IFERROR(_xll.qlRateHelperQuoteName(M191,Trigger),"--")</f>
        <v>--</v>
      </c>
      <c r="O191" s="892" t="str">
        <f ca="1">IFERROR(_xll.qlRateHelperQuoteValue($M191,Trigger),"--")</f>
        <v>--</v>
      </c>
      <c r="P191" s="969" t="b">
        <v>0</v>
      </c>
      <c r="Q191" s="890">
        <v>50</v>
      </c>
      <c r="R191" s="890">
        <v>1</v>
      </c>
      <c r="S191" s="889" t="str">
        <f ca="1">IFERROR(_xll.qlRateHelperEarliestDate(M191,Trigger),"--")</f>
        <v>--</v>
      </c>
      <c r="T191" s="889" t="str">
        <f ca="1">IFERROR(_xll.qlRateHelperPillarDate(M191,Trigger),"--")</f>
        <v>--</v>
      </c>
      <c r="V191" s="4" t="str">
        <f t="shared" ca="1" si="22"/>
        <v/>
      </c>
      <c r="W191" s="4" t="e">
        <f ca="1"/>
        <v>#NAME?</v>
      </c>
      <c r="X191" s="4" t="str">
        <f ca="1">IFERROR(_xll.qlRateHelperQuoteName(W191,Trigger),"")</f>
        <v/>
      </c>
      <c r="Y191" s="888" t="str">
        <f ca="1">IFERROR(_xll.qlRateHelperRate(W191,Trigger),"")</f>
        <v/>
      </c>
      <c r="Z191" s="887"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6" t="e">
        <f ca="1"/>
        <v>#NAME?</v>
      </c>
    </row>
    <row r="192" spans="1:29" x14ac:dyDescent="0.2">
      <c r="A192" s="873" t="s">
        <v>410</v>
      </c>
      <c r="B192" s="875" t="s">
        <v>45</v>
      </c>
      <c r="C192" s="874" t="s">
        <v>49</v>
      </c>
      <c r="D192" s="874" t="s">
        <v>323</v>
      </c>
      <c r="E192" s="874" t="s">
        <v>322</v>
      </c>
      <c r="F192" s="874" t="s">
        <v>221</v>
      </c>
      <c r="G192" s="874" t="str">
        <f t="shared" si="25"/>
        <v>Euribor6M</v>
      </c>
      <c r="H192" s="873" t="str">
        <f t="shared" si="26"/>
        <v>EUR7F11Y_Quote</v>
      </c>
      <c r="I192" s="876">
        <v>0</v>
      </c>
      <c r="J192" s="43"/>
      <c r="L192" s="894" t="str">
        <f t="shared" si="23"/>
        <v>FwdSw</v>
      </c>
      <c r="M192" s="890" t="str">
        <f t="shared" si="24"/>
        <v>--</v>
      </c>
      <c r="N192" s="893" t="str">
        <f ca="1">IFERROR(_xll.qlRateHelperQuoteName(M192,Trigger),"--")</f>
        <v>--</v>
      </c>
      <c r="O192" s="892" t="str">
        <f ca="1">IFERROR(_xll.qlRateHelperQuoteValue($M192,Trigger),"--")</f>
        <v>--</v>
      </c>
      <c r="P192" s="969" t="b">
        <v>0</v>
      </c>
      <c r="Q192" s="890">
        <v>50</v>
      </c>
      <c r="R192" s="890">
        <v>1</v>
      </c>
      <c r="S192" s="889" t="str">
        <f ca="1">IFERROR(_xll.qlRateHelperEarliestDate(M192,Trigger),"--")</f>
        <v>--</v>
      </c>
      <c r="T192" s="889" t="str">
        <f ca="1">IFERROR(_xll.qlRateHelperPillarDate(M192,Trigger),"--")</f>
        <v>--</v>
      </c>
      <c r="V192" s="4" t="str">
        <f t="shared" ca="1" si="22"/>
        <v/>
      </c>
      <c r="W192" s="4" t="e">
        <f ca="1"/>
        <v>#NAME?</v>
      </c>
      <c r="X192" s="4" t="str">
        <f ca="1">IFERROR(_xll.qlRateHelperQuoteName(W192,Trigger),"")</f>
        <v/>
      </c>
      <c r="Y192" s="888" t="str">
        <f ca="1">IFERROR(_xll.qlRateHelperRate(W192,Trigger),"")</f>
        <v/>
      </c>
      <c r="Z192" s="887"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6" t="e">
        <f ca="1"/>
        <v>#NAME?</v>
      </c>
    </row>
    <row r="193" spans="1:29" x14ac:dyDescent="0.2">
      <c r="A193" s="873" t="s">
        <v>410</v>
      </c>
      <c r="B193" s="875" t="s">
        <v>44</v>
      </c>
      <c r="C193" s="874" t="s">
        <v>49</v>
      </c>
      <c r="D193" s="874" t="s">
        <v>323</v>
      </c>
      <c r="E193" s="874" t="s">
        <v>322</v>
      </c>
      <c r="F193" s="874" t="s">
        <v>221</v>
      </c>
      <c r="G193" s="874" t="str">
        <f t="shared" si="25"/>
        <v>Euribor6M</v>
      </c>
      <c r="H193" s="873" t="str">
        <f t="shared" si="26"/>
        <v>EUR7F12Y_Quote</v>
      </c>
      <c r="I193" s="876">
        <v>0</v>
      </c>
      <c r="J193" s="43"/>
      <c r="L193" s="894" t="str">
        <f t="shared" si="23"/>
        <v>FwdSw</v>
      </c>
      <c r="M193" s="890" t="str">
        <f t="shared" si="24"/>
        <v>--</v>
      </c>
      <c r="N193" s="893" t="str">
        <f ca="1">IFERROR(_xll.qlRateHelperQuoteName(M193,Trigger),"--")</f>
        <v>--</v>
      </c>
      <c r="O193" s="892" t="str">
        <f ca="1">IFERROR(_xll.qlRateHelperQuoteValue($M193,Trigger),"--")</f>
        <v>--</v>
      </c>
      <c r="P193" s="969" t="b">
        <v>0</v>
      </c>
      <c r="Q193" s="890">
        <v>50</v>
      </c>
      <c r="R193" s="890">
        <v>1</v>
      </c>
      <c r="S193" s="889" t="str">
        <f ca="1">IFERROR(_xll.qlRateHelperEarliestDate(M193,Trigger),"--")</f>
        <v>--</v>
      </c>
      <c r="T193" s="889" t="str">
        <f ca="1">IFERROR(_xll.qlRateHelperPillarDate(M193,Trigger),"--")</f>
        <v>--</v>
      </c>
      <c r="V193" s="4" t="str">
        <f t="shared" ca="1" si="22"/>
        <v/>
      </c>
      <c r="W193" s="4" t="e">
        <f ca="1"/>
        <v>#NAME?</v>
      </c>
      <c r="X193" s="4" t="str">
        <f ca="1">IFERROR(_xll.qlRateHelperQuoteName(W193,Trigger),"")</f>
        <v/>
      </c>
      <c r="Y193" s="888" t="str">
        <f ca="1">IFERROR(_xll.qlRateHelperRate(W193,Trigger),"")</f>
        <v/>
      </c>
      <c r="Z193" s="887"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6" t="e">
        <f ca="1"/>
        <v>#NAME?</v>
      </c>
    </row>
    <row r="194" spans="1:29" x14ac:dyDescent="0.2">
      <c r="A194" s="873" t="s">
        <v>410</v>
      </c>
      <c r="B194" s="875" t="s">
        <v>43</v>
      </c>
      <c r="C194" s="874" t="s">
        <v>49</v>
      </c>
      <c r="D194" s="874" t="s">
        <v>323</v>
      </c>
      <c r="E194" s="874" t="s">
        <v>322</v>
      </c>
      <c r="F194" s="874" t="s">
        <v>221</v>
      </c>
      <c r="G194" s="874" t="str">
        <f t="shared" si="25"/>
        <v>Euribor6M</v>
      </c>
      <c r="H194" s="873" t="str">
        <f t="shared" si="26"/>
        <v>EUR7F13Y_Quote</v>
      </c>
      <c r="I194" s="876">
        <v>0</v>
      </c>
      <c r="J194" s="43"/>
      <c r="L194" s="894" t="str">
        <f t="shared" si="23"/>
        <v>FwdSw</v>
      </c>
      <c r="M194" s="890" t="str">
        <f t="shared" si="24"/>
        <v>--</v>
      </c>
      <c r="N194" s="893" t="str">
        <f ca="1">IFERROR(_xll.qlRateHelperQuoteName(M194,Trigger),"--")</f>
        <v>--</v>
      </c>
      <c r="O194" s="892" t="str">
        <f ca="1">IFERROR(_xll.qlRateHelperQuoteValue($M194,Trigger),"--")</f>
        <v>--</v>
      </c>
      <c r="P194" s="969" t="b">
        <v>0</v>
      </c>
      <c r="Q194" s="890">
        <v>50</v>
      </c>
      <c r="R194" s="890">
        <v>1</v>
      </c>
      <c r="S194" s="889" t="str">
        <f ca="1">IFERROR(_xll.qlRateHelperEarliestDate(M194,Trigger),"--")</f>
        <v>--</v>
      </c>
      <c r="T194" s="889" t="str">
        <f ca="1">IFERROR(_xll.qlRateHelperPillarDate(M194,Trigger),"--")</f>
        <v>--</v>
      </c>
      <c r="V194" s="4" t="str">
        <f t="shared" ca="1" si="22"/>
        <v/>
      </c>
      <c r="W194" s="4" t="e">
        <f ca="1"/>
        <v>#NAME?</v>
      </c>
      <c r="X194" s="4" t="str">
        <f ca="1">IFERROR(_xll.qlRateHelperQuoteName(W194,Trigger),"")</f>
        <v/>
      </c>
      <c r="Y194" s="888" t="str">
        <f ca="1">IFERROR(_xll.qlRateHelperRate(W194,Trigger),"")</f>
        <v/>
      </c>
      <c r="Z194" s="887"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6" t="e">
        <f ca="1"/>
        <v>#NAME?</v>
      </c>
    </row>
    <row r="195" spans="1:29" x14ac:dyDescent="0.2">
      <c r="A195" s="873" t="s">
        <v>410</v>
      </c>
      <c r="B195" s="875" t="s">
        <v>42</v>
      </c>
      <c r="C195" s="874" t="s">
        <v>49</v>
      </c>
      <c r="D195" s="874" t="s">
        <v>323</v>
      </c>
      <c r="E195" s="874" t="s">
        <v>322</v>
      </c>
      <c r="F195" s="874" t="s">
        <v>221</v>
      </c>
      <c r="G195" s="874" t="str">
        <f t="shared" si="25"/>
        <v>Euribor6M</v>
      </c>
      <c r="H195" s="873" t="str">
        <f t="shared" si="26"/>
        <v>EUR7F14Y_Quote</v>
      </c>
      <c r="I195" s="876">
        <v>0</v>
      </c>
      <c r="J195" s="43"/>
      <c r="L195" s="894" t="str">
        <f t="shared" si="23"/>
        <v>FwdSw</v>
      </c>
      <c r="M195" s="890" t="str">
        <f t="shared" si="24"/>
        <v>--</v>
      </c>
      <c r="N195" s="893" t="str">
        <f ca="1">IFERROR(_xll.qlRateHelperQuoteName(M195,Trigger),"--")</f>
        <v>--</v>
      </c>
      <c r="O195" s="892" t="str">
        <f ca="1">IFERROR(_xll.qlRateHelperQuoteValue($M195,Trigger),"--")</f>
        <v>--</v>
      </c>
      <c r="P195" s="969" t="b">
        <v>0</v>
      </c>
      <c r="Q195" s="890">
        <v>50</v>
      </c>
      <c r="R195" s="890">
        <v>1</v>
      </c>
      <c r="S195" s="889" t="str">
        <f ca="1">IFERROR(_xll.qlRateHelperEarliestDate(M195,Trigger),"--")</f>
        <v>--</v>
      </c>
      <c r="T195" s="889" t="str">
        <f ca="1">IFERROR(_xll.qlRateHelperPillarDate(M195,Trigger),"--")</f>
        <v>--</v>
      </c>
      <c r="V195" s="4" t="str">
        <f t="shared" ref="V195:V258" ca="1" si="27">IFERROR(INDEX($L$3:$L$391,MATCH(X195,$N$3:$N$391,0),1),"")</f>
        <v/>
      </c>
      <c r="W195" s="4" t="e">
        <f ca="1"/>
        <v>#NAME?</v>
      </c>
      <c r="X195" s="4" t="str">
        <f ca="1">IFERROR(_xll.qlRateHelperQuoteName(W195,Trigger),"")</f>
        <v/>
      </c>
      <c r="Y195" s="888" t="str">
        <f ca="1">IFERROR(_xll.qlRateHelperRate(W195,Trigger),"")</f>
        <v/>
      </c>
      <c r="Z195" s="887"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6" t="e">
        <f ca="1"/>
        <v>#NAME?</v>
      </c>
    </row>
    <row r="196" spans="1:29" x14ac:dyDescent="0.2">
      <c r="A196" s="873" t="s">
        <v>410</v>
      </c>
      <c r="B196" s="875" t="s">
        <v>41</v>
      </c>
      <c r="C196" s="874" t="s">
        <v>49</v>
      </c>
      <c r="D196" s="874" t="s">
        <v>323</v>
      </c>
      <c r="E196" s="874" t="s">
        <v>322</v>
      </c>
      <c r="F196" s="874" t="s">
        <v>221</v>
      </c>
      <c r="G196" s="874" t="str">
        <f t="shared" si="25"/>
        <v>Euribor6M</v>
      </c>
      <c r="H196" s="873" t="str">
        <f t="shared" si="26"/>
        <v>EUR7F15Y_Quote</v>
      </c>
      <c r="I196" s="876">
        <v>0</v>
      </c>
      <c r="J196" s="43"/>
      <c r="L196" s="894" t="str">
        <f t="shared" ref="L196:L259" si="28">A202</f>
        <v>FwdSw</v>
      </c>
      <c r="M196" s="890" t="str">
        <f t="shared" ref="M196:M259" si="29">IF(ISBLANK(J202),"--",J202)</f>
        <v>--</v>
      </c>
      <c r="N196" s="893" t="str">
        <f ca="1">IFERROR(_xll.qlRateHelperQuoteName(M196,Trigger),"--")</f>
        <v>--</v>
      </c>
      <c r="O196" s="892" t="str">
        <f ca="1">IFERROR(_xll.qlRateHelperQuoteValue($M196,Trigger),"--")</f>
        <v>--</v>
      </c>
      <c r="P196" s="969" t="b">
        <v>0</v>
      </c>
      <c r="Q196" s="890">
        <v>50</v>
      </c>
      <c r="R196" s="890">
        <v>1</v>
      </c>
      <c r="S196" s="889" t="str">
        <f ca="1">IFERROR(_xll.qlRateHelperEarliestDate(M196,Trigger),"--")</f>
        <v>--</v>
      </c>
      <c r="T196" s="889" t="str">
        <f ca="1">IFERROR(_xll.qlRateHelperPillarDate(M196,Trigger),"--")</f>
        <v>--</v>
      </c>
      <c r="V196" s="4" t="str">
        <f t="shared" ca="1" si="27"/>
        <v/>
      </c>
      <c r="W196" s="4" t="e">
        <f ca="1"/>
        <v>#NAME?</v>
      </c>
      <c r="X196" s="4" t="str">
        <f ca="1">IFERROR(_xll.qlRateHelperQuoteName(W196,Trigger),"")</f>
        <v/>
      </c>
      <c r="Y196" s="888" t="str">
        <f ca="1">IFERROR(_xll.qlRateHelperRate(W196,Trigger),"")</f>
        <v/>
      </c>
      <c r="Z196" s="887"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6" t="e">
        <f ca="1"/>
        <v>#NAME?</v>
      </c>
    </row>
    <row r="197" spans="1:29" x14ac:dyDescent="0.2">
      <c r="A197" s="873" t="s">
        <v>410</v>
      </c>
      <c r="B197" s="875" t="s">
        <v>36</v>
      </c>
      <c r="C197" s="874" t="s">
        <v>49</v>
      </c>
      <c r="D197" s="874" t="s">
        <v>323</v>
      </c>
      <c r="E197" s="874" t="s">
        <v>322</v>
      </c>
      <c r="F197" s="874" t="s">
        <v>221</v>
      </c>
      <c r="G197" s="874" t="str">
        <f t="shared" si="25"/>
        <v>Euribor6M</v>
      </c>
      <c r="H197" s="873" t="str">
        <f t="shared" si="26"/>
        <v>EUR7F20Y_Quote</v>
      </c>
      <c r="I197" s="876">
        <v>0</v>
      </c>
      <c r="J197" s="43"/>
      <c r="L197" s="894" t="str">
        <f t="shared" si="28"/>
        <v>FwdSw</v>
      </c>
      <c r="M197" s="890" t="str">
        <f t="shared" si="29"/>
        <v>--</v>
      </c>
      <c r="N197" s="893" t="str">
        <f ca="1">IFERROR(_xll.qlRateHelperQuoteName(M197,Trigger),"--")</f>
        <v>--</v>
      </c>
      <c r="O197" s="892" t="str">
        <f ca="1">IFERROR(_xll.qlRateHelperQuoteValue($M197,Trigger),"--")</f>
        <v>--</v>
      </c>
      <c r="P197" s="969" t="b">
        <v>0</v>
      </c>
      <c r="Q197" s="890">
        <v>50</v>
      </c>
      <c r="R197" s="890">
        <v>1</v>
      </c>
      <c r="S197" s="889" t="str">
        <f ca="1">IFERROR(_xll.qlRateHelperEarliestDate(M197,Trigger),"--")</f>
        <v>--</v>
      </c>
      <c r="T197" s="889" t="str">
        <f ca="1">IFERROR(_xll.qlRateHelperPillarDate(M197,Trigger),"--")</f>
        <v>--</v>
      </c>
      <c r="V197" s="4" t="str">
        <f t="shared" ca="1" si="27"/>
        <v/>
      </c>
      <c r="W197" s="4" t="e">
        <f ca="1"/>
        <v>#NAME?</v>
      </c>
      <c r="X197" s="4" t="str">
        <f ca="1">IFERROR(_xll.qlRateHelperQuoteName(W197,Trigger),"")</f>
        <v/>
      </c>
      <c r="Y197" s="888" t="str">
        <f ca="1">IFERROR(_xll.qlRateHelperRate(W197,Trigger),"")</f>
        <v/>
      </c>
      <c r="Z197" s="887"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6" t="e">
        <f ca="1"/>
        <v>#NAME?</v>
      </c>
    </row>
    <row r="198" spans="1:29" x14ac:dyDescent="0.2">
      <c r="A198" s="873" t="s">
        <v>410</v>
      </c>
      <c r="B198" s="875" t="s">
        <v>31</v>
      </c>
      <c r="C198" s="874" t="s">
        <v>49</v>
      </c>
      <c r="D198" s="874" t="s">
        <v>323</v>
      </c>
      <c r="E198" s="874" t="s">
        <v>322</v>
      </c>
      <c r="F198" s="874" t="s">
        <v>221</v>
      </c>
      <c r="G198" s="874" t="str">
        <f t="shared" si="25"/>
        <v>Euribor6M</v>
      </c>
      <c r="H198" s="873" t="str">
        <f t="shared" si="26"/>
        <v>EUR7F25Y_Quote</v>
      </c>
      <c r="I198" s="876">
        <v>0</v>
      </c>
      <c r="J198" s="43"/>
      <c r="L198" s="894" t="str">
        <f t="shared" si="28"/>
        <v>FwdSw</v>
      </c>
      <c r="M198" s="890" t="str">
        <f t="shared" si="29"/>
        <v>--</v>
      </c>
      <c r="N198" s="893" t="str">
        <f ca="1">IFERROR(_xll.qlRateHelperQuoteName(M198,Trigger),"--")</f>
        <v>--</v>
      </c>
      <c r="O198" s="892" t="str">
        <f ca="1">IFERROR(_xll.qlRateHelperQuoteValue($M198,Trigger),"--")</f>
        <v>--</v>
      </c>
      <c r="P198" s="969" t="b">
        <v>0</v>
      </c>
      <c r="Q198" s="890">
        <v>50</v>
      </c>
      <c r="R198" s="890">
        <v>1</v>
      </c>
      <c r="S198" s="889" t="str">
        <f ca="1">IFERROR(_xll.qlRateHelperEarliestDate(M198,Trigger),"--")</f>
        <v>--</v>
      </c>
      <c r="T198" s="889" t="str">
        <f ca="1">IFERROR(_xll.qlRateHelperPillarDate(M198,Trigger),"--")</f>
        <v>--</v>
      </c>
      <c r="V198" s="4" t="str">
        <f t="shared" ca="1" si="27"/>
        <v/>
      </c>
      <c r="W198" s="4" t="e">
        <f ca="1"/>
        <v>#NAME?</v>
      </c>
      <c r="X198" s="4" t="str">
        <f ca="1">IFERROR(_xll.qlRateHelperQuoteName(W198,Trigger),"")</f>
        <v/>
      </c>
      <c r="Y198" s="888" t="str">
        <f ca="1">IFERROR(_xll.qlRateHelperRate(W198,Trigger),"")</f>
        <v/>
      </c>
      <c r="Z198" s="887"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6" t="e">
        <f ca="1"/>
        <v>#NAME?</v>
      </c>
    </row>
    <row r="199" spans="1:29" x14ac:dyDescent="0.2">
      <c r="A199" s="873" t="s">
        <v>410</v>
      </c>
      <c r="B199" s="875" t="s">
        <v>26</v>
      </c>
      <c r="C199" s="874" t="s">
        <v>49</v>
      </c>
      <c r="D199" s="874" t="s">
        <v>323</v>
      </c>
      <c r="E199" s="874" t="s">
        <v>322</v>
      </c>
      <c r="F199" s="874" t="s">
        <v>221</v>
      </c>
      <c r="G199" s="874" t="str">
        <f t="shared" si="25"/>
        <v>Euribor6M</v>
      </c>
      <c r="H199" s="873" t="str">
        <f t="shared" si="26"/>
        <v>EUR7F30Y_Quote</v>
      </c>
      <c r="I199" s="876">
        <v>0</v>
      </c>
      <c r="J199" s="43"/>
      <c r="L199" s="894" t="str">
        <f t="shared" si="28"/>
        <v>FwdSw</v>
      </c>
      <c r="M199" s="890" t="str">
        <f t="shared" si="29"/>
        <v>--</v>
      </c>
      <c r="N199" s="893" t="str">
        <f ca="1">IFERROR(_xll.qlRateHelperQuoteName(M199,Trigger),"--")</f>
        <v>--</v>
      </c>
      <c r="O199" s="892" t="str">
        <f ca="1">IFERROR(_xll.qlRateHelperQuoteValue($M199,Trigger),"--")</f>
        <v>--</v>
      </c>
      <c r="P199" s="969" t="b">
        <v>0</v>
      </c>
      <c r="Q199" s="890">
        <v>50</v>
      </c>
      <c r="R199" s="890">
        <v>1</v>
      </c>
      <c r="S199" s="889" t="str">
        <f ca="1">IFERROR(_xll.qlRateHelperEarliestDate(M199,Trigger),"--")</f>
        <v>--</v>
      </c>
      <c r="T199" s="889" t="str">
        <f ca="1">IFERROR(_xll.qlRateHelperPillarDate(M199,Trigger),"--")</f>
        <v>--</v>
      </c>
      <c r="V199" s="4" t="str">
        <f t="shared" ca="1" si="27"/>
        <v/>
      </c>
      <c r="W199" s="4" t="e">
        <f ca="1"/>
        <v>#NAME?</v>
      </c>
      <c r="X199" s="4" t="str">
        <f ca="1">IFERROR(_xll.qlRateHelperQuoteName(W199,Trigger),"")</f>
        <v/>
      </c>
      <c r="Y199" s="888" t="str">
        <f ca="1">IFERROR(_xll.qlRateHelperRate(W199,Trigger),"")</f>
        <v/>
      </c>
      <c r="Z199" s="887"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6" t="e">
        <f ca="1"/>
        <v>#NAME?</v>
      </c>
    </row>
    <row r="200" spans="1:29" x14ac:dyDescent="0.2">
      <c r="A200" s="896" t="s">
        <v>410</v>
      </c>
      <c r="B200" s="898" t="s">
        <v>58</v>
      </c>
      <c r="C200" s="897" t="s">
        <v>48</v>
      </c>
      <c r="D200" s="897" t="s">
        <v>323</v>
      </c>
      <c r="E200" s="897" t="s">
        <v>322</v>
      </c>
      <c r="F200" s="897" t="s">
        <v>221</v>
      </c>
      <c r="G200" s="897" t="str">
        <f t="shared" si="25"/>
        <v>Euribor6M</v>
      </c>
      <c r="H200" s="896" t="str">
        <f t="shared" si="26"/>
        <v>EUR8F1Y_Quote</v>
      </c>
      <c r="I200" s="895">
        <v>0</v>
      </c>
      <c r="J200" s="47"/>
      <c r="L200" s="894" t="str">
        <f t="shared" si="28"/>
        <v>FwdSw</v>
      </c>
      <c r="M200" s="890" t="str">
        <f t="shared" si="29"/>
        <v>--</v>
      </c>
      <c r="N200" s="893" t="str">
        <f ca="1">IFERROR(_xll.qlRateHelperQuoteName(M200,Trigger),"--")</f>
        <v>--</v>
      </c>
      <c r="O200" s="892" t="str">
        <f ca="1">IFERROR(_xll.qlRateHelperQuoteValue($M200,Trigger),"--")</f>
        <v>--</v>
      </c>
      <c r="P200" s="969" t="b">
        <v>0</v>
      </c>
      <c r="Q200" s="890">
        <v>50</v>
      </c>
      <c r="R200" s="890">
        <v>1</v>
      </c>
      <c r="S200" s="889" t="str">
        <f ca="1">IFERROR(_xll.qlRateHelperEarliestDate(M200,Trigger),"--")</f>
        <v>--</v>
      </c>
      <c r="T200" s="889" t="str">
        <f ca="1">IFERROR(_xll.qlRateHelperPillarDate(M200,Trigger),"--")</f>
        <v>--</v>
      </c>
      <c r="V200" s="4" t="str">
        <f t="shared" ca="1" si="27"/>
        <v/>
      </c>
      <c r="W200" s="4" t="e">
        <f ca="1"/>
        <v>#NAME?</v>
      </c>
      <c r="X200" s="4" t="str">
        <f ca="1">IFERROR(_xll.qlRateHelperQuoteName(W200,Trigger),"")</f>
        <v/>
      </c>
      <c r="Y200" s="888" t="str">
        <f ca="1">IFERROR(_xll.qlRateHelperRate(W200,Trigger),"")</f>
        <v/>
      </c>
      <c r="Z200" s="887"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6" t="e">
        <f ca="1"/>
        <v>#NAME?</v>
      </c>
    </row>
    <row r="201" spans="1:29" x14ac:dyDescent="0.2">
      <c r="A201" s="873" t="s">
        <v>410</v>
      </c>
      <c r="B201" s="875" t="s">
        <v>54</v>
      </c>
      <c r="C201" s="874" t="s">
        <v>48</v>
      </c>
      <c r="D201" s="874" t="s">
        <v>323</v>
      </c>
      <c r="E201" s="874" t="s">
        <v>322</v>
      </c>
      <c r="F201" s="874" t="s">
        <v>221</v>
      </c>
      <c r="G201" s="874" t="str">
        <f t="shared" si="25"/>
        <v>Euribor6M</v>
      </c>
      <c r="H201" s="873" t="str">
        <f t="shared" si="26"/>
        <v>EUR8F2Y_Quote</v>
      </c>
      <c r="I201" s="876">
        <v>0</v>
      </c>
      <c r="J201" s="43"/>
      <c r="L201" s="894" t="str">
        <f t="shared" si="28"/>
        <v>FwdSw</v>
      </c>
      <c r="M201" s="890" t="str">
        <f t="shared" si="29"/>
        <v>--</v>
      </c>
      <c r="N201" s="893" t="str">
        <f ca="1">IFERROR(_xll.qlRateHelperQuoteName(M201,Trigger),"--")</f>
        <v>--</v>
      </c>
      <c r="O201" s="892" t="str">
        <f ca="1">IFERROR(_xll.qlRateHelperQuoteValue($M201,Trigger),"--")</f>
        <v>--</v>
      </c>
      <c r="P201" s="969" t="b">
        <v>0</v>
      </c>
      <c r="Q201" s="890">
        <v>50</v>
      </c>
      <c r="R201" s="890">
        <v>1</v>
      </c>
      <c r="S201" s="889" t="str">
        <f ca="1">IFERROR(_xll.qlRateHelperEarliestDate(M201,Trigger),"--")</f>
        <v>--</v>
      </c>
      <c r="T201" s="889" t="str">
        <f ca="1">IFERROR(_xll.qlRateHelperPillarDate(M201,Trigger),"--")</f>
        <v>--</v>
      </c>
      <c r="V201" s="4" t="str">
        <f t="shared" ca="1" si="27"/>
        <v/>
      </c>
      <c r="W201" s="4" t="e">
        <f ca="1"/>
        <v>#NAME?</v>
      </c>
      <c r="X201" s="4" t="str">
        <f ca="1">IFERROR(_xll.qlRateHelperQuoteName(W201,Trigger),"")</f>
        <v/>
      </c>
      <c r="Y201" s="888" t="str">
        <f ca="1">IFERROR(_xll.qlRateHelperRate(W201,Trigger),"")</f>
        <v/>
      </c>
      <c r="Z201" s="887"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6" t="e">
        <f ca="1"/>
        <v>#NAME?</v>
      </c>
    </row>
    <row r="202" spans="1:29" x14ac:dyDescent="0.2">
      <c r="A202" s="873" t="s">
        <v>410</v>
      </c>
      <c r="B202" s="875" t="s">
        <v>53</v>
      </c>
      <c r="C202" s="874" t="s">
        <v>48</v>
      </c>
      <c r="D202" s="874" t="s">
        <v>323</v>
      </c>
      <c r="E202" s="874" t="s">
        <v>322</v>
      </c>
      <c r="F202" s="874" t="s">
        <v>221</v>
      </c>
      <c r="G202" s="874" t="str">
        <f t="shared" ref="G202:G265" si="30">PROPER(Currency)&amp;FamilyName&amp;Tenor</f>
        <v>Euribor6M</v>
      </c>
      <c r="H202" s="873" t="str">
        <f t="shared" ref="H202:H265" si="31">Currency&amp;SUBSTITUTE(C202,"Y","F")&amp;B202&amp;QuoteSuffix</f>
        <v>EUR8F3Y_Quote</v>
      </c>
      <c r="I202" s="876">
        <v>0</v>
      </c>
      <c r="J202" s="43"/>
      <c r="L202" s="894" t="str">
        <f t="shared" si="28"/>
        <v>FwdSw</v>
      </c>
      <c r="M202" s="890" t="str">
        <f t="shared" si="29"/>
        <v>--</v>
      </c>
      <c r="N202" s="893" t="str">
        <f ca="1">IFERROR(_xll.qlRateHelperQuoteName(M202,Trigger),"--")</f>
        <v>--</v>
      </c>
      <c r="O202" s="892" t="str">
        <f ca="1">IFERROR(_xll.qlRateHelperQuoteValue($M202,Trigger),"--")</f>
        <v>--</v>
      </c>
      <c r="P202" s="969" t="b">
        <v>0</v>
      </c>
      <c r="Q202" s="890">
        <v>50</v>
      </c>
      <c r="R202" s="890">
        <v>1</v>
      </c>
      <c r="S202" s="889" t="str">
        <f ca="1">IFERROR(_xll.qlRateHelperEarliestDate(M202,Trigger),"--")</f>
        <v>--</v>
      </c>
      <c r="T202" s="889" t="str">
        <f ca="1">IFERROR(_xll.qlRateHelperPillarDate(M202,Trigger),"--")</f>
        <v>--</v>
      </c>
      <c r="V202" s="4" t="str">
        <f t="shared" ca="1" si="27"/>
        <v/>
      </c>
      <c r="W202" s="4" t="e">
        <f ca="1"/>
        <v>#NAME?</v>
      </c>
      <c r="X202" s="4" t="str">
        <f ca="1">IFERROR(_xll.qlRateHelperQuoteName(W202,Trigger),"")</f>
        <v/>
      </c>
      <c r="Y202" s="888" t="str">
        <f ca="1">IFERROR(_xll.qlRateHelperRate(W202,Trigger),"")</f>
        <v/>
      </c>
      <c r="Z202" s="887"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6" t="e">
        <f ca="1"/>
        <v>#NAME?</v>
      </c>
    </row>
    <row r="203" spans="1:29" x14ac:dyDescent="0.2">
      <c r="A203" s="873" t="s">
        <v>410</v>
      </c>
      <c r="B203" s="875" t="s">
        <v>52</v>
      </c>
      <c r="C203" s="874" t="s">
        <v>48</v>
      </c>
      <c r="D203" s="874" t="s">
        <v>323</v>
      </c>
      <c r="E203" s="874" t="s">
        <v>322</v>
      </c>
      <c r="F203" s="874" t="s">
        <v>221</v>
      </c>
      <c r="G203" s="874" t="str">
        <f t="shared" si="30"/>
        <v>Euribor6M</v>
      </c>
      <c r="H203" s="873" t="str">
        <f t="shared" si="31"/>
        <v>EUR8F4Y_Quote</v>
      </c>
      <c r="I203" s="876">
        <v>0</v>
      </c>
      <c r="J203" s="43"/>
      <c r="L203" s="894" t="str">
        <f t="shared" si="28"/>
        <v>FwdSw</v>
      </c>
      <c r="M203" s="890" t="str">
        <f t="shared" si="29"/>
        <v>--</v>
      </c>
      <c r="N203" s="893" t="str">
        <f ca="1">IFERROR(_xll.qlRateHelperQuoteName(M203,Trigger),"--")</f>
        <v>--</v>
      </c>
      <c r="O203" s="892" t="str">
        <f ca="1">IFERROR(_xll.qlRateHelperQuoteValue($M203,Trigger),"--")</f>
        <v>--</v>
      </c>
      <c r="P203" s="969" t="b">
        <v>0</v>
      </c>
      <c r="Q203" s="890">
        <v>50</v>
      </c>
      <c r="R203" s="890">
        <v>1</v>
      </c>
      <c r="S203" s="889" t="str">
        <f ca="1">IFERROR(_xll.qlRateHelperEarliestDate(M203,Trigger),"--")</f>
        <v>--</v>
      </c>
      <c r="T203" s="889" t="str">
        <f ca="1">IFERROR(_xll.qlRateHelperPillarDate(M203,Trigger),"--")</f>
        <v>--</v>
      </c>
      <c r="V203" s="4" t="str">
        <f t="shared" ca="1" si="27"/>
        <v/>
      </c>
      <c r="W203" s="4" t="e">
        <f ca="1"/>
        <v>#NAME?</v>
      </c>
      <c r="X203" s="4" t="str">
        <f ca="1">IFERROR(_xll.qlRateHelperQuoteName(W203,Trigger),"")</f>
        <v/>
      </c>
      <c r="Y203" s="888" t="str">
        <f ca="1">IFERROR(_xll.qlRateHelperRate(W203,Trigger),"")</f>
        <v/>
      </c>
      <c r="Z203" s="887"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6" t="e">
        <f ca="1"/>
        <v>#NAME?</v>
      </c>
    </row>
    <row r="204" spans="1:29" x14ac:dyDescent="0.2">
      <c r="A204" s="873" t="s">
        <v>410</v>
      </c>
      <c r="B204" s="875" t="s">
        <v>51</v>
      </c>
      <c r="C204" s="874" t="s">
        <v>48</v>
      </c>
      <c r="D204" s="874" t="s">
        <v>323</v>
      </c>
      <c r="E204" s="874" t="s">
        <v>322</v>
      </c>
      <c r="F204" s="874" t="s">
        <v>221</v>
      </c>
      <c r="G204" s="874" t="str">
        <f t="shared" si="30"/>
        <v>Euribor6M</v>
      </c>
      <c r="H204" s="873" t="str">
        <f t="shared" si="31"/>
        <v>EUR8F5Y_Quote</v>
      </c>
      <c r="I204" s="876">
        <v>0</v>
      </c>
      <c r="J204" s="43"/>
      <c r="L204" s="894" t="str">
        <f t="shared" si="28"/>
        <v>FwdSw</v>
      </c>
      <c r="M204" s="890" t="str">
        <f t="shared" si="29"/>
        <v>--</v>
      </c>
      <c r="N204" s="893" t="str">
        <f ca="1">IFERROR(_xll.qlRateHelperQuoteName(M204,Trigger),"--")</f>
        <v>--</v>
      </c>
      <c r="O204" s="892" t="str">
        <f ca="1">IFERROR(_xll.qlRateHelperQuoteValue($M204,Trigger),"--")</f>
        <v>--</v>
      </c>
      <c r="P204" s="969" t="b">
        <v>0</v>
      </c>
      <c r="Q204" s="890">
        <v>50</v>
      </c>
      <c r="R204" s="890">
        <v>1</v>
      </c>
      <c r="S204" s="889" t="str">
        <f ca="1">IFERROR(_xll.qlRateHelperEarliestDate(M204,Trigger),"--")</f>
        <v>--</v>
      </c>
      <c r="T204" s="889" t="str">
        <f ca="1">IFERROR(_xll.qlRateHelperPillarDate(M204,Trigger),"--")</f>
        <v>--</v>
      </c>
      <c r="V204" s="4" t="str">
        <f t="shared" ca="1" si="27"/>
        <v/>
      </c>
      <c r="W204" s="4" t="e">
        <f ca="1"/>
        <v>#NAME?</v>
      </c>
      <c r="X204" s="4" t="str">
        <f ca="1">IFERROR(_xll.qlRateHelperQuoteName(W204,Trigger),"")</f>
        <v/>
      </c>
      <c r="Y204" s="888" t="str">
        <f ca="1">IFERROR(_xll.qlRateHelperRate(W204,Trigger),"")</f>
        <v/>
      </c>
      <c r="Z204" s="887"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6" t="e">
        <f ca="1"/>
        <v>#NAME?</v>
      </c>
    </row>
    <row r="205" spans="1:29" x14ac:dyDescent="0.2">
      <c r="A205" s="873" t="s">
        <v>410</v>
      </c>
      <c r="B205" s="875" t="s">
        <v>50</v>
      </c>
      <c r="C205" s="874" t="s">
        <v>48</v>
      </c>
      <c r="D205" s="874" t="s">
        <v>323</v>
      </c>
      <c r="E205" s="874" t="s">
        <v>322</v>
      </c>
      <c r="F205" s="874" t="s">
        <v>221</v>
      </c>
      <c r="G205" s="874" t="str">
        <f t="shared" si="30"/>
        <v>Euribor6M</v>
      </c>
      <c r="H205" s="873" t="str">
        <f t="shared" si="31"/>
        <v>EUR8F6Y_Quote</v>
      </c>
      <c r="I205" s="876">
        <v>0</v>
      </c>
      <c r="J205" s="43"/>
      <c r="L205" s="894" t="str">
        <f t="shared" si="28"/>
        <v>FwdSw</v>
      </c>
      <c r="M205" s="890" t="str">
        <f t="shared" si="29"/>
        <v>--</v>
      </c>
      <c r="N205" s="893" t="str">
        <f ca="1">IFERROR(_xll.qlRateHelperQuoteName(M205,Trigger),"--")</f>
        <v>--</v>
      </c>
      <c r="O205" s="892" t="str">
        <f ca="1">IFERROR(_xll.qlRateHelperQuoteValue($M205,Trigger),"--")</f>
        <v>--</v>
      </c>
      <c r="P205" s="969" t="b">
        <v>0</v>
      </c>
      <c r="Q205" s="890">
        <v>50</v>
      </c>
      <c r="R205" s="890">
        <v>1</v>
      </c>
      <c r="S205" s="889" t="str">
        <f ca="1">IFERROR(_xll.qlRateHelperEarliestDate(M205,Trigger),"--")</f>
        <v>--</v>
      </c>
      <c r="T205" s="889" t="str">
        <f ca="1">IFERROR(_xll.qlRateHelperPillarDate(M205,Trigger),"--")</f>
        <v>--</v>
      </c>
      <c r="V205" s="4" t="str">
        <f t="shared" ca="1" si="27"/>
        <v/>
      </c>
      <c r="W205" s="4" t="e">
        <f ca="1"/>
        <v>#NAME?</v>
      </c>
      <c r="X205" s="4" t="str">
        <f ca="1">IFERROR(_xll.qlRateHelperQuoteName(W205,Trigger),"")</f>
        <v/>
      </c>
      <c r="Y205" s="888" t="str">
        <f ca="1">IFERROR(_xll.qlRateHelperRate(W205,Trigger),"")</f>
        <v/>
      </c>
      <c r="Z205" s="887"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6" t="e">
        <f ca="1"/>
        <v>#NAME?</v>
      </c>
    </row>
    <row r="206" spans="1:29" x14ac:dyDescent="0.2">
      <c r="A206" s="873" t="s">
        <v>410</v>
      </c>
      <c r="B206" s="875" t="s">
        <v>49</v>
      </c>
      <c r="C206" s="874" t="s">
        <v>48</v>
      </c>
      <c r="D206" s="874" t="s">
        <v>323</v>
      </c>
      <c r="E206" s="874" t="s">
        <v>322</v>
      </c>
      <c r="F206" s="874" t="s">
        <v>221</v>
      </c>
      <c r="G206" s="874" t="str">
        <f t="shared" si="30"/>
        <v>Euribor6M</v>
      </c>
      <c r="H206" s="873" t="str">
        <f t="shared" si="31"/>
        <v>EUR8F7Y_Quote</v>
      </c>
      <c r="I206" s="876">
        <v>0</v>
      </c>
      <c r="J206" s="43"/>
      <c r="L206" s="894" t="str">
        <f t="shared" si="28"/>
        <v>FwdSw</v>
      </c>
      <c r="M206" s="890" t="str">
        <f t="shared" si="29"/>
        <v>--</v>
      </c>
      <c r="N206" s="893" t="str">
        <f ca="1">IFERROR(_xll.qlRateHelperQuoteName(M206,Trigger),"--")</f>
        <v>--</v>
      </c>
      <c r="O206" s="892" t="str">
        <f ca="1">IFERROR(_xll.qlRateHelperQuoteValue($M206,Trigger),"--")</f>
        <v>--</v>
      </c>
      <c r="P206" s="969" t="b">
        <v>0</v>
      </c>
      <c r="Q206" s="890">
        <v>50</v>
      </c>
      <c r="R206" s="890">
        <v>1</v>
      </c>
      <c r="S206" s="889" t="str">
        <f ca="1">IFERROR(_xll.qlRateHelperEarliestDate(M206,Trigger),"--")</f>
        <v>--</v>
      </c>
      <c r="T206" s="889" t="str">
        <f ca="1">IFERROR(_xll.qlRateHelperPillarDate(M206,Trigger),"--")</f>
        <v>--</v>
      </c>
      <c r="V206" s="4" t="str">
        <f t="shared" ca="1" si="27"/>
        <v/>
      </c>
      <c r="W206" s="4" t="e">
        <f ca="1"/>
        <v>#NAME?</v>
      </c>
      <c r="X206" s="4" t="str">
        <f ca="1">IFERROR(_xll.qlRateHelperQuoteName(W206,Trigger),"")</f>
        <v/>
      </c>
      <c r="Y206" s="888" t="str">
        <f ca="1">IFERROR(_xll.qlRateHelperRate(W206,Trigger),"")</f>
        <v/>
      </c>
      <c r="Z206" s="887"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6" t="e">
        <f ca="1"/>
        <v>#NAME?</v>
      </c>
    </row>
    <row r="207" spans="1:29" x14ac:dyDescent="0.2">
      <c r="A207" s="873" t="s">
        <v>410</v>
      </c>
      <c r="B207" s="875" t="s">
        <v>48</v>
      </c>
      <c r="C207" s="874" t="s">
        <v>48</v>
      </c>
      <c r="D207" s="874" t="s">
        <v>323</v>
      </c>
      <c r="E207" s="874" t="s">
        <v>322</v>
      </c>
      <c r="F207" s="874" t="s">
        <v>221</v>
      </c>
      <c r="G207" s="874" t="str">
        <f t="shared" si="30"/>
        <v>Euribor6M</v>
      </c>
      <c r="H207" s="873" t="str">
        <f t="shared" si="31"/>
        <v>EUR8F8Y_Quote</v>
      </c>
      <c r="I207" s="876">
        <v>0</v>
      </c>
      <c r="J207" s="43"/>
      <c r="L207" s="894" t="str">
        <f t="shared" si="28"/>
        <v>FwdSw</v>
      </c>
      <c r="M207" s="890" t="str">
        <f t="shared" si="29"/>
        <v>--</v>
      </c>
      <c r="N207" s="893" t="str">
        <f ca="1">IFERROR(_xll.qlRateHelperQuoteName(M207,Trigger),"--")</f>
        <v>--</v>
      </c>
      <c r="O207" s="892" t="str">
        <f ca="1">IFERROR(_xll.qlRateHelperQuoteValue($M207,Trigger),"--")</f>
        <v>--</v>
      </c>
      <c r="P207" s="969" t="b">
        <v>0</v>
      </c>
      <c r="Q207" s="890">
        <v>50</v>
      </c>
      <c r="R207" s="890">
        <v>1</v>
      </c>
      <c r="S207" s="889" t="str">
        <f ca="1">IFERROR(_xll.qlRateHelperEarliestDate(M207,Trigger),"--")</f>
        <v>--</v>
      </c>
      <c r="T207" s="889" t="str">
        <f ca="1">IFERROR(_xll.qlRateHelperPillarDate(M207,Trigger),"--")</f>
        <v>--</v>
      </c>
      <c r="V207" s="4" t="str">
        <f t="shared" ca="1" si="27"/>
        <v/>
      </c>
      <c r="W207" s="4" t="e">
        <f ca="1"/>
        <v>#NAME?</v>
      </c>
      <c r="X207" s="4" t="str">
        <f ca="1">IFERROR(_xll.qlRateHelperQuoteName(W207,Trigger),"")</f>
        <v/>
      </c>
      <c r="Y207" s="888" t="str">
        <f ca="1">IFERROR(_xll.qlRateHelperRate(W207,Trigger),"")</f>
        <v/>
      </c>
      <c r="Z207" s="887"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6" t="e">
        <f ca="1"/>
        <v>#NAME?</v>
      </c>
    </row>
    <row r="208" spans="1:29" x14ac:dyDescent="0.2">
      <c r="A208" s="873" t="s">
        <v>410</v>
      </c>
      <c r="B208" s="875" t="s">
        <v>47</v>
      </c>
      <c r="C208" s="874" t="s">
        <v>48</v>
      </c>
      <c r="D208" s="874" t="s">
        <v>323</v>
      </c>
      <c r="E208" s="874" t="s">
        <v>322</v>
      </c>
      <c r="F208" s="874" t="s">
        <v>221</v>
      </c>
      <c r="G208" s="874" t="str">
        <f t="shared" si="30"/>
        <v>Euribor6M</v>
      </c>
      <c r="H208" s="873" t="str">
        <f t="shared" si="31"/>
        <v>EUR8F9Y_Quote</v>
      </c>
      <c r="I208" s="876">
        <v>0</v>
      </c>
      <c r="J208" s="43"/>
      <c r="L208" s="894" t="str">
        <f t="shared" si="28"/>
        <v>FwdSw</v>
      </c>
      <c r="M208" s="890" t="str">
        <f t="shared" si="29"/>
        <v>--</v>
      </c>
      <c r="N208" s="893" t="str">
        <f ca="1">IFERROR(_xll.qlRateHelperQuoteName(M208,Trigger),"--")</f>
        <v>--</v>
      </c>
      <c r="O208" s="892" t="str">
        <f ca="1">IFERROR(_xll.qlRateHelperQuoteValue($M208,Trigger),"--")</f>
        <v>--</v>
      </c>
      <c r="P208" s="969" t="b">
        <v>0</v>
      </c>
      <c r="Q208" s="890">
        <v>50</v>
      </c>
      <c r="R208" s="890">
        <v>1</v>
      </c>
      <c r="S208" s="889" t="str">
        <f ca="1">IFERROR(_xll.qlRateHelperEarliestDate(M208,Trigger),"--")</f>
        <v>--</v>
      </c>
      <c r="T208" s="889" t="str">
        <f ca="1">IFERROR(_xll.qlRateHelperPillarDate(M208,Trigger),"--")</f>
        <v>--</v>
      </c>
      <c r="V208" s="4" t="str">
        <f t="shared" ca="1" si="27"/>
        <v/>
      </c>
      <c r="W208" s="4" t="e">
        <f ca="1"/>
        <v>#NAME?</v>
      </c>
      <c r="X208" s="4" t="str">
        <f ca="1">IFERROR(_xll.qlRateHelperQuoteName(W208,Trigger),"")</f>
        <v/>
      </c>
      <c r="Y208" s="888" t="str">
        <f ca="1">IFERROR(_xll.qlRateHelperRate(W208,Trigger),"")</f>
        <v/>
      </c>
      <c r="Z208" s="887"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6" t="e">
        <f ca="1"/>
        <v>#NAME?</v>
      </c>
    </row>
    <row r="209" spans="1:29" x14ac:dyDescent="0.2">
      <c r="A209" s="873" t="s">
        <v>410</v>
      </c>
      <c r="B209" s="875" t="s">
        <v>46</v>
      </c>
      <c r="C209" s="874" t="s">
        <v>48</v>
      </c>
      <c r="D209" s="874" t="s">
        <v>323</v>
      </c>
      <c r="E209" s="874" t="s">
        <v>322</v>
      </c>
      <c r="F209" s="874" t="s">
        <v>221</v>
      </c>
      <c r="G209" s="874" t="str">
        <f t="shared" si="30"/>
        <v>Euribor6M</v>
      </c>
      <c r="H209" s="873" t="str">
        <f t="shared" si="31"/>
        <v>EUR8F10Y_Quote</v>
      </c>
      <c r="I209" s="876">
        <v>0</v>
      </c>
      <c r="J209" s="43"/>
      <c r="L209" s="894" t="str">
        <f t="shared" si="28"/>
        <v>FwdSw</v>
      </c>
      <c r="M209" s="890" t="str">
        <f t="shared" si="29"/>
        <v>--</v>
      </c>
      <c r="N209" s="893" t="str">
        <f ca="1">IFERROR(_xll.qlRateHelperQuoteName(M209,Trigger),"--")</f>
        <v>--</v>
      </c>
      <c r="O209" s="892" t="str">
        <f ca="1">IFERROR(_xll.qlRateHelperQuoteValue($M209,Trigger),"--")</f>
        <v>--</v>
      </c>
      <c r="P209" s="969" t="b">
        <v>0</v>
      </c>
      <c r="Q209" s="890">
        <v>50</v>
      </c>
      <c r="R209" s="890">
        <v>1</v>
      </c>
      <c r="S209" s="889" t="str">
        <f ca="1">IFERROR(_xll.qlRateHelperEarliestDate(M209,Trigger),"--")</f>
        <v>--</v>
      </c>
      <c r="T209" s="889" t="str">
        <f ca="1">IFERROR(_xll.qlRateHelperPillarDate(M209,Trigger),"--")</f>
        <v>--</v>
      </c>
      <c r="V209" s="4" t="str">
        <f t="shared" ca="1" si="27"/>
        <v/>
      </c>
      <c r="W209" s="4" t="e">
        <f ca="1"/>
        <v>#NAME?</v>
      </c>
      <c r="X209" s="4" t="str">
        <f ca="1">IFERROR(_xll.qlRateHelperQuoteName(W209,Trigger),"")</f>
        <v/>
      </c>
      <c r="Y209" s="888" t="str">
        <f ca="1">IFERROR(_xll.qlRateHelperRate(W209,Trigger),"")</f>
        <v/>
      </c>
      <c r="Z209" s="887"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6" t="e">
        <f ca="1"/>
        <v>#NAME?</v>
      </c>
    </row>
    <row r="210" spans="1:29" x14ac:dyDescent="0.2">
      <c r="A210" s="873" t="s">
        <v>410</v>
      </c>
      <c r="B210" s="875" t="s">
        <v>45</v>
      </c>
      <c r="C210" s="874" t="s">
        <v>48</v>
      </c>
      <c r="D210" s="874" t="s">
        <v>323</v>
      </c>
      <c r="E210" s="874" t="s">
        <v>322</v>
      </c>
      <c r="F210" s="874" t="s">
        <v>221</v>
      </c>
      <c r="G210" s="874" t="str">
        <f t="shared" si="30"/>
        <v>Euribor6M</v>
      </c>
      <c r="H210" s="873" t="str">
        <f t="shared" si="31"/>
        <v>EUR8F11Y_Quote</v>
      </c>
      <c r="I210" s="876">
        <v>0</v>
      </c>
      <c r="J210" s="43"/>
      <c r="L210" s="894" t="str">
        <f t="shared" si="28"/>
        <v>FwdSw</v>
      </c>
      <c r="M210" s="890" t="str">
        <f t="shared" si="29"/>
        <v>--</v>
      </c>
      <c r="N210" s="893" t="str">
        <f ca="1">IFERROR(_xll.qlRateHelperQuoteName(M210,Trigger),"--")</f>
        <v>--</v>
      </c>
      <c r="O210" s="892" t="str">
        <f ca="1">IFERROR(_xll.qlRateHelperQuoteValue($M210,Trigger),"--")</f>
        <v>--</v>
      </c>
      <c r="P210" s="969" t="b">
        <v>0</v>
      </c>
      <c r="Q210" s="890">
        <v>50</v>
      </c>
      <c r="R210" s="890">
        <v>1</v>
      </c>
      <c r="S210" s="889" t="str">
        <f ca="1">IFERROR(_xll.qlRateHelperEarliestDate(M210,Trigger),"--")</f>
        <v>--</v>
      </c>
      <c r="T210" s="889" t="str">
        <f ca="1">IFERROR(_xll.qlRateHelperPillarDate(M210,Trigger),"--")</f>
        <v>--</v>
      </c>
      <c r="V210" s="4" t="str">
        <f t="shared" ca="1" si="27"/>
        <v/>
      </c>
      <c r="W210" s="4" t="e">
        <f ca="1"/>
        <v>#NAME?</v>
      </c>
      <c r="X210" s="4" t="str">
        <f ca="1">IFERROR(_xll.qlRateHelperQuoteName(W210,Trigger),"")</f>
        <v/>
      </c>
      <c r="Y210" s="888" t="str">
        <f ca="1">IFERROR(_xll.qlRateHelperRate(W210,Trigger),"")</f>
        <v/>
      </c>
      <c r="Z210" s="887"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6" t="e">
        <f ca="1"/>
        <v>#NAME?</v>
      </c>
    </row>
    <row r="211" spans="1:29" x14ac:dyDescent="0.2">
      <c r="A211" s="873" t="s">
        <v>410</v>
      </c>
      <c r="B211" s="875" t="s">
        <v>44</v>
      </c>
      <c r="C211" s="874" t="s">
        <v>48</v>
      </c>
      <c r="D211" s="874" t="s">
        <v>323</v>
      </c>
      <c r="E211" s="874" t="s">
        <v>322</v>
      </c>
      <c r="F211" s="874" t="s">
        <v>221</v>
      </c>
      <c r="G211" s="874" t="str">
        <f t="shared" si="30"/>
        <v>Euribor6M</v>
      </c>
      <c r="H211" s="873" t="str">
        <f t="shared" si="31"/>
        <v>EUR8F12Y_Quote</v>
      </c>
      <c r="I211" s="876">
        <v>0</v>
      </c>
      <c r="J211" s="43"/>
      <c r="L211" s="894" t="str">
        <f t="shared" si="28"/>
        <v>FwdSw</v>
      </c>
      <c r="M211" s="890" t="str">
        <f t="shared" si="29"/>
        <v>--</v>
      </c>
      <c r="N211" s="893" t="str">
        <f ca="1">IFERROR(_xll.qlRateHelperQuoteName(M211,Trigger),"--")</f>
        <v>--</v>
      </c>
      <c r="O211" s="892" t="str">
        <f ca="1">IFERROR(_xll.qlRateHelperQuoteValue($M211,Trigger),"--")</f>
        <v>--</v>
      </c>
      <c r="P211" s="969" t="b">
        <v>0</v>
      </c>
      <c r="Q211" s="890">
        <v>50</v>
      </c>
      <c r="R211" s="890">
        <v>1</v>
      </c>
      <c r="S211" s="889" t="str">
        <f ca="1">IFERROR(_xll.qlRateHelperEarliestDate(M211,Trigger),"--")</f>
        <v>--</v>
      </c>
      <c r="T211" s="889" t="str">
        <f ca="1">IFERROR(_xll.qlRateHelperPillarDate(M211,Trigger),"--")</f>
        <v>--</v>
      </c>
      <c r="V211" s="4" t="str">
        <f t="shared" ca="1" si="27"/>
        <v/>
      </c>
      <c r="W211" s="4" t="e">
        <f ca="1"/>
        <v>#NAME?</v>
      </c>
      <c r="X211" s="4" t="str">
        <f ca="1">IFERROR(_xll.qlRateHelperQuoteName(W211,Trigger),"")</f>
        <v/>
      </c>
      <c r="Y211" s="888" t="str">
        <f ca="1">IFERROR(_xll.qlRateHelperRate(W211,Trigger),"")</f>
        <v/>
      </c>
      <c r="Z211" s="887"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6" t="e">
        <f ca="1"/>
        <v>#NAME?</v>
      </c>
    </row>
    <row r="212" spans="1:29" x14ac:dyDescent="0.2">
      <c r="A212" s="873" t="s">
        <v>410</v>
      </c>
      <c r="B212" s="875" t="s">
        <v>43</v>
      </c>
      <c r="C212" s="874" t="s">
        <v>48</v>
      </c>
      <c r="D212" s="874" t="s">
        <v>323</v>
      </c>
      <c r="E212" s="874" t="s">
        <v>322</v>
      </c>
      <c r="F212" s="874" t="s">
        <v>221</v>
      </c>
      <c r="G212" s="874" t="str">
        <f t="shared" si="30"/>
        <v>Euribor6M</v>
      </c>
      <c r="H212" s="873" t="str">
        <f t="shared" si="31"/>
        <v>EUR8F13Y_Quote</v>
      </c>
      <c r="I212" s="876">
        <v>0</v>
      </c>
      <c r="J212" s="43"/>
      <c r="L212" s="894" t="str">
        <f t="shared" si="28"/>
        <v>FwdSw</v>
      </c>
      <c r="M212" s="890" t="str">
        <f t="shared" si="29"/>
        <v>--</v>
      </c>
      <c r="N212" s="893" t="str">
        <f ca="1">IFERROR(_xll.qlRateHelperQuoteName(M212,Trigger),"--")</f>
        <v>--</v>
      </c>
      <c r="O212" s="892" t="str">
        <f ca="1">IFERROR(_xll.qlRateHelperQuoteValue($M212,Trigger),"--")</f>
        <v>--</v>
      </c>
      <c r="P212" s="969" t="b">
        <v>0</v>
      </c>
      <c r="Q212" s="890">
        <v>50</v>
      </c>
      <c r="R212" s="890">
        <v>1</v>
      </c>
      <c r="S212" s="889" t="str">
        <f ca="1">IFERROR(_xll.qlRateHelperEarliestDate(M212,Trigger),"--")</f>
        <v>--</v>
      </c>
      <c r="T212" s="889" t="str">
        <f ca="1">IFERROR(_xll.qlRateHelperPillarDate(M212,Trigger),"--")</f>
        <v>--</v>
      </c>
      <c r="V212" s="4" t="str">
        <f t="shared" ca="1" si="27"/>
        <v/>
      </c>
      <c r="W212" s="4" t="e">
        <f ca="1"/>
        <v>#NAME?</v>
      </c>
      <c r="X212" s="4" t="str">
        <f ca="1">IFERROR(_xll.qlRateHelperQuoteName(W212,Trigger),"")</f>
        <v/>
      </c>
      <c r="Y212" s="888" t="str">
        <f ca="1">IFERROR(_xll.qlRateHelperRate(W212,Trigger),"")</f>
        <v/>
      </c>
      <c r="Z212" s="887"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6" t="e">
        <f ca="1"/>
        <v>#NAME?</v>
      </c>
    </row>
    <row r="213" spans="1:29" x14ac:dyDescent="0.2">
      <c r="A213" s="873" t="s">
        <v>410</v>
      </c>
      <c r="B213" s="875" t="s">
        <v>42</v>
      </c>
      <c r="C213" s="874" t="s">
        <v>48</v>
      </c>
      <c r="D213" s="874" t="s">
        <v>323</v>
      </c>
      <c r="E213" s="874" t="s">
        <v>322</v>
      </c>
      <c r="F213" s="874" t="s">
        <v>221</v>
      </c>
      <c r="G213" s="874" t="str">
        <f t="shared" si="30"/>
        <v>Euribor6M</v>
      </c>
      <c r="H213" s="873" t="str">
        <f t="shared" si="31"/>
        <v>EUR8F14Y_Quote</v>
      </c>
      <c r="I213" s="876">
        <v>0</v>
      </c>
      <c r="J213" s="43"/>
      <c r="L213" s="894" t="str">
        <f t="shared" si="28"/>
        <v>FwdSw</v>
      </c>
      <c r="M213" s="890" t="str">
        <f t="shared" si="29"/>
        <v>--</v>
      </c>
      <c r="N213" s="893" t="str">
        <f ca="1">IFERROR(_xll.qlRateHelperQuoteName(M213,Trigger),"--")</f>
        <v>--</v>
      </c>
      <c r="O213" s="892" t="str">
        <f ca="1">IFERROR(_xll.qlRateHelperQuoteValue($M213,Trigger),"--")</f>
        <v>--</v>
      </c>
      <c r="P213" s="969" t="b">
        <v>0</v>
      </c>
      <c r="Q213" s="890">
        <v>50</v>
      </c>
      <c r="R213" s="890">
        <v>1</v>
      </c>
      <c r="S213" s="889" t="str">
        <f ca="1">IFERROR(_xll.qlRateHelperEarliestDate(M213,Trigger),"--")</f>
        <v>--</v>
      </c>
      <c r="T213" s="889" t="str">
        <f ca="1">IFERROR(_xll.qlRateHelperPillarDate(M213,Trigger),"--")</f>
        <v>--</v>
      </c>
      <c r="V213" s="4" t="str">
        <f t="shared" ca="1" si="27"/>
        <v/>
      </c>
      <c r="W213" s="4" t="e">
        <f ca="1"/>
        <v>#NAME?</v>
      </c>
      <c r="X213" s="4" t="str">
        <f ca="1">IFERROR(_xll.qlRateHelperQuoteName(W213,Trigger),"")</f>
        <v/>
      </c>
      <c r="Y213" s="888" t="str">
        <f ca="1">IFERROR(_xll.qlRateHelperRate(W213,Trigger),"")</f>
        <v/>
      </c>
      <c r="Z213" s="887"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6" t="e">
        <f ca="1"/>
        <v>#NAME?</v>
      </c>
    </row>
    <row r="214" spans="1:29" x14ac:dyDescent="0.2">
      <c r="A214" s="873" t="s">
        <v>410</v>
      </c>
      <c r="B214" s="875" t="s">
        <v>41</v>
      </c>
      <c r="C214" s="874" t="s">
        <v>48</v>
      </c>
      <c r="D214" s="874" t="s">
        <v>323</v>
      </c>
      <c r="E214" s="874" t="s">
        <v>322</v>
      </c>
      <c r="F214" s="874" t="s">
        <v>221</v>
      </c>
      <c r="G214" s="874" t="str">
        <f t="shared" si="30"/>
        <v>Euribor6M</v>
      </c>
      <c r="H214" s="873" t="str">
        <f t="shared" si="31"/>
        <v>EUR8F15Y_Quote</v>
      </c>
      <c r="I214" s="876">
        <v>0</v>
      </c>
      <c r="J214" s="43"/>
      <c r="L214" s="894" t="str">
        <f t="shared" si="28"/>
        <v>FwdSw</v>
      </c>
      <c r="M214" s="890" t="str">
        <f t="shared" si="29"/>
        <v>--</v>
      </c>
      <c r="N214" s="893" t="str">
        <f ca="1">IFERROR(_xll.qlRateHelperQuoteName(M214,Trigger),"--")</f>
        <v>--</v>
      </c>
      <c r="O214" s="892" t="str">
        <f ca="1">IFERROR(_xll.qlRateHelperQuoteValue($M214,Trigger),"--")</f>
        <v>--</v>
      </c>
      <c r="P214" s="969" t="b">
        <v>0</v>
      </c>
      <c r="Q214" s="890">
        <v>50</v>
      </c>
      <c r="R214" s="890">
        <v>1</v>
      </c>
      <c r="S214" s="889" t="str">
        <f ca="1">IFERROR(_xll.qlRateHelperEarliestDate(M214,Trigger),"--")</f>
        <v>--</v>
      </c>
      <c r="T214" s="889" t="str">
        <f ca="1">IFERROR(_xll.qlRateHelperPillarDate(M214,Trigger),"--")</f>
        <v>--</v>
      </c>
      <c r="V214" s="4" t="str">
        <f t="shared" ca="1" si="27"/>
        <v/>
      </c>
      <c r="W214" s="4" t="e">
        <f ca="1"/>
        <v>#NAME?</v>
      </c>
      <c r="X214" s="4" t="str">
        <f ca="1">IFERROR(_xll.qlRateHelperQuoteName(W214,Trigger),"")</f>
        <v/>
      </c>
      <c r="Y214" s="888" t="str">
        <f ca="1">IFERROR(_xll.qlRateHelperRate(W214,Trigger),"")</f>
        <v/>
      </c>
      <c r="Z214" s="887"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6" t="e">
        <f ca="1"/>
        <v>#NAME?</v>
      </c>
    </row>
    <row r="215" spans="1:29" x14ac:dyDescent="0.2">
      <c r="A215" s="873" t="s">
        <v>410</v>
      </c>
      <c r="B215" s="875" t="s">
        <v>36</v>
      </c>
      <c r="C215" s="874" t="s">
        <v>48</v>
      </c>
      <c r="D215" s="874" t="s">
        <v>323</v>
      </c>
      <c r="E215" s="874" t="s">
        <v>322</v>
      </c>
      <c r="F215" s="874" t="s">
        <v>221</v>
      </c>
      <c r="G215" s="874" t="str">
        <f t="shared" si="30"/>
        <v>Euribor6M</v>
      </c>
      <c r="H215" s="873" t="str">
        <f t="shared" si="31"/>
        <v>EUR8F20Y_Quote</v>
      </c>
      <c r="I215" s="876">
        <v>0</v>
      </c>
      <c r="J215" s="43"/>
      <c r="L215" s="894" t="str">
        <f t="shared" si="28"/>
        <v>FwdSw</v>
      </c>
      <c r="M215" s="890" t="str">
        <f t="shared" si="29"/>
        <v>--</v>
      </c>
      <c r="N215" s="893" t="str">
        <f ca="1">IFERROR(_xll.qlRateHelperQuoteName(M215,Trigger),"--")</f>
        <v>--</v>
      </c>
      <c r="O215" s="892" t="str">
        <f ca="1">IFERROR(_xll.qlRateHelperQuoteValue($M215,Trigger),"--")</f>
        <v>--</v>
      </c>
      <c r="P215" s="969" t="b">
        <v>0</v>
      </c>
      <c r="Q215" s="890">
        <v>50</v>
      </c>
      <c r="R215" s="890">
        <v>1</v>
      </c>
      <c r="S215" s="889" t="str">
        <f ca="1">IFERROR(_xll.qlRateHelperEarliestDate(M215,Trigger),"--")</f>
        <v>--</v>
      </c>
      <c r="T215" s="889" t="str">
        <f ca="1">IFERROR(_xll.qlRateHelperPillarDate(M215,Trigger),"--")</f>
        <v>--</v>
      </c>
      <c r="V215" s="4" t="str">
        <f t="shared" ca="1" si="27"/>
        <v/>
      </c>
      <c r="W215" s="4" t="e">
        <f ca="1"/>
        <v>#NAME?</v>
      </c>
      <c r="X215" s="4" t="str">
        <f ca="1">IFERROR(_xll.qlRateHelperQuoteName(W215,Trigger),"")</f>
        <v/>
      </c>
      <c r="Y215" s="888" t="str">
        <f ca="1">IFERROR(_xll.qlRateHelperRate(W215,Trigger),"")</f>
        <v/>
      </c>
      <c r="Z215" s="887"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6" t="e">
        <f ca="1"/>
        <v>#NAME?</v>
      </c>
    </row>
    <row r="216" spans="1:29" x14ac:dyDescent="0.2">
      <c r="A216" s="873" t="s">
        <v>410</v>
      </c>
      <c r="B216" s="875" t="s">
        <v>31</v>
      </c>
      <c r="C216" s="874" t="s">
        <v>48</v>
      </c>
      <c r="D216" s="874" t="s">
        <v>323</v>
      </c>
      <c r="E216" s="874" t="s">
        <v>322</v>
      </c>
      <c r="F216" s="874" t="s">
        <v>221</v>
      </c>
      <c r="G216" s="874" t="str">
        <f t="shared" si="30"/>
        <v>Euribor6M</v>
      </c>
      <c r="H216" s="873" t="str">
        <f t="shared" si="31"/>
        <v>EUR8F25Y_Quote</v>
      </c>
      <c r="I216" s="876">
        <v>0</v>
      </c>
      <c r="J216" s="43"/>
      <c r="L216" s="894" t="str">
        <f t="shared" si="28"/>
        <v>FwdSw</v>
      </c>
      <c r="M216" s="890" t="str">
        <f t="shared" si="29"/>
        <v>--</v>
      </c>
      <c r="N216" s="893" t="str">
        <f ca="1">IFERROR(_xll.qlRateHelperQuoteName(M216,Trigger),"--")</f>
        <v>--</v>
      </c>
      <c r="O216" s="892" t="str">
        <f ca="1">IFERROR(_xll.qlRateHelperQuoteValue($M216,Trigger),"--")</f>
        <v>--</v>
      </c>
      <c r="P216" s="969" t="b">
        <v>0</v>
      </c>
      <c r="Q216" s="890">
        <v>50</v>
      </c>
      <c r="R216" s="890">
        <v>1</v>
      </c>
      <c r="S216" s="889" t="str">
        <f ca="1">IFERROR(_xll.qlRateHelperEarliestDate(M216,Trigger),"--")</f>
        <v>--</v>
      </c>
      <c r="T216" s="889" t="str">
        <f ca="1">IFERROR(_xll.qlRateHelperPillarDate(M216,Trigger),"--")</f>
        <v>--</v>
      </c>
      <c r="V216" s="4" t="str">
        <f t="shared" ca="1" si="27"/>
        <v/>
      </c>
      <c r="W216" s="4" t="e">
        <f ca="1"/>
        <v>#NAME?</v>
      </c>
      <c r="X216" s="4" t="str">
        <f ca="1">IFERROR(_xll.qlRateHelperQuoteName(W216,Trigger),"")</f>
        <v/>
      </c>
      <c r="Y216" s="888" t="str">
        <f ca="1">IFERROR(_xll.qlRateHelperRate(W216,Trigger),"")</f>
        <v/>
      </c>
      <c r="Z216" s="887"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6" t="e">
        <f ca="1"/>
        <v>#NAME?</v>
      </c>
    </row>
    <row r="217" spans="1:29" x14ac:dyDescent="0.2">
      <c r="A217" s="869" t="s">
        <v>410</v>
      </c>
      <c r="B217" s="871" t="s">
        <v>26</v>
      </c>
      <c r="C217" s="870" t="s">
        <v>48</v>
      </c>
      <c r="D217" s="870" t="s">
        <v>323</v>
      </c>
      <c r="E217" s="870" t="s">
        <v>322</v>
      </c>
      <c r="F217" s="870" t="s">
        <v>221</v>
      </c>
      <c r="G217" s="870" t="str">
        <f t="shared" si="30"/>
        <v>Euribor6M</v>
      </c>
      <c r="H217" s="869" t="str">
        <f t="shared" si="31"/>
        <v>EUR8F30Y_Quote</v>
      </c>
      <c r="I217" s="984">
        <v>0</v>
      </c>
      <c r="J217" s="38"/>
      <c r="L217" s="894" t="str">
        <f t="shared" si="28"/>
        <v>FwdSw</v>
      </c>
      <c r="M217" s="890" t="str">
        <f t="shared" si="29"/>
        <v>--</v>
      </c>
      <c r="N217" s="893" t="str">
        <f ca="1">IFERROR(_xll.qlRateHelperQuoteName(M217,Trigger),"--")</f>
        <v>--</v>
      </c>
      <c r="O217" s="892" t="str">
        <f ca="1">IFERROR(_xll.qlRateHelperQuoteValue($M217,Trigger),"--")</f>
        <v>--</v>
      </c>
      <c r="P217" s="969" t="b">
        <v>0</v>
      </c>
      <c r="Q217" s="890">
        <v>50</v>
      </c>
      <c r="R217" s="890">
        <v>1</v>
      </c>
      <c r="S217" s="889" t="str">
        <f ca="1">IFERROR(_xll.qlRateHelperEarliestDate(M217,Trigger),"--")</f>
        <v>--</v>
      </c>
      <c r="T217" s="889" t="str">
        <f ca="1">IFERROR(_xll.qlRateHelperPillarDate(M217,Trigger),"--")</f>
        <v>--</v>
      </c>
      <c r="V217" s="4" t="str">
        <f t="shared" ca="1" si="27"/>
        <v/>
      </c>
      <c r="W217" s="4" t="e">
        <f ca="1"/>
        <v>#NAME?</v>
      </c>
      <c r="X217" s="4" t="str">
        <f ca="1">IFERROR(_xll.qlRateHelperQuoteName(W217,Trigger),"")</f>
        <v/>
      </c>
      <c r="Y217" s="888" t="str">
        <f ca="1">IFERROR(_xll.qlRateHelperRate(W217,Trigger),"")</f>
        <v/>
      </c>
      <c r="Z217" s="887"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6" t="e">
        <f ca="1"/>
        <v>#NAME?</v>
      </c>
    </row>
    <row r="218" spans="1:29" x14ac:dyDescent="0.2">
      <c r="A218" s="873" t="s">
        <v>410</v>
      </c>
      <c r="B218" s="875" t="s">
        <v>58</v>
      </c>
      <c r="C218" s="874" t="s">
        <v>47</v>
      </c>
      <c r="D218" s="874" t="s">
        <v>323</v>
      </c>
      <c r="E218" s="874" t="s">
        <v>322</v>
      </c>
      <c r="F218" s="874" t="s">
        <v>221</v>
      </c>
      <c r="G218" s="874" t="str">
        <f t="shared" si="30"/>
        <v>Euribor6M</v>
      </c>
      <c r="H218" s="873" t="str">
        <f t="shared" si="31"/>
        <v>EUR9F1Y_Quote</v>
      </c>
      <c r="I218" s="876">
        <v>0</v>
      </c>
      <c r="J218" s="43"/>
      <c r="L218" s="894" t="str">
        <f t="shared" si="28"/>
        <v>FwdSw</v>
      </c>
      <c r="M218" s="890" t="str">
        <f t="shared" si="29"/>
        <v>--</v>
      </c>
      <c r="N218" s="893" t="str">
        <f ca="1">IFERROR(_xll.qlRateHelperQuoteName(M218,Trigger),"--")</f>
        <v>--</v>
      </c>
      <c r="O218" s="892" t="str">
        <f ca="1">IFERROR(_xll.qlRateHelperQuoteValue($M218,Trigger),"--")</f>
        <v>--</v>
      </c>
      <c r="P218" s="969" t="b">
        <v>0</v>
      </c>
      <c r="Q218" s="890">
        <v>50</v>
      </c>
      <c r="R218" s="890">
        <v>1</v>
      </c>
      <c r="S218" s="889" t="str">
        <f ca="1">IFERROR(_xll.qlRateHelperEarliestDate(M218,Trigger),"--")</f>
        <v>--</v>
      </c>
      <c r="T218" s="889" t="str">
        <f ca="1">IFERROR(_xll.qlRateHelperPillarDate(M218,Trigger),"--")</f>
        <v>--</v>
      </c>
      <c r="V218" s="4" t="str">
        <f t="shared" ca="1" si="27"/>
        <v/>
      </c>
      <c r="W218" s="4" t="e">
        <f ca="1"/>
        <v>#NAME?</v>
      </c>
      <c r="X218" s="4" t="str">
        <f ca="1">IFERROR(_xll.qlRateHelperQuoteName(W218,Trigger),"")</f>
        <v/>
      </c>
      <c r="Y218" s="888" t="str">
        <f ca="1">IFERROR(_xll.qlRateHelperRate(W218,Trigger),"")</f>
        <v/>
      </c>
      <c r="Z218" s="887"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6" t="e">
        <f ca="1"/>
        <v>#NAME?</v>
      </c>
    </row>
    <row r="219" spans="1:29" x14ac:dyDescent="0.2">
      <c r="A219" s="873" t="s">
        <v>410</v>
      </c>
      <c r="B219" s="875" t="s">
        <v>54</v>
      </c>
      <c r="C219" s="874" t="s">
        <v>47</v>
      </c>
      <c r="D219" s="874" t="s">
        <v>323</v>
      </c>
      <c r="E219" s="874" t="s">
        <v>322</v>
      </c>
      <c r="F219" s="874" t="s">
        <v>221</v>
      </c>
      <c r="G219" s="874" t="str">
        <f t="shared" si="30"/>
        <v>Euribor6M</v>
      </c>
      <c r="H219" s="873" t="str">
        <f t="shared" si="31"/>
        <v>EUR9F2Y_Quote</v>
      </c>
      <c r="I219" s="876">
        <v>0</v>
      </c>
      <c r="J219" s="43"/>
      <c r="L219" s="894" t="str">
        <f t="shared" si="28"/>
        <v>FwdSw</v>
      </c>
      <c r="M219" s="890" t="str">
        <f t="shared" si="29"/>
        <v>--</v>
      </c>
      <c r="N219" s="893" t="str">
        <f ca="1">IFERROR(_xll.qlRateHelperQuoteName(M219,Trigger),"--")</f>
        <v>--</v>
      </c>
      <c r="O219" s="892" t="str">
        <f ca="1">IFERROR(_xll.qlRateHelperQuoteValue($M219,Trigger),"--")</f>
        <v>--</v>
      </c>
      <c r="P219" s="969" t="b">
        <v>0</v>
      </c>
      <c r="Q219" s="890">
        <v>50</v>
      </c>
      <c r="R219" s="890">
        <v>1</v>
      </c>
      <c r="S219" s="889" t="str">
        <f ca="1">IFERROR(_xll.qlRateHelperEarliestDate(M219,Trigger),"--")</f>
        <v>--</v>
      </c>
      <c r="T219" s="889" t="str">
        <f ca="1">IFERROR(_xll.qlRateHelperPillarDate(M219,Trigger),"--")</f>
        <v>--</v>
      </c>
      <c r="V219" s="4" t="str">
        <f t="shared" ca="1" si="27"/>
        <v/>
      </c>
      <c r="W219" s="4" t="e">
        <f ca="1"/>
        <v>#NAME?</v>
      </c>
      <c r="X219" s="4" t="str">
        <f ca="1">IFERROR(_xll.qlRateHelperQuoteName(W219,Trigger),"")</f>
        <v/>
      </c>
      <c r="Y219" s="888" t="str">
        <f ca="1">IFERROR(_xll.qlRateHelperRate(W219,Trigger),"")</f>
        <v/>
      </c>
      <c r="Z219" s="887"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6" t="e">
        <f ca="1"/>
        <v>#NAME?</v>
      </c>
    </row>
    <row r="220" spans="1:29" x14ac:dyDescent="0.2">
      <c r="A220" s="873" t="s">
        <v>410</v>
      </c>
      <c r="B220" s="875" t="s">
        <v>53</v>
      </c>
      <c r="C220" s="874" t="s">
        <v>47</v>
      </c>
      <c r="D220" s="874" t="s">
        <v>323</v>
      </c>
      <c r="E220" s="874" t="s">
        <v>322</v>
      </c>
      <c r="F220" s="874" t="s">
        <v>221</v>
      </c>
      <c r="G220" s="874" t="str">
        <f t="shared" si="30"/>
        <v>Euribor6M</v>
      </c>
      <c r="H220" s="873" t="str">
        <f t="shared" si="31"/>
        <v>EUR9F3Y_Quote</v>
      </c>
      <c r="I220" s="876">
        <v>0</v>
      </c>
      <c r="J220" s="43"/>
      <c r="L220" s="894" t="str">
        <f t="shared" si="28"/>
        <v>FwdSw</v>
      </c>
      <c r="M220" s="890" t="str">
        <f t="shared" si="29"/>
        <v>--</v>
      </c>
      <c r="N220" s="893" t="str">
        <f ca="1">IFERROR(_xll.qlRateHelperQuoteName(M220,Trigger),"--")</f>
        <v>--</v>
      </c>
      <c r="O220" s="892" t="str">
        <f ca="1">IFERROR(_xll.qlRateHelperQuoteValue($M220,Trigger),"--")</f>
        <v>--</v>
      </c>
      <c r="P220" s="969" t="b">
        <v>0</v>
      </c>
      <c r="Q220" s="890">
        <v>50</v>
      </c>
      <c r="R220" s="890">
        <v>1</v>
      </c>
      <c r="S220" s="889" t="str">
        <f ca="1">IFERROR(_xll.qlRateHelperEarliestDate(M220,Trigger),"--")</f>
        <v>--</v>
      </c>
      <c r="T220" s="889" t="str">
        <f ca="1">IFERROR(_xll.qlRateHelperPillarDate(M220,Trigger),"--")</f>
        <v>--</v>
      </c>
      <c r="V220" s="4" t="str">
        <f t="shared" ca="1" si="27"/>
        <v/>
      </c>
      <c r="W220" s="4" t="e">
        <f ca="1"/>
        <v>#NAME?</v>
      </c>
      <c r="X220" s="4" t="str">
        <f ca="1">IFERROR(_xll.qlRateHelperQuoteName(W220,Trigger),"")</f>
        <v/>
      </c>
      <c r="Y220" s="888" t="str">
        <f ca="1">IFERROR(_xll.qlRateHelperRate(W220,Trigger),"")</f>
        <v/>
      </c>
      <c r="Z220" s="887"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6" t="e">
        <f ca="1"/>
        <v>#NAME?</v>
      </c>
    </row>
    <row r="221" spans="1:29" x14ac:dyDescent="0.2">
      <c r="A221" s="873" t="s">
        <v>410</v>
      </c>
      <c r="B221" s="875" t="s">
        <v>52</v>
      </c>
      <c r="C221" s="874" t="s">
        <v>47</v>
      </c>
      <c r="D221" s="874" t="s">
        <v>323</v>
      </c>
      <c r="E221" s="874" t="s">
        <v>322</v>
      </c>
      <c r="F221" s="874" t="s">
        <v>221</v>
      </c>
      <c r="G221" s="874" t="str">
        <f t="shared" si="30"/>
        <v>Euribor6M</v>
      </c>
      <c r="H221" s="873" t="str">
        <f t="shared" si="31"/>
        <v>EUR9F4Y_Quote</v>
      </c>
      <c r="I221" s="876">
        <v>0</v>
      </c>
      <c r="J221" s="43"/>
      <c r="L221" s="894" t="str">
        <f t="shared" si="28"/>
        <v>FwdSw</v>
      </c>
      <c r="M221" s="890" t="str">
        <f t="shared" si="29"/>
        <v>--</v>
      </c>
      <c r="N221" s="893" t="str">
        <f ca="1">IFERROR(_xll.qlRateHelperQuoteName(M221,Trigger),"--")</f>
        <v>--</v>
      </c>
      <c r="O221" s="892" t="str">
        <f ca="1">IFERROR(_xll.qlRateHelperQuoteValue($M221,Trigger),"--")</f>
        <v>--</v>
      </c>
      <c r="P221" s="969" t="b">
        <v>0</v>
      </c>
      <c r="Q221" s="890">
        <v>50</v>
      </c>
      <c r="R221" s="890">
        <v>1</v>
      </c>
      <c r="S221" s="889" t="str">
        <f ca="1">IFERROR(_xll.qlRateHelperEarliestDate(M221,Trigger),"--")</f>
        <v>--</v>
      </c>
      <c r="T221" s="889" t="str">
        <f ca="1">IFERROR(_xll.qlRateHelperPillarDate(M221,Trigger),"--")</f>
        <v>--</v>
      </c>
      <c r="V221" s="4" t="str">
        <f t="shared" ca="1" si="27"/>
        <v/>
      </c>
      <c r="W221" s="4" t="e">
        <f ca="1"/>
        <v>#NAME?</v>
      </c>
      <c r="X221" s="4" t="str">
        <f ca="1">IFERROR(_xll.qlRateHelperQuoteName(W221,Trigger),"")</f>
        <v/>
      </c>
      <c r="Y221" s="888" t="str">
        <f ca="1">IFERROR(_xll.qlRateHelperRate(W221,Trigger),"")</f>
        <v/>
      </c>
      <c r="Z221" s="887"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6" t="e">
        <f ca="1"/>
        <v>#NAME?</v>
      </c>
    </row>
    <row r="222" spans="1:29" x14ac:dyDescent="0.2">
      <c r="A222" s="873" t="s">
        <v>410</v>
      </c>
      <c r="B222" s="875" t="s">
        <v>51</v>
      </c>
      <c r="C222" s="874" t="s">
        <v>47</v>
      </c>
      <c r="D222" s="874" t="s">
        <v>323</v>
      </c>
      <c r="E222" s="874" t="s">
        <v>322</v>
      </c>
      <c r="F222" s="874" t="s">
        <v>221</v>
      </c>
      <c r="G222" s="874" t="str">
        <f t="shared" si="30"/>
        <v>Euribor6M</v>
      </c>
      <c r="H222" s="873" t="str">
        <f t="shared" si="31"/>
        <v>EUR9F5Y_Quote</v>
      </c>
      <c r="I222" s="876">
        <v>0</v>
      </c>
      <c r="J222" s="43"/>
      <c r="L222" s="894" t="str">
        <f t="shared" si="28"/>
        <v>FwdSw</v>
      </c>
      <c r="M222" s="890" t="str">
        <f t="shared" si="29"/>
        <v>--</v>
      </c>
      <c r="N222" s="893" t="str">
        <f ca="1">IFERROR(_xll.qlRateHelperQuoteName(M222,Trigger),"--")</f>
        <v>--</v>
      </c>
      <c r="O222" s="892" t="str">
        <f ca="1">IFERROR(_xll.qlRateHelperQuoteValue($M222,Trigger),"--")</f>
        <v>--</v>
      </c>
      <c r="P222" s="969" t="b">
        <v>0</v>
      </c>
      <c r="Q222" s="890">
        <v>50</v>
      </c>
      <c r="R222" s="890">
        <v>1</v>
      </c>
      <c r="S222" s="889" t="str">
        <f ca="1">IFERROR(_xll.qlRateHelperEarliestDate(M222,Trigger),"--")</f>
        <v>--</v>
      </c>
      <c r="T222" s="889" t="str">
        <f ca="1">IFERROR(_xll.qlRateHelperPillarDate(M222,Trigger),"--")</f>
        <v>--</v>
      </c>
      <c r="V222" s="4" t="str">
        <f t="shared" ca="1" si="27"/>
        <v/>
      </c>
      <c r="W222" s="4" t="e">
        <f ca="1"/>
        <v>#NAME?</v>
      </c>
      <c r="X222" s="4" t="str">
        <f ca="1">IFERROR(_xll.qlRateHelperQuoteName(W222,Trigger),"")</f>
        <v/>
      </c>
      <c r="Y222" s="888" t="str">
        <f ca="1">IFERROR(_xll.qlRateHelperRate(W222,Trigger),"")</f>
        <v/>
      </c>
      <c r="Z222" s="887"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6" t="e">
        <f ca="1"/>
        <v>#NAME?</v>
      </c>
    </row>
    <row r="223" spans="1:29" x14ac:dyDescent="0.2">
      <c r="A223" s="873" t="s">
        <v>410</v>
      </c>
      <c r="B223" s="875" t="s">
        <v>50</v>
      </c>
      <c r="C223" s="874" t="s">
        <v>47</v>
      </c>
      <c r="D223" s="874" t="s">
        <v>323</v>
      </c>
      <c r="E223" s="874" t="s">
        <v>322</v>
      </c>
      <c r="F223" s="874" t="s">
        <v>221</v>
      </c>
      <c r="G223" s="874" t="str">
        <f t="shared" si="30"/>
        <v>Euribor6M</v>
      </c>
      <c r="H223" s="873" t="str">
        <f t="shared" si="31"/>
        <v>EUR9F6Y_Quote</v>
      </c>
      <c r="I223" s="876">
        <v>0</v>
      </c>
      <c r="J223" s="43"/>
      <c r="L223" s="894" t="str">
        <f t="shared" si="28"/>
        <v>FwdSw</v>
      </c>
      <c r="M223" s="890" t="str">
        <f t="shared" si="29"/>
        <v>--</v>
      </c>
      <c r="N223" s="893" t="str">
        <f ca="1">IFERROR(_xll.qlRateHelperQuoteName(M223,Trigger),"--")</f>
        <v>--</v>
      </c>
      <c r="O223" s="892" t="str">
        <f ca="1">IFERROR(_xll.qlRateHelperQuoteValue($M223,Trigger),"--")</f>
        <v>--</v>
      </c>
      <c r="P223" s="969" t="b">
        <v>0</v>
      </c>
      <c r="Q223" s="890">
        <v>50</v>
      </c>
      <c r="R223" s="890">
        <v>1</v>
      </c>
      <c r="S223" s="889" t="str">
        <f ca="1">IFERROR(_xll.qlRateHelperEarliestDate(M223,Trigger),"--")</f>
        <v>--</v>
      </c>
      <c r="T223" s="889" t="str">
        <f ca="1">IFERROR(_xll.qlRateHelperPillarDate(M223,Trigger),"--")</f>
        <v>--</v>
      </c>
      <c r="V223" s="4" t="str">
        <f t="shared" ca="1" si="27"/>
        <v/>
      </c>
      <c r="W223" s="4" t="e">
        <f ca="1"/>
        <v>#NAME?</v>
      </c>
      <c r="X223" s="4" t="str">
        <f ca="1">IFERROR(_xll.qlRateHelperQuoteName(W223,Trigger),"")</f>
        <v/>
      </c>
      <c r="Y223" s="888" t="str">
        <f ca="1">IFERROR(_xll.qlRateHelperRate(W223,Trigger),"")</f>
        <v/>
      </c>
      <c r="Z223" s="887"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6" t="e">
        <f ca="1"/>
        <v>#NAME?</v>
      </c>
    </row>
    <row r="224" spans="1:29" x14ac:dyDescent="0.2">
      <c r="A224" s="873" t="s">
        <v>410</v>
      </c>
      <c r="B224" s="875" t="s">
        <v>49</v>
      </c>
      <c r="C224" s="874" t="s">
        <v>47</v>
      </c>
      <c r="D224" s="874" t="s">
        <v>323</v>
      </c>
      <c r="E224" s="874" t="s">
        <v>322</v>
      </c>
      <c r="F224" s="874" t="s">
        <v>221</v>
      </c>
      <c r="G224" s="874" t="str">
        <f t="shared" si="30"/>
        <v>Euribor6M</v>
      </c>
      <c r="H224" s="873" t="str">
        <f t="shared" si="31"/>
        <v>EUR9F7Y_Quote</v>
      </c>
      <c r="I224" s="876">
        <v>0</v>
      </c>
      <c r="J224" s="43"/>
      <c r="L224" s="894" t="str">
        <f t="shared" si="28"/>
        <v>FwdSw</v>
      </c>
      <c r="M224" s="890" t="str">
        <f t="shared" si="29"/>
        <v>--</v>
      </c>
      <c r="N224" s="893" t="str">
        <f ca="1">IFERROR(_xll.qlRateHelperQuoteName(M224,Trigger),"--")</f>
        <v>--</v>
      </c>
      <c r="O224" s="892" t="str">
        <f ca="1">IFERROR(_xll.qlRateHelperQuoteValue($M224,Trigger),"--")</f>
        <v>--</v>
      </c>
      <c r="P224" s="969" t="b">
        <v>0</v>
      </c>
      <c r="Q224" s="890">
        <v>50</v>
      </c>
      <c r="R224" s="890">
        <v>1</v>
      </c>
      <c r="S224" s="889" t="str">
        <f ca="1">IFERROR(_xll.qlRateHelperEarliestDate(M224,Trigger),"--")</f>
        <v>--</v>
      </c>
      <c r="T224" s="889" t="str">
        <f ca="1">IFERROR(_xll.qlRateHelperPillarDate(M224,Trigger),"--")</f>
        <v>--</v>
      </c>
      <c r="V224" s="4" t="str">
        <f t="shared" ca="1" si="27"/>
        <v/>
      </c>
      <c r="W224" s="4" t="e">
        <f ca="1"/>
        <v>#NAME?</v>
      </c>
      <c r="X224" s="4" t="str">
        <f ca="1">IFERROR(_xll.qlRateHelperQuoteName(W224,Trigger),"")</f>
        <v/>
      </c>
      <c r="Y224" s="888" t="str">
        <f ca="1">IFERROR(_xll.qlRateHelperRate(W224,Trigger),"")</f>
        <v/>
      </c>
      <c r="Z224" s="887"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6" t="e">
        <f ca="1"/>
        <v>#NAME?</v>
      </c>
    </row>
    <row r="225" spans="1:29" x14ac:dyDescent="0.2">
      <c r="A225" s="873" t="s">
        <v>410</v>
      </c>
      <c r="B225" s="875" t="s">
        <v>48</v>
      </c>
      <c r="C225" s="874" t="s">
        <v>47</v>
      </c>
      <c r="D225" s="874" t="s">
        <v>323</v>
      </c>
      <c r="E225" s="874" t="s">
        <v>322</v>
      </c>
      <c r="F225" s="874" t="s">
        <v>221</v>
      </c>
      <c r="G225" s="874" t="str">
        <f t="shared" si="30"/>
        <v>Euribor6M</v>
      </c>
      <c r="H225" s="873" t="str">
        <f t="shared" si="31"/>
        <v>EUR9F8Y_Quote</v>
      </c>
      <c r="I225" s="876">
        <v>0</v>
      </c>
      <c r="J225" s="43"/>
      <c r="L225" s="894" t="str">
        <f t="shared" si="28"/>
        <v>FwdSw</v>
      </c>
      <c r="M225" s="890" t="str">
        <f t="shared" si="29"/>
        <v>--</v>
      </c>
      <c r="N225" s="893" t="str">
        <f ca="1">IFERROR(_xll.qlRateHelperQuoteName(M225,Trigger),"--")</f>
        <v>--</v>
      </c>
      <c r="O225" s="892" t="str">
        <f ca="1">IFERROR(_xll.qlRateHelperQuoteValue($M225,Trigger),"--")</f>
        <v>--</v>
      </c>
      <c r="P225" s="969" t="b">
        <v>0</v>
      </c>
      <c r="Q225" s="890">
        <v>50</v>
      </c>
      <c r="R225" s="890">
        <v>1</v>
      </c>
      <c r="S225" s="889" t="str">
        <f ca="1">IFERROR(_xll.qlRateHelperEarliestDate(M225,Trigger),"--")</f>
        <v>--</v>
      </c>
      <c r="T225" s="889" t="str">
        <f ca="1">IFERROR(_xll.qlRateHelperPillarDate(M225,Trigger),"--")</f>
        <v>--</v>
      </c>
      <c r="V225" s="4" t="str">
        <f t="shared" ca="1" si="27"/>
        <v/>
      </c>
      <c r="W225" s="4" t="e">
        <f ca="1"/>
        <v>#NAME?</v>
      </c>
      <c r="X225" s="4" t="str">
        <f ca="1">IFERROR(_xll.qlRateHelperQuoteName(W225,Trigger),"")</f>
        <v/>
      </c>
      <c r="Y225" s="888" t="str">
        <f ca="1">IFERROR(_xll.qlRateHelperRate(W225,Trigger),"")</f>
        <v/>
      </c>
      <c r="Z225" s="887"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6" t="e">
        <f ca="1"/>
        <v>#NAME?</v>
      </c>
    </row>
    <row r="226" spans="1:29" x14ac:dyDescent="0.2">
      <c r="A226" s="873" t="s">
        <v>410</v>
      </c>
      <c r="B226" s="875" t="s">
        <v>47</v>
      </c>
      <c r="C226" s="874" t="s">
        <v>47</v>
      </c>
      <c r="D226" s="874" t="s">
        <v>323</v>
      </c>
      <c r="E226" s="874" t="s">
        <v>322</v>
      </c>
      <c r="F226" s="874" t="s">
        <v>221</v>
      </c>
      <c r="G226" s="874" t="str">
        <f t="shared" si="30"/>
        <v>Euribor6M</v>
      </c>
      <c r="H226" s="873" t="str">
        <f t="shared" si="31"/>
        <v>EUR9F9Y_Quote</v>
      </c>
      <c r="I226" s="876">
        <v>0</v>
      </c>
      <c r="J226" s="43"/>
      <c r="L226" s="894" t="str">
        <f t="shared" si="28"/>
        <v>FwdSw</v>
      </c>
      <c r="M226" s="890" t="str">
        <f t="shared" si="29"/>
        <v>--</v>
      </c>
      <c r="N226" s="893" t="str">
        <f ca="1">IFERROR(_xll.qlRateHelperQuoteName(M226,Trigger),"--")</f>
        <v>--</v>
      </c>
      <c r="O226" s="892" t="str">
        <f ca="1">IFERROR(_xll.qlRateHelperQuoteValue($M226,Trigger),"--")</f>
        <v>--</v>
      </c>
      <c r="P226" s="969" t="b">
        <v>0</v>
      </c>
      <c r="Q226" s="890">
        <v>50</v>
      </c>
      <c r="R226" s="890">
        <v>1</v>
      </c>
      <c r="S226" s="889" t="str">
        <f ca="1">IFERROR(_xll.qlRateHelperEarliestDate(M226,Trigger),"--")</f>
        <v>--</v>
      </c>
      <c r="T226" s="889" t="str">
        <f ca="1">IFERROR(_xll.qlRateHelperPillarDate(M226,Trigger),"--")</f>
        <v>--</v>
      </c>
      <c r="V226" s="4" t="str">
        <f t="shared" ca="1" si="27"/>
        <v/>
      </c>
      <c r="W226" s="4" t="e">
        <f ca="1"/>
        <v>#NAME?</v>
      </c>
      <c r="X226" s="4" t="str">
        <f ca="1">IFERROR(_xll.qlRateHelperQuoteName(W226,Trigger),"")</f>
        <v/>
      </c>
      <c r="Y226" s="888" t="str">
        <f ca="1">IFERROR(_xll.qlRateHelperRate(W226,Trigger),"")</f>
        <v/>
      </c>
      <c r="Z226" s="887"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6" t="e">
        <f ca="1"/>
        <v>#NAME?</v>
      </c>
    </row>
    <row r="227" spans="1:29" x14ac:dyDescent="0.2">
      <c r="A227" s="873" t="s">
        <v>410</v>
      </c>
      <c r="B227" s="875" t="s">
        <v>46</v>
      </c>
      <c r="C227" s="874" t="s">
        <v>47</v>
      </c>
      <c r="D227" s="874" t="s">
        <v>323</v>
      </c>
      <c r="E227" s="874" t="s">
        <v>322</v>
      </c>
      <c r="F227" s="874" t="s">
        <v>221</v>
      </c>
      <c r="G227" s="874" t="str">
        <f t="shared" si="30"/>
        <v>Euribor6M</v>
      </c>
      <c r="H227" s="873" t="str">
        <f t="shared" si="31"/>
        <v>EUR9F10Y_Quote</v>
      </c>
      <c r="I227" s="876">
        <v>0</v>
      </c>
      <c r="J227" s="43"/>
      <c r="L227" s="894" t="str">
        <f t="shared" si="28"/>
        <v>FwdSw</v>
      </c>
      <c r="M227" s="890" t="str">
        <f t="shared" si="29"/>
        <v>--</v>
      </c>
      <c r="N227" s="893" t="str">
        <f ca="1">IFERROR(_xll.qlRateHelperQuoteName(M227,Trigger),"--")</f>
        <v>--</v>
      </c>
      <c r="O227" s="892" t="str">
        <f ca="1">IFERROR(_xll.qlRateHelperQuoteValue($M227,Trigger),"--")</f>
        <v>--</v>
      </c>
      <c r="P227" s="969" t="b">
        <v>0</v>
      </c>
      <c r="Q227" s="890">
        <v>50</v>
      </c>
      <c r="R227" s="890">
        <v>1</v>
      </c>
      <c r="S227" s="889" t="str">
        <f ca="1">IFERROR(_xll.qlRateHelperEarliestDate(M227,Trigger),"--")</f>
        <v>--</v>
      </c>
      <c r="T227" s="889" t="str">
        <f ca="1">IFERROR(_xll.qlRateHelperPillarDate(M227,Trigger),"--")</f>
        <v>--</v>
      </c>
      <c r="V227" s="4" t="str">
        <f t="shared" ca="1" si="27"/>
        <v/>
      </c>
      <c r="W227" s="4" t="e">
        <f ca="1"/>
        <v>#NAME?</v>
      </c>
      <c r="X227" s="4" t="str">
        <f ca="1">IFERROR(_xll.qlRateHelperQuoteName(W227,Trigger),"")</f>
        <v/>
      </c>
      <c r="Y227" s="888" t="str">
        <f ca="1">IFERROR(_xll.qlRateHelperRate(W227,Trigger),"")</f>
        <v/>
      </c>
      <c r="Z227" s="887"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6" t="e">
        <f ca="1"/>
        <v>#NAME?</v>
      </c>
    </row>
    <row r="228" spans="1:29" x14ac:dyDescent="0.2">
      <c r="A228" s="873" t="s">
        <v>410</v>
      </c>
      <c r="B228" s="875" t="s">
        <v>45</v>
      </c>
      <c r="C228" s="874" t="s">
        <v>47</v>
      </c>
      <c r="D228" s="874" t="s">
        <v>323</v>
      </c>
      <c r="E228" s="874" t="s">
        <v>322</v>
      </c>
      <c r="F228" s="874" t="s">
        <v>221</v>
      </c>
      <c r="G228" s="874" t="str">
        <f t="shared" si="30"/>
        <v>Euribor6M</v>
      </c>
      <c r="H228" s="873" t="str">
        <f t="shared" si="31"/>
        <v>EUR9F11Y_Quote</v>
      </c>
      <c r="I228" s="876">
        <v>0</v>
      </c>
      <c r="J228" s="43"/>
      <c r="L228" s="894" t="str">
        <f t="shared" si="28"/>
        <v>FwdSw</v>
      </c>
      <c r="M228" s="890" t="str">
        <f t="shared" si="29"/>
        <v>--</v>
      </c>
      <c r="N228" s="893" t="str">
        <f ca="1">IFERROR(_xll.qlRateHelperQuoteName(M228,Trigger),"--")</f>
        <v>--</v>
      </c>
      <c r="O228" s="892" t="str">
        <f ca="1">IFERROR(_xll.qlRateHelperQuoteValue($M228,Trigger),"--")</f>
        <v>--</v>
      </c>
      <c r="P228" s="969" t="b">
        <v>0</v>
      </c>
      <c r="Q228" s="890">
        <v>50</v>
      </c>
      <c r="R228" s="890">
        <v>1</v>
      </c>
      <c r="S228" s="889" t="str">
        <f ca="1">IFERROR(_xll.qlRateHelperEarliestDate(M228,Trigger),"--")</f>
        <v>--</v>
      </c>
      <c r="T228" s="889" t="str">
        <f ca="1">IFERROR(_xll.qlRateHelperPillarDate(M228,Trigger),"--")</f>
        <v>--</v>
      </c>
      <c r="V228" s="4" t="str">
        <f t="shared" ca="1" si="27"/>
        <v/>
      </c>
      <c r="W228" s="4" t="e">
        <f ca="1"/>
        <v>#NAME?</v>
      </c>
      <c r="X228" s="4" t="str">
        <f ca="1">IFERROR(_xll.qlRateHelperQuoteName(W228,Trigger),"")</f>
        <v/>
      </c>
      <c r="Y228" s="888" t="str">
        <f ca="1">IFERROR(_xll.qlRateHelperRate(W228,Trigger),"")</f>
        <v/>
      </c>
      <c r="Z228" s="887"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6" t="e">
        <f ca="1"/>
        <v>#NAME?</v>
      </c>
    </row>
    <row r="229" spans="1:29" x14ac:dyDescent="0.2">
      <c r="A229" s="873" t="s">
        <v>410</v>
      </c>
      <c r="B229" s="875" t="s">
        <v>44</v>
      </c>
      <c r="C229" s="874" t="s">
        <v>47</v>
      </c>
      <c r="D229" s="874" t="s">
        <v>323</v>
      </c>
      <c r="E229" s="874" t="s">
        <v>322</v>
      </c>
      <c r="F229" s="874" t="s">
        <v>221</v>
      </c>
      <c r="G229" s="874" t="str">
        <f t="shared" si="30"/>
        <v>Euribor6M</v>
      </c>
      <c r="H229" s="873" t="str">
        <f t="shared" si="31"/>
        <v>EUR9F12Y_Quote</v>
      </c>
      <c r="I229" s="876">
        <v>0</v>
      </c>
      <c r="J229" s="43"/>
      <c r="L229" s="894" t="str">
        <f t="shared" si="28"/>
        <v>FwdSw</v>
      </c>
      <c r="M229" s="890" t="str">
        <f t="shared" si="29"/>
        <v>--</v>
      </c>
      <c r="N229" s="893" t="str">
        <f ca="1">IFERROR(_xll.qlRateHelperQuoteName(M229,Trigger),"--")</f>
        <v>--</v>
      </c>
      <c r="O229" s="892" t="str">
        <f ca="1">IFERROR(_xll.qlRateHelperQuoteValue($M229,Trigger),"--")</f>
        <v>--</v>
      </c>
      <c r="P229" s="969" t="b">
        <v>0</v>
      </c>
      <c r="Q229" s="890">
        <v>50</v>
      </c>
      <c r="R229" s="890">
        <v>1</v>
      </c>
      <c r="S229" s="889" t="str">
        <f ca="1">IFERROR(_xll.qlRateHelperEarliestDate(M229,Trigger),"--")</f>
        <v>--</v>
      </c>
      <c r="T229" s="889" t="str">
        <f ca="1">IFERROR(_xll.qlRateHelperPillarDate(M229,Trigger),"--")</f>
        <v>--</v>
      </c>
      <c r="V229" s="4" t="str">
        <f t="shared" ca="1" si="27"/>
        <v/>
      </c>
      <c r="W229" s="4" t="e">
        <f ca="1"/>
        <v>#NAME?</v>
      </c>
      <c r="X229" s="4" t="str">
        <f ca="1">IFERROR(_xll.qlRateHelperQuoteName(W229,Trigger),"")</f>
        <v/>
      </c>
      <c r="Y229" s="888" t="str">
        <f ca="1">IFERROR(_xll.qlRateHelperRate(W229,Trigger),"")</f>
        <v/>
      </c>
      <c r="Z229" s="887"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6" t="e">
        <f ca="1"/>
        <v>#NAME?</v>
      </c>
    </row>
    <row r="230" spans="1:29" x14ac:dyDescent="0.2">
      <c r="A230" s="873" t="s">
        <v>410</v>
      </c>
      <c r="B230" s="875" t="s">
        <v>43</v>
      </c>
      <c r="C230" s="874" t="s">
        <v>47</v>
      </c>
      <c r="D230" s="874" t="s">
        <v>323</v>
      </c>
      <c r="E230" s="874" t="s">
        <v>322</v>
      </c>
      <c r="F230" s="874" t="s">
        <v>221</v>
      </c>
      <c r="G230" s="874" t="str">
        <f t="shared" si="30"/>
        <v>Euribor6M</v>
      </c>
      <c r="H230" s="873" t="str">
        <f t="shared" si="31"/>
        <v>EUR9F13Y_Quote</v>
      </c>
      <c r="I230" s="876">
        <v>0</v>
      </c>
      <c r="J230" s="43"/>
      <c r="L230" s="894" t="str">
        <f t="shared" si="28"/>
        <v>FwdSw</v>
      </c>
      <c r="M230" s="890" t="str">
        <f t="shared" si="29"/>
        <v>--</v>
      </c>
      <c r="N230" s="893" t="str">
        <f ca="1">IFERROR(_xll.qlRateHelperQuoteName(M230,Trigger),"--")</f>
        <v>--</v>
      </c>
      <c r="O230" s="892" t="str">
        <f ca="1">IFERROR(_xll.qlRateHelperQuoteValue($M230,Trigger),"--")</f>
        <v>--</v>
      </c>
      <c r="P230" s="969" t="b">
        <v>0</v>
      </c>
      <c r="Q230" s="890">
        <v>50</v>
      </c>
      <c r="R230" s="890">
        <v>1</v>
      </c>
      <c r="S230" s="889" t="str">
        <f ca="1">IFERROR(_xll.qlRateHelperEarliestDate(M230,Trigger),"--")</f>
        <v>--</v>
      </c>
      <c r="T230" s="889" t="str">
        <f ca="1">IFERROR(_xll.qlRateHelperPillarDate(M230,Trigger),"--")</f>
        <v>--</v>
      </c>
      <c r="V230" s="4" t="str">
        <f t="shared" ca="1" si="27"/>
        <v/>
      </c>
      <c r="W230" s="4" t="e">
        <f ca="1"/>
        <v>#NAME?</v>
      </c>
      <c r="X230" s="4" t="str">
        <f ca="1">IFERROR(_xll.qlRateHelperQuoteName(W230,Trigger),"")</f>
        <v/>
      </c>
      <c r="Y230" s="888" t="str">
        <f ca="1">IFERROR(_xll.qlRateHelperRate(W230,Trigger),"")</f>
        <v/>
      </c>
      <c r="Z230" s="887"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6" t="e">
        <f ca="1"/>
        <v>#NAME?</v>
      </c>
    </row>
    <row r="231" spans="1:29" x14ac:dyDescent="0.2">
      <c r="A231" s="873" t="s">
        <v>410</v>
      </c>
      <c r="B231" s="875" t="s">
        <v>42</v>
      </c>
      <c r="C231" s="874" t="s">
        <v>47</v>
      </c>
      <c r="D231" s="874" t="s">
        <v>323</v>
      </c>
      <c r="E231" s="874" t="s">
        <v>322</v>
      </c>
      <c r="F231" s="874" t="s">
        <v>221</v>
      </c>
      <c r="G231" s="874" t="str">
        <f t="shared" si="30"/>
        <v>Euribor6M</v>
      </c>
      <c r="H231" s="873" t="str">
        <f t="shared" si="31"/>
        <v>EUR9F14Y_Quote</v>
      </c>
      <c r="I231" s="876">
        <v>0</v>
      </c>
      <c r="J231" s="43"/>
      <c r="L231" s="894" t="str">
        <f t="shared" si="28"/>
        <v>FwdSw</v>
      </c>
      <c r="M231" s="890" t="str">
        <f t="shared" si="29"/>
        <v>--</v>
      </c>
      <c r="N231" s="893" t="str">
        <f ca="1">IFERROR(_xll.qlRateHelperQuoteName(M231,Trigger),"--")</f>
        <v>--</v>
      </c>
      <c r="O231" s="892" t="str">
        <f ca="1">IFERROR(_xll.qlRateHelperQuoteValue($M231,Trigger),"--")</f>
        <v>--</v>
      </c>
      <c r="P231" s="969" t="b">
        <v>0</v>
      </c>
      <c r="Q231" s="890">
        <v>50</v>
      </c>
      <c r="R231" s="890">
        <v>1</v>
      </c>
      <c r="S231" s="889" t="str">
        <f ca="1">IFERROR(_xll.qlRateHelperEarliestDate(M231,Trigger),"--")</f>
        <v>--</v>
      </c>
      <c r="T231" s="889" t="str">
        <f ca="1">IFERROR(_xll.qlRateHelperPillarDate(M231,Trigger),"--")</f>
        <v>--</v>
      </c>
      <c r="V231" s="4" t="str">
        <f t="shared" ca="1" si="27"/>
        <v/>
      </c>
      <c r="W231" s="4" t="e">
        <f ca="1"/>
        <v>#NAME?</v>
      </c>
      <c r="X231" s="4" t="str">
        <f ca="1">IFERROR(_xll.qlRateHelperQuoteName(W231,Trigger),"")</f>
        <v/>
      </c>
      <c r="Y231" s="888" t="str">
        <f ca="1">IFERROR(_xll.qlRateHelperRate(W231,Trigger),"")</f>
        <v/>
      </c>
      <c r="Z231" s="887"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6" t="e">
        <f ca="1"/>
        <v>#NAME?</v>
      </c>
    </row>
    <row r="232" spans="1:29" x14ac:dyDescent="0.2">
      <c r="A232" s="873" t="s">
        <v>410</v>
      </c>
      <c r="B232" s="875" t="s">
        <v>41</v>
      </c>
      <c r="C232" s="874" t="s">
        <v>47</v>
      </c>
      <c r="D232" s="874" t="s">
        <v>323</v>
      </c>
      <c r="E232" s="874" t="s">
        <v>322</v>
      </c>
      <c r="F232" s="874" t="s">
        <v>221</v>
      </c>
      <c r="G232" s="874" t="str">
        <f t="shared" si="30"/>
        <v>Euribor6M</v>
      </c>
      <c r="H232" s="873" t="str">
        <f t="shared" si="31"/>
        <v>EUR9F15Y_Quote</v>
      </c>
      <c r="I232" s="876">
        <v>0</v>
      </c>
      <c r="J232" s="43"/>
      <c r="L232" s="894" t="str">
        <f t="shared" si="28"/>
        <v>FwdSw</v>
      </c>
      <c r="M232" s="890" t="str">
        <f t="shared" si="29"/>
        <v>--</v>
      </c>
      <c r="N232" s="893" t="str">
        <f ca="1">IFERROR(_xll.qlRateHelperQuoteName(M232,Trigger),"--")</f>
        <v>--</v>
      </c>
      <c r="O232" s="892" t="str">
        <f ca="1">IFERROR(_xll.qlRateHelperQuoteValue($M232,Trigger),"--")</f>
        <v>--</v>
      </c>
      <c r="P232" s="969" t="b">
        <v>0</v>
      </c>
      <c r="Q232" s="890">
        <v>50</v>
      </c>
      <c r="R232" s="890">
        <v>1</v>
      </c>
      <c r="S232" s="889" t="str">
        <f ca="1">IFERROR(_xll.qlRateHelperEarliestDate(M232,Trigger),"--")</f>
        <v>--</v>
      </c>
      <c r="T232" s="889" t="str">
        <f ca="1">IFERROR(_xll.qlRateHelperPillarDate(M232,Trigger),"--")</f>
        <v>--</v>
      </c>
      <c r="V232" s="4" t="str">
        <f t="shared" ca="1" si="27"/>
        <v/>
      </c>
      <c r="W232" s="4" t="e">
        <f ca="1"/>
        <v>#NAME?</v>
      </c>
      <c r="X232" s="4" t="str">
        <f ca="1">IFERROR(_xll.qlRateHelperQuoteName(W232,Trigger),"")</f>
        <v/>
      </c>
      <c r="Y232" s="888" t="str">
        <f ca="1">IFERROR(_xll.qlRateHelperRate(W232,Trigger),"")</f>
        <v/>
      </c>
      <c r="Z232" s="887"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6" t="e">
        <f ca="1"/>
        <v>#NAME?</v>
      </c>
    </row>
    <row r="233" spans="1:29" x14ac:dyDescent="0.2">
      <c r="A233" s="873" t="s">
        <v>410</v>
      </c>
      <c r="B233" s="875" t="s">
        <v>36</v>
      </c>
      <c r="C233" s="874" t="s">
        <v>47</v>
      </c>
      <c r="D233" s="874" t="s">
        <v>323</v>
      </c>
      <c r="E233" s="874" t="s">
        <v>322</v>
      </c>
      <c r="F233" s="874" t="s">
        <v>221</v>
      </c>
      <c r="G233" s="874" t="str">
        <f t="shared" si="30"/>
        <v>Euribor6M</v>
      </c>
      <c r="H233" s="873" t="str">
        <f t="shared" si="31"/>
        <v>EUR9F20Y_Quote</v>
      </c>
      <c r="I233" s="876">
        <v>0</v>
      </c>
      <c r="J233" s="43"/>
      <c r="L233" s="894" t="str">
        <f t="shared" si="28"/>
        <v>FwdSw</v>
      </c>
      <c r="M233" s="890" t="str">
        <f t="shared" si="29"/>
        <v>--</v>
      </c>
      <c r="N233" s="893" t="str">
        <f ca="1">IFERROR(_xll.qlRateHelperQuoteName(M233,Trigger),"--")</f>
        <v>--</v>
      </c>
      <c r="O233" s="892" t="str">
        <f ca="1">IFERROR(_xll.qlRateHelperQuoteValue($M233,Trigger),"--")</f>
        <v>--</v>
      </c>
      <c r="P233" s="969" t="b">
        <v>0</v>
      </c>
      <c r="Q233" s="890">
        <v>50</v>
      </c>
      <c r="R233" s="890">
        <v>1</v>
      </c>
      <c r="S233" s="889" t="str">
        <f ca="1">IFERROR(_xll.qlRateHelperEarliestDate(M233,Trigger),"--")</f>
        <v>--</v>
      </c>
      <c r="T233" s="889" t="str">
        <f ca="1">IFERROR(_xll.qlRateHelperPillarDate(M233,Trigger),"--")</f>
        <v>--</v>
      </c>
      <c r="V233" s="4" t="str">
        <f t="shared" ca="1" si="27"/>
        <v/>
      </c>
      <c r="W233" s="4" t="e">
        <f ca="1"/>
        <v>#NAME?</v>
      </c>
      <c r="X233" s="4" t="str">
        <f ca="1">IFERROR(_xll.qlRateHelperQuoteName(W233,Trigger),"")</f>
        <v/>
      </c>
      <c r="Y233" s="888" t="str">
        <f ca="1">IFERROR(_xll.qlRateHelperRate(W233,Trigger),"")</f>
        <v/>
      </c>
      <c r="Z233" s="887"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6" t="e">
        <f ca="1"/>
        <v>#NAME?</v>
      </c>
    </row>
    <row r="234" spans="1:29" x14ac:dyDescent="0.2">
      <c r="A234" s="873" t="s">
        <v>410</v>
      </c>
      <c r="B234" s="875" t="s">
        <v>31</v>
      </c>
      <c r="C234" s="874" t="s">
        <v>47</v>
      </c>
      <c r="D234" s="874" t="s">
        <v>323</v>
      </c>
      <c r="E234" s="874" t="s">
        <v>322</v>
      </c>
      <c r="F234" s="874" t="s">
        <v>221</v>
      </c>
      <c r="G234" s="874" t="str">
        <f t="shared" si="30"/>
        <v>Euribor6M</v>
      </c>
      <c r="H234" s="873" t="str">
        <f t="shared" si="31"/>
        <v>EUR9F25Y_Quote</v>
      </c>
      <c r="I234" s="876">
        <v>0</v>
      </c>
      <c r="J234" s="43"/>
      <c r="L234" s="894" t="str">
        <f t="shared" si="28"/>
        <v>FwdSw</v>
      </c>
      <c r="M234" s="890" t="str">
        <f t="shared" si="29"/>
        <v>--</v>
      </c>
      <c r="N234" s="893" t="str">
        <f ca="1">IFERROR(_xll.qlRateHelperQuoteName(M234,Trigger),"--")</f>
        <v>--</v>
      </c>
      <c r="O234" s="892" t="str">
        <f ca="1">IFERROR(_xll.qlRateHelperQuoteValue($M234,Trigger),"--")</f>
        <v>--</v>
      </c>
      <c r="P234" s="969" t="b">
        <v>0</v>
      </c>
      <c r="Q234" s="890">
        <v>50</v>
      </c>
      <c r="R234" s="890">
        <v>1</v>
      </c>
      <c r="S234" s="889" t="str">
        <f ca="1">IFERROR(_xll.qlRateHelperEarliestDate(M234,Trigger),"--")</f>
        <v>--</v>
      </c>
      <c r="T234" s="889" t="str">
        <f ca="1">IFERROR(_xll.qlRateHelperPillarDate(M234,Trigger),"--")</f>
        <v>--</v>
      </c>
      <c r="V234" s="4" t="str">
        <f t="shared" ca="1" si="27"/>
        <v/>
      </c>
      <c r="W234" s="4" t="e">
        <f ca="1"/>
        <v>#NAME?</v>
      </c>
      <c r="X234" s="4" t="str">
        <f ca="1">IFERROR(_xll.qlRateHelperQuoteName(W234,Trigger),"")</f>
        <v/>
      </c>
      <c r="Y234" s="888" t="str">
        <f ca="1">IFERROR(_xll.qlRateHelperRate(W234,Trigger),"")</f>
        <v/>
      </c>
      <c r="Z234" s="887"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6" t="e">
        <f ca="1"/>
        <v>#NAME?</v>
      </c>
    </row>
    <row r="235" spans="1:29" x14ac:dyDescent="0.2">
      <c r="A235" s="873" t="s">
        <v>410</v>
      </c>
      <c r="B235" s="875" t="s">
        <v>26</v>
      </c>
      <c r="C235" s="874" t="s">
        <v>47</v>
      </c>
      <c r="D235" s="874" t="s">
        <v>323</v>
      </c>
      <c r="E235" s="874" t="s">
        <v>322</v>
      </c>
      <c r="F235" s="874" t="s">
        <v>221</v>
      </c>
      <c r="G235" s="874" t="str">
        <f t="shared" si="30"/>
        <v>Euribor6M</v>
      </c>
      <c r="H235" s="873" t="str">
        <f t="shared" si="31"/>
        <v>EUR9F30Y_Quote</v>
      </c>
      <c r="I235" s="876">
        <v>0</v>
      </c>
      <c r="J235" s="43"/>
      <c r="L235" s="894" t="str">
        <f t="shared" si="28"/>
        <v>FwdSw</v>
      </c>
      <c r="M235" s="890" t="str">
        <f t="shared" si="29"/>
        <v>--</v>
      </c>
      <c r="N235" s="893" t="str">
        <f ca="1">IFERROR(_xll.qlRateHelperQuoteName(M235,Trigger),"--")</f>
        <v>--</v>
      </c>
      <c r="O235" s="892" t="str">
        <f ca="1">IFERROR(_xll.qlRateHelperQuoteValue($M235,Trigger),"--")</f>
        <v>--</v>
      </c>
      <c r="P235" s="969" t="b">
        <v>0</v>
      </c>
      <c r="Q235" s="890">
        <v>50</v>
      </c>
      <c r="R235" s="890">
        <v>1</v>
      </c>
      <c r="S235" s="889" t="str">
        <f ca="1">IFERROR(_xll.qlRateHelperEarliestDate(M235,Trigger),"--")</f>
        <v>--</v>
      </c>
      <c r="T235" s="889" t="str">
        <f ca="1">IFERROR(_xll.qlRateHelperPillarDate(M235,Trigger),"--")</f>
        <v>--</v>
      </c>
      <c r="V235" s="4" t="str">
        <f t="shared" ca="1" si="27"/>
        <v/>
      </c>
      <c r="W235" s="4" t="e">
        <f ca="1"/>
        <v>#NAME?</v>
      </c>
      <c r="X235" s="4" t="str">
        <f ca="1">IFERROR(_xll.qlRateHelperQuoteName(W235,Trigger),"")</f>
        <v/>
      </c>
      <c r="Y235" s="888" t="str">
        <f ca="1">IFERROR(_xll.qlRateHelperRate(W235,Trigger),"")</f>
        <v/>
      </c>
      <c r="Z235" s="887"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6" t="e">
        <f ca="1"/>
        <v>#NAME?</v>
      </c>
    </row>
    <row r="236" spans="1:29" x14ac:dyDescent="0.2">
      <c r="A236" s="896" t="s">
        <v>410</v>
      </c>
      <c r="B236" s="898" t="s">
        <v>58</v>
      </c>
      <c r="C236" s="897" t="s">
        <v>46</v>
      </c>
      <c r="D236" s="897" t="s">
        <v>323</v>
      </c>
      <c r="E236" s="897" t="s">
        <v>322</v>
      </c>
      <c r="F236" s="897" t="s">
        <v>221</v>
      </c>
      <c r="G236" s="897" t="str">
        <f t="shared" si="30"/>
        <v>Euribor6M</v>
      </c>
      <c r="H236" s="896" t="str">
        <f t="shared" si="31"/>
        <v>EUR10F1Y_Quote</v>
      </c>
      <c r="I236" s="895">
        <v>0</v>
      </c>
      <c r="J236" s="47"/>
      <c r="L236" s="894" t="str">
        <f t="shared" si="28"/>
        <v>FwdSw</v>
      </c>
      <c r="M236" s="890" t="str">
        <f t="shared" si="29"/>
        <v>--</v>
      </c>
      <c r="N236" s="893" t="str">
        <f ca="1">IFERROR(_xll.qlRateHelperQuoteName(M236,Trigger),"--")</f>
        <v>--</v>
      </c>
      <c r="O236" s="892" t="str">
        <f ca="1">IFERROR(_xll.qlRateHelperQuoteValue($M236,Trigger),"--")</f>
        <v>--</v>
      </c>
      <c r="P236" s="969" t="b">
        <v>0</v>
      </c>
      <c r="Q236" s="890">
        <v>50</v>
      </c>
      <c r="R236" s="890">
        <v>1</v>
      </c>
      <c r="S236" s="889" t="str">
        <f ca="1">IFERROR(_xll.qlRateHelperEarliestDate(M236,Trigger),"--")</f>
        <v>--</v>
      </c>
      <c r="T236" s="889" t="str">
        <f ca="1">IFERROR(_xll.qlRateHelperPillarDate(M236,Trigger),"--")</f>
        <v>--</v>
      </c>
      <c r="V236" s="4" t="str">
        <f t="shared" ca="1" si="27"/>
        <v/>
      </c>
      <c r="W236" s="4" t="e">
        <f ca="1"/>
        <v>#NAME?</v>
      </c>
      <c r="X236" s="4" t="str">
        <f ca="1">IFERROR(_xll.qlRateHelperQuoteName(W236,Trigger),"")</f>
        <v/>
      </c>
      <c r="Y236" s="888" t="str">
        <f ca="1">IFERROR(_xll.qlRateHelperRate(W236,Trigger),"")</f>
        <v/>
      </c>
      <c r="Z236" s="887"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6" t="e">
        <f ca="1"/>
        <v>#NAME?</v>
      </c>
    </row>
    <row r="237" spans="1:29" x14ac:dyDescent="0.2">
      <c r="A237" s="873" t="s">
        <v>410</v>
      </c>
      <c r="B237" s="875" t="s">
        <v>54</v>
      </c>
      <c r="C237" s="874" t="s">
        <v>46</v>
      </c>
      <c r="D237" s="874" t="s">
        <v>323</v>
      </c>
      <c r="E237" s="874" t="s">
        <v>322</v>
      </c>
      <c r="F237" s="874" t="s">
        <v>221</v>
      </c>
      <c r="G237" s="874" t="str">
        <f t="shared" si="30"/>
        <v>Euribor6M</v>
      </c>
      <c r="H237" s="873" t="str">
        <f t="shared" si="31"/>
        <v>EUR10F2Y_Quote</v>
      </c>
      <c r="I237" s="876">
        <v>0</v>
      </c>
      <c r="J237" s="43"/>
      <c r="L237" s="894" t="str">
        <f t="shared" si="28"/>
        <v>FwdSw</v>
      </c>
      <c r="M237" s="890" t="str">
        <f t="shared" si="29"/>
        <v>--</v>
      </c>
      <c r="N237" s="893" t="str">
        <f ca="1">IFERROR(_xll.qlRateHelperQuoteName(M237,Trigger),"--")</f>
        <v>--</v>
      </c>
      <c r="O237" s="892" t="str">
        <f ca="1">IFERROR(_xll.qlRateHelperQuoteValue($M237,Trigger),"--")</f>
        <v>--</v>
      </c>
      <c r="P237" s="969" t="b">
        <v>0</v>
      </c>
      <c r="Q237" s="890">
        <v>50</v>
      </c>
      <c r="R237" s="890">
        <v>1</v>
      </c>
      <c r="S237" s="889" t="str">
        <f ca="1">IFERROR(_xll.qlRateHelperEarliestDate(M237,Trigger),"--")</f>
        <v>--</v>
      </c>
      <c r="T237" s="889" t="str">
        <f ca="1">IFERROR(_xll.qlRateHelperPillarDate(M237,Trigger),"--")</f>
        <v>--</v>
      </c>
      <c r="V237" s="4" t="str">
        <f t="shared" ca="1" si="27"/>
        <v/>
      </c>
      <c r="W237" s="4" t="e">
        <f ca="1"/>
        <v>#NAME?</v>
      </c>
      <c r="X237" s="4" t="str">
        <f ca="1">IFERROR(_xll.qlRateHelperQuoteName(W237,Trigger),"")</f>
        <v/>
      </c>
      <c r="Y237" s="888" t="str">
        <f ca="1">IFERROR(_xll.qlRateHelperRate(W237,Trigger),"")</f>
        <v/>
      </c>
      <c r="Z237" s="887"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6" t="e">
        <f ca="1"/>
        <v>#NAME?</v>
      </c>
    </row>
    <row r="238" spans="1:29" x14ac:dyDescent="0.2">
      <c r="A238" s="873" t="s">
        <v>410</v>
      </c>
      <c r="B238" s="875" t="s">
        <v>53</v>
      </c>
      <c r="C238" s="874" t="s">
        <v>46</v>
      </c>
      <c r="D238" s="874" t="s">
        <v>323</v>
      </c>
      <c r="E238" s="874" t="s">
        <v>322</v>
      </c>
      <c r="F238" s="874" t="s">
        <v>221</v>
      </c>
      <c r="G238" s="874" t="str">
        <f t="shared" si="30"/>
        <v>Euribor6M</v>
      </c>
      <c r="H238" s="873" t="str">
        <f t="shared" si="31"/>
        <v>EUR10F3Y_Quote</v>
      </c>
      <c r="I238" s="876">
        <v>0</v>
      </c>
      <c r="J238" s="43"/>
      <c r="L238" s="894" t="str">
        <f t="shared" si="28"/>
        <v>FwdSw</v>
      </c>
      <c r="M238" s="890" t="str">
        <f t="shared" si="29"/>
        <v>--</v>
      </c>
      <c r="N238" s="893" t="str">
        <f ca="1">IFERROR(_xll.qlRateHelperQuoteName(M238,Trigger),"--")</f>
        <v>--</v>
      </c>
      <c r="O238" s="892" t="str">
        <f ca="1">IFERROR(_xll.qlRateHelperQuoteValue($M238,Trigger),"--")</f>
        <v>--</v>
      </c>
      <c r="P238" s="969" t="b">
        <v>0</v>
      </c>
      <c r="Q238" s="890">
        <v>50</v>
      </c>
      <c r="R238" s="890">
        <v>1</v>
      </c>
      <c r="S238" s="889" t="str">
        <f ca="1">IFERROR(_xll.qlRateHelperEarliestDate(M238,Trigger),"--")</f>
        <v>--</v>
      </c>
      <c r="T238" s="889" t="str">
        <f ca="1">IFERROR(_xll.qlRateHelperPillarDate(M238,Trigger),"--")</f>
        <v>--</v>
      </c>
      <c r="V238" s="4" t="str">
        <f t="shared" ca="1" si="27"/>
        <v/>
      </c>
      <c r="W238" s="4" t="e">
        <f ca="1"/>
        <v>#NAME?</v>
      </c>
      <c r="X238" s="4" t="str">
        <f ca="1">IFERROR(_xll.qlRateHelperQuoteName(W238,Trigger),"")</f>
        <v/>
      </c>
      <c r="Y238" s="888" t="str">
        <f ca="1">IFERROR(_xll.qlRateHelperRate(W238,Trigger),"")</f>
        <v/>
      </c>
      <c r="Z238" s="887"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6" t="e">
        <f ca="1"/>
        <v>#NAME?</v>
      </c>
    </row>
    <row r="239" spans="1:29" x14ac:dyDescent="0.2">
      <c r="A239" s="873" t="s">
        <v>410</v>
      </c>
      <c r="B239" s="875" t="s">
        <v>52</v>
      </c>
      <c r="C239" s="874" t="s">
        <v>46</v>
      </c>
      <c r="D239" s="874" t="s">
        <v>323</v>
      </c>
      <c r="E239" s="874" t="s">
        <v>322</v>
      </c>
      <c r="F239" s="874" t="s">
        <v>221</v>
      </c>
      <c r="G239" s="874" t="str">
        <f t="shared" si="30"/>
        <v>Euribor6M</v>
      </c>
      <c r="H239" s="873" t="str">
        <f t="shared" si="31"/>
        <v>EUR10F4Y_Quote</v>
      </c>
      <c r="I239" s="876">
        <v>0</v>
      </c>
      <c r="J239" s="43"/>
      <c r="L239" s="894" t="str">
        <f t="shared" si="28"/>
        <v>FwdSw</v>
      </c>
      <c r="M239" s="890" t="str">
        <f t="shared" si="29"/>
        <v>--</v>
      </c>
      <c r="N239" s="893" t="str">
        <f ca="1">IFERROR(_xll.qlRateHelperQuoteName(M239,Trigger),"--")</f>
        <v>--</v>
      </c>
      <c r="O239" s="892" t="str">
        <f ca="1">IFERROR(_xll.qlRateHelperQuoteValue($M239,Trigger),"--")</f>
        <v>--</v>
      </c>
      <c r="P239" s="969" t="b">
        <v>0</v>
      </c>
      <c r="Q239" s="890">
        <v>50</v>
      </c>
      <c r="R239" s="890">
        <v>1</v>
      </c>
      <c r="S239" s="889" t="str">
        <f ca="1">IFERROR(_xll.qlRateHelperEarliestDate(M239,Trigger),"--")</f>
        <v>--</v>
      </c>
      <c r="T239" s="889" t="str">
        <f ca="1">IFERROR(_xll.qlRateHelperPillarDate(M239,Trigger),"--")</f>
        <v>--</v>
      </c>
      <c r="V239" s="4" t="str">
        <f t="shared" ca="1" si="27"/>
        <v/>
      </c>
      <c r="W239" s="4" t="e">
        <f ca="1"/>
        <v>#NAME?</v>
      </c>
      <c r="X239" s="4" t="str">
        <f ca="1">IFERROR(_xll.qlRateHelperQuoteName(W239,Trigger),"")</f>
        <v/>
      </c>
      <c r="Y239" s="888" t="str">
        <f ca="1">IFERROR(_xll.qlRateHelperRate(W239,Trigger),"")</f>
        <v/>
      </c>
      <c r="Z239" s="887"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6" t="e">
        <f ca="1"/>
        <v>#NAME?</v>
      </c>
    </row>
    <row r="240" spans="1:29" x14ac:dyDescent="0.2">
      <c r="A240" s="873" t="s">
        <v>410</v>
      </c>
      <c r="B240" s="875" t="s">
        <v>51</v>
      </c>
      <c r="C240" s="874" t="s">
        <v>46</v>
      </c>
      <c r="D240" s="874" t="s">
        <v>323</v>
      </c>
      <c r="E240" s="874" t="s">
        <v>322</v>
      </c>
      <c r="F240" s="874" t="s">
        <v>221</v>
      </c>
      <c r="G240" s="874" t="str">
        <f t="shared" si="30"/>
        <v>Euribor6M</v>
      </c>
      <c r="H240" s="873" t="str">
        <f t="shared" si="31"/>
        <v>EUR10F5Y_Quote</v>
      </c>
      <c r="I240" s="876">
        <v>0</v>
      </c>
      <c r="J240" s="43"/>
      <c r="L240" s="894" t="str">
        <f t="shared" si="28"/>
        <v>FwdSw</v>
      </c>
      <c r="M240" s="890" t="str">
        <f t="shared" si="29"/>
        <v>--</v>
      </c>
      <c r="N240" s="893" t="str">
        <f ca="1">IFERROR(_xll.qlRateHelperQuoteName(M240,Trigger),"--")</f>
        <v>--</v>
      </c>
      <c r="O240" s="892" t="str">
        <f ca="1">IFERROR(_xll.qlRateHelperQuoteValue($M240,Trigger),"--")</f>
        <v>--</v>
      </c>
      <c r="P240" s="969" t="b">
        <v>0</v>
      </c>
      <c r="Q240" s="890">
        <v>50</v>
      </c>
      <c r="R240" s="890">
        <v>1</v>
      </c>
      <c r="S240" s="889" t="str">
        <f ca="1">IFERROR(_xll.qlRateHelperEarliestDate(M240,Trigger),"--")</f>
        <v>--</v>
      </c>
      <c r="T240" s="889" t="str">
        <f ca="1">IFERROR(_xll.qlRateHelperPillarDate(M240,Trigger),"--")</f>
        <v>--</v>
      </c>
      <c r="V240" s="4" t="str">
        <f t="shared" ca="1" si="27"/>
        <v/>
      </c>
      <c r="W240" s="4" t="e">
        <f ca="1"/>
        <v>#NAME?</v>
      </c>
      <c r="X240" s="4" t="str">
        <f ca="1">IFERROR(_xll.qlRateHelperQuoteName(W240,Trigger),"")</f>
        <v/>
      </c>
      <c r="Y240" s="888" t="str">
        <f ca="1">IFERROR(_xll.qlRateHelperRate(W240,Trigger),"")</f>
        <v/>
      </c>
      <c r="Z240" s="887"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6" t="e">
        <f ca="1"/>
        <v>#NAME?</v>
      </c>
    </row>
    <row r="241" spans="1:29" x14ac:dyDescent="0.2">
      <c r="A241" s="873" t="s">
        <v>410</v>
      </c>
      <c r="B241" s="875" t="s">
        <v>50</v>
      </c>
      <c r="C241" s="874" t="s">
        <v>46</v>
      </c>
      <c r="D241" s="874" t="s">
        <v>323</v>
      </c>
      <c r="E241" s="874" t="s">
        <v>322</v>
      </c>
      <c r="F241" s="874" t="s">
        <v>221</v>
      </c>
      <c r="G241" s="874" t="str">
        <f t="shared" si="30"/>
        <v>Euribor6M</v>
      </c>
      <c r="H241" s="873" t="str">
        <f t="shared" si="31"/>
        <v>EUR10F6Y_Quote</v>
      </c>
      <c r="I241" s="876">
        <v>0</v>
      </c>
      <c r="J241" s="43"/>
      <c r="L241" s="894" t="str">
        <f t="shared" si="28"/>
        <v>FwdSw</v>
      </c>
      <c r="M241" s="890" t="str">
        <f t="shared" si="29"/>
        <v>--</v>
      </c>
      <c r="N241" s="893" t="str">
        <f ca="1">IFERROR(_xll.qlRateHelperQuoteName(M241,Trigger),"--")</f>
        <v>--</v>
      </c>
      <c r="O241" s="892" t="str">
        <f ca="1">IFERROR(_xll.qlRateHelperQuoteValue($M241,Trigger),"--")</f>
        <v>--</v>
      </c>
      <c r="P241" s="969" t="b">
        <v>0</v>
      </c>
      <c r="Q241" s="890">
        <v>50</v>
      </c>
      <c r="R241" s="890">
        <v>1</v>
      </c>
      <c r="S241" s="889" t="str">
        <f ca="1">IFERROR(_xll.qlRateHelperEarliestDate(M241,Trigger),"--")</f>
        <v>--</v>
      </c>
      <c r="T241" s="889" t="str">
        <f ca="1">IFERROR(_xll.qlRateHelperPillarDate(M241,Trigger),"--")</f>
        <v>--</v>
      </c>
      <c r="V241" s="4" t="str">
        <f t="shared" ca="1" si="27"/>
        <v/>
      </c>
      <c r="W241" s="4" t="e">
        <f ca="1"/>
        <v>#NAME?</v>
      </c>
      <c r="X241" s="4" t="str">
        <f ca="1">IFERROR(_xll.qlRateHelperQuoteName(W241,Trigger),"")</f>
        <v/>
      </c>
      <c r="Y241" s="888" t="str">
        <f ca="1">IFERROR(_xll.qlRateHelperRate(W241,Trigger),"")</f>
        <v/>
      </c>
      <c r="Z241" s="887"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6" t="e">
        <f ca="1"/>
        <v>#NAME?</v>
      </c>
    </row>
    <row r="242" spans="1:29" x14ac:dyDescent="0.2">
      <c r="A242" s="873" t="s">
        <v>410</v>
      </c>
      <c r="B242" s="875" t="s">
        <v>49</v>
      </c>
      <c r="C242" s="874" t="s">
        <v>46</v>
      </c>
      <c r="D242" s="874" t="s">
        <v>323</v>
      </c>
      <c r="E242" s="874" t="s">
        <v>322</v>
      </c>
      <c r="F242" s="874" t="s">
        <v>221</v>
      </c>
      <c r="G242" s="874" t="str">
        <f t="shared" si="30"/>
        <v>Euribor6M</v>
      </c>
      <c r="H242" s="873" t="str">
        <f t="shared" si="31"/>
        <v>EUR10F7Y_Quote</v>
      </c>
      <c r="I242" s="876">
        <v>0</v>
      </c>
      <c r="J242" s="43"/>
      <c r="L242" s="894" t="str">
        <f t="shared" si="28"/>
        <v>FwdSw</v>
      </c>
      <c r="M242" s="890" t="str">
        <f t="shared" si="29"/>
        <v>--</v>
      </c>
      <c r="N242" s="893" t="str">
        <f ca="1">IFERROR(_xll.qlRateHelperQuoteName(M242,Trigger),"--")</f>
        <v>--</v>
      </c>
      <c r="O242" s="892" t="str">
        <f ca="1">IFERROR(_xll.qlRateHelperQuoteValue($M242,Trigger),"--")</f>
        <v>--</v>
      </c>
      <c r="P242" s="969" t="b">
        <v>0</v>
      </c>
      <c r="Q242" s="890">
        <v>50</v>
      </c>
      <c r="R242" s="890">
        <v>1</v>
      </c>
      <c r="S242" s="889" t="str">
        <f ca="1">IFERROR(_xll.qlRateHelperEarliestDate(M242,Trigger),"--")</f>
        <v>--</v>
      </c>
      <c r="T242" s="889" t="str">
        <f ca="1">IFERROR(_xll.qlRateHelperPillarDate(M242,Trigger),"--")</f>
        <v>--</v>
      </c>
      <c r="V242" s="4" t="str">
        <f t="shared" ca="1" si="27"/>
        <v/>
      </c>
      <c r="W242" s="4" t="e">
        <f ca="1"/>
        <v>#NAME?</v>
      </c>
      <c r="X242" s="4" t="str">
        <f ca="1">IFERROR(_xll.qlRateHelperQuoteName(W242,Trigger),"")</f>
        <v/>
      </c>
      <c r="Y242" s="888" t="str">
        <f ca="1">IFERROR(_xll.qlRateHelperRate(W242,Trigger),"")</f>
        <v/>
      </c>
      <c r="Z242" s="887"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6" t="e">
        <f ca="1"/>
        <v>#NAME?</v>
      </c>
    </row>
    <row r="243" spans="1:29" x14ac:dyDescent="0.2">
      <c r="A243" s="873" t="s">
        <v>410</v>
      </c>
      <c r="B243" s="875" t="s">
        <v>48</v>
      </c>
      <c r="C243" s="874" t="s">
        <v>46</v>
      </c>
      <c r="D243" s="874" t="s">
        <v>323</v>
      </c>
      <c r="E243" s="874" t="s">
        <v>322</v>
      </c>
      <c r="F243" s="874" t="s">
        <v>221</v>
      </c>
      <c r="G243" s="874" t="str">
        <f t="shared" si="30"/>
        <v>Euribor6M</v>
      </c>
      <c r="H243" s="873" t="str">
        <f t="shared" si="31"/>
        <v>EUR10F8Y_Quote</v>
      </c>
      <c r="I243" s="876">
        <v>0</v>
      </c>
      <c r="J243" s="43"/>
      <c r="L243" s="894" t="str">
        <f t="shared" si="28"/>
        <v>FwdSw</v>
      </c>
      <c r="M243" s="890" t="str">
        <f t="shared" si="29"/>
        <v>--</v>
      </c>
      <c r="N243" s="893" t="str">
        <f ca="1">IFERROR(_xll.qlRateHelperQuoteName(M243,Trigger),"--")</f>
        <v>--</v>
      </c>
      <c r="O243" s="892" t="str">
        <f ca="1">IFERROR(_xll.qlRateHelperQuoteValue($M243,Trigger),"--")</f>
        <v>--</v>
      </c>
      <c r="P243" s="969" t="b">
        <v>0</v>
      </c>
      <c r="Q243" s="890">
        <v>50</v>
      </c>
      <c r="R243" s="890">
        <v>1</v>
      </c>
      <c r="S243" s="889" t="str">
        <f ca="1">IFERROR(_xll.qlRateHelperEarliestDate(M243,Trigger),"--")</f>
        <v>--</v>
      </c>
      <c r="T243" s="889" t="str">
        <f ca="1">IFERROR(_xll.qlRateHelperPillarDate(M243,Trigger),"--")</f>
        <v>--</v>
      </c>
      <c r="V243" s="4" t="str">
        <f t="shared" ca="1" si="27"/>
        <v/>
      </c>
      <c r="W243" s="4" t="e">
        <f ca="1"/>
        <v>#NAME?</v>
      </c>
      <c r="X243" s="4" t="str">
        <f ca="1">IFERROR(_xll.qlRateHelperQuoteName(W243,Trigger),"")</f>
        <v/>
      </c>
      <c r="Y243" s="888" t="str">
        <f ca="1">IFERROR(_xll.qlRateHelperRate(W243,Trigger),"")</f>
        <v/>
      </c>
      <c r="Z243" s="887"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6" t="e">
        <f ca="1"/>
        <v>#NAME?</v>
      </c>
    </row>
    <row r="244" spans="1:29" x14ac:dyDescent="0.2">
      <c r="A244" s="873" t="s">
        <v>410</v>
      </c>
      <c r="B244" s="875" t="s">
        <v>47</v>
      </c>
      <c r="C244" s="874" t="s">
        <v>46</v>
      </c>
      <c r="D244" s="874" t="s">
        <v>323</v>
      </c>
      <c r="E244" s="874" t="s">
        <v>322</v>
      </c>
      <c r="F244" s="874" t="s">
        <v>221</v>
      </c>
      <c r="G244" s="874" t="str">
        <f t="shared" si="30"/>
        <v>Euribor6M</v>
      </c>
      <c r="H244" s="873" t="str">
        <f t="shared" si="31"/>
        <v>EUR10F9Y_Quote</v>
      </c>
      <c r="I244" s="876">
        <v>0</v>
      </c>
      <c r="J244" s="43"/>
      <c r="L244" s="894" t="str">
        <f t="shared" si="28"/>
        <v>FwdSw</v>
      </c>
      <c r="M244" s="890" t="str">
        <f t="shared" si="29"/>
        <v>--</v>
      </c>
      <c r="N244" s="893" t="str">
        <f ca="1">IFERROR(_xll.qlRateHelperQuoteName(M244,Trigger),"--")</f>
        <v>--</v>
      </c>
      <c r="O244" s="892" t="str">
        <f ca="1">IFERROR(_xll.qlRateHelperQuoteValue($M244,Trigger),"--")</f>
        <v>--</v>
      </c>
      <c r="P244" s="969" t="b">
        <v>0</v>
      </c>
      <c r="Q244" s="890">
        <v>50</v>
      </c>
      <c r="R244" s="890">
        <v>1</v>
      </c>
      <c r="S244" s="889" t="str">
        <f ca="1">IFERROR(_xll.qlRateHelperEarliestDate(M244,Trigger),"--")</f>
        <v>--</v>
      </c>
      <c r="T244" s="889" t="str">
        <f ca="1">IFERROR(_xll.qlRateHelperPillarDate(M244,Trigger),"--")</f>
        <v>--</v>
      </c>
      <c r="V244" s="4" t="str">
        <f t="shared" ca="1" si="27"/>
        <v/>
      </c>
      <c r="W244" s="4" t="e">
        <f ca="1"/>
        <v>#NAME?</v>
      </c>
      <c r="X244" s="4" t="str">
        <f ca="1">IFERROR(_xll.qlRateHelperQuoteName(W244,Trigger),"")</f>
        <v/>
      </c>
      <c r="Y244" s="888" t="str">
        <f ca="1">IFERROR(_xll.qlRateHelperRate(W244,Trigger),"")</f>
        <v/>
      </c>
      <c r="Z244" s="887"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6" t="e">
        <f ca="1"/>
        <v>#NAME?</v>
      </c>
    </row>
    <row r="245" spans="1:29" x14ac:dyDescent="0.2">
      <c r="A245" s="873" t="s">
        <v>410</v>
      </c>
      <c r="B245" s="875" t="s">
        <v>46</v>
      </c>
      <c r="C245" s="874" t="s">
        <v>46</v>
      </c>
      <c r="D245" s="874" t="s">
        <v>323</v>
      </c>
      <c r="E245" s="874" t="s">
        <v>322</v>
      </c>
      <c r="F245" s="874" t="s">
        <v>221</v>
      </c>
      <c r="G245" s="874" t="str">
        <f t="shared" si="30"/>
        <v>Euribor6M</v>
      </c>
      <c r="H245" s="873" t="str">
        <f t="shared" si="31"/>
        <v>EUR10F10Y_Quote</v>
      </c>
      <c r="I245" s="876">
        <v>0</v>
      </c>
      <c r="J245" s="43"/>
      <c r="L245" s="894" t="str">
        <f t="shared" si="28"/>
        <v>FwdSw</v>
      </c>
      <c r="M245" s="890" t="str">
        <f t="shared" si="29"/>
        <v>--</v>
      </c>
      <c r="N245" s="893" t="str">
        <f ca="1">IFERROR(_xll.qlRateHelperQuoteName(M245,Trigger),"--")</f>
        <v>--</v>
      </c>
      <c r="O245" s="892" t="str">
        <f ca="1">IFERROR(_xll.qlRateHelperQuoteValue($M245,Trigger),"--")</f>
        <v>--</v>
      </c>
      <c r="P245" s="969" t="b">
        <v>0</v>
      </c>
      <c r="Q245" s="890">
        <v>50</v>
      </c>
      <c r="R245" s="890">
        <v>1</v>
      </c>
      <c r="S245" s="889" t="str">
        <f ca="1">IFERROR(_xll.qlRateHelperEarliestDate(M245,Trigger),"--")</f>
        <v>--</v>
      </c>
      <c r="T245" s="889" t="str">
        <f ca="1">IFERROR(_xll.qlRateHelperPillarDate(M245,Trigger),"--")</f>
        <v>--</v>
      </c>
      <c r="V245" s="4" t="str">
        <f t="shared" ca="1" si="27"/>
        <v/>
      </c>
      <c r="W245" s="4" t="e">
        <f ca="1"/>
        <v>#NAME?</v>
      </c>
      <c r="X245" s="4" t="str">
        <f ca="1">IFERROR(_xll.qlRateHelperQuoteName(W245,Trigger),"")</f>
        <v/>
      </c>
      <c r="Y245" s="888" t="str">
        <f ca="1">IFERROR(_xll.qlRateHelperRate(W245,Trigger),"")</f>
        <v/>
      </c>
      <c r="Z245" s="887"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6" t="e">
        <f ca="1"/>
        <v>#NAME?</v>
      </c>
    </row>
    <row r="246" spans="1:29" x14ac:dyDescent="0.2">
      <c r="A246" s="873" t="s">
        <v>410</v>
      </c>
      <c r="B246" s="875" t="s">
        <v>45</v>
      </c>
      <c r="C246" s="874" t="s">
        <v>46</v>
      </c>
      <c r="D246" s="874" t="s">
        <v>323</v>
      </c>
      <c r="E246" s="874" t="s">
        <v>322</v>
      </c>
      <c r="F246" s="874" t="s">
        <v>221</v>
      </c>
      <c r="G246" s="874" t="str">
        <f t="shared" si="30"/>
        <v>Euribor6M</v>
      </c>
      <c r="H246" s="873" t="str">
        <f t="shared" si="31"/>
        <v>EUR10F11Y_Quote</v>
      </c>
      <c r="I246" s="876">
        <v>0</v>
      </c>
      <c r="J246" s="43"/>
      <c r="L246" s="894" t="str">
        <f t="shared" si="28"/>
        <v>FwdSw</v>
      </c>
      <c r="M246" s="890" t="str">
        <f t="shared" si="29"/>
        <v>--</v>
      </c>
      <c r="N246" s="893" t="str">
        <f ca="1">IFERROR(_xll.qlRateHelperQuoteName(M246,Trigger),"--")</f>
        <v>--</v>
      </c>
      <c r="O246" s="892" t="str">
        <f ca="1">IFERROR(_xll.qlRateHelperQuoteValue($M246,Trigger),"--")</f>
        <v>--</v>
      </c>
      <c r="P246" s="969" t="b">
        <v>0</v>
      </c>
      <c r="Q246" s="890">
        <v>50</v>
      </c>
      <c r="R246" s="890">
        <v>1</v>
      </c>
      <c r="S246" s="889" t="str">
        <f ca="1">IFERROR(_xll.qlRateHelperEarliestDate(M246,Trigger),"--")</f>
        <v>--</v>
      </c>
      <c r="T246" s="889" t="str">
        <f ca="1">IFERROR(_xll.qlRateHelperPillarDate(M246,Trigger),"--")</f>
        <v>--</v>
      </c>
      <c r="V246" s="4" t="str">
        <f t="shared" ca="1" si="27"/>
        <v/>
      </c>
      <c r="W246" s="4" t="e">
        <f ca="1"/>
        <v>#NAME?</v>
      </c>
      <c r="X246" s="4" t="str">
        <f ca="1">IFERROR(_xll.qlRateHelperQuoteName(W246,Trigger),"")</f>
        <v/>
      </c>
      <c r="Y246" s="888" t="str">
        <f ca="1">IFERROR(_xll.qlRateHelperRate(W246,Trigger),"")</f>
        <v/>
      </c>
      <c r="Z246" s="887"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6" t="e">
        <f ca="1"/>
        <v>#NAME?</v>
      </c>
    </row>
    <row r="247" spans="1:29" x14ac:dyDescent="0.2">
      <c r="A247" s="873" t="s">
        <v>410</v>
      </c>
      <c r="B247" s="875" t="s">
        <v>44</v>
      </c>
      <c r="C247" s="874" t="s">
        <v>46</v>
      </c>
      <c r="D247" s="874" t="s">
        <v>323</v>
      </c>
      <c r="E247" s="874" t="s">
        <v>322</v>
      </c>
      <c r="F247" s="874" t="s">
        <v>221</v>
      </c>
      <c r="G247" s="874" t="str">
        <f t="shared" si="30"/>
        <v>Euribor6M</v>
      </c>
      <c r="H247" s="873" t="str">
        <f t="shared" si="31"/>
        <v>EUR10F12Y_Quote</v>
      </c>
      <c r="I247" s="876">
        <v>0</v>
      </c>
      <c r="J247" s="43"/>
      <c r="L247" s="894" t="str">
        <f t="shared" si="28"/>
        <v>FwdSw</v>
      </c>
      <c r="M247" s="890" t="str">
        <f t="shared" si="29"/>
        <v>--</v>
      </c>
      <c r="N247" s="893" t="str">
        <f ca="1">IFERROR(_xll.qlRateHelperQuoteName(M247,Trigger),"--")</f>
        <v>--</v>
      </c>
      <c r="O247" s="892" t="str">
        <f ca="1">IFERROR(_xll.qlRateHelperQuoteValue($M247,Trigger),"--")</f>
        <v>--</v>
      </c>
      <c r="P247" s="969" t="b">
        <v>0</v>
      </c>
      <c r="Q247" s="890">
        <v>50</v>
      </c>
      <c r="R247" s="890">
        <v>1</v>
      </c>
      <c r="S247" s="889" t="str">
        <f ca="1">IFERROR(_xll.qlRateHelperEarliestDate(M247,Trigger),"--")</f>
        <v>--</v>
      </c>
      <c r="T247" s="889" t="str">
        <f ca="1">IFERROR(_xll.qlRateHelperPillarDate(M247,Trigger),"--")</f>
        <v>--</v>
      </c>
      <c r="V247" s="4" t="str">
        <f t="shared" ca="1" si="27"/>
        <v/>
      </c>
      <c r="W247" s="4" t="e">
        <f ca="1"/>
        <v>#NAME?</v>
      </c>
      <c r="X247" s="4" t="str">
        <f ca="1">IFERROR(_xll.qlRateHelperQuoteName(W247,Trigger),"")</f>
        <v/>
      </c>
      <c r="Y247" s="888" t="str">
        <f ca="1">IFERROR(_xll.qlRateHelperRate(W247,Trigger),"")</f>
        <v/>
      </c>
      <c r="Z247" s="887"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6" t="e">
        <f ca="1"/>
        <v>#NAME?</v>
      </c>
    </row>
    <row r="248" spans="1:29" x14ac:dyDescent="0.2">
      <c r="A248" s="873" t="s">
        <v>410</v>
      </c>
      <c r="B248" s="875" t="s">
        <v>43</v>
      </c>
      <c r="C248" s="874" t="s">
        <v>46</v>
      </c>
      <c r="D248" s="874" t="s">
        <v>323</v>
      </c>
      <c r="E248" s="874" t="s">
        <v>322</v>
      </c>
      <c r="F248" s="874" t="s">
        <v>221</v>
      </c>
      <c r="G248" s="874" t="str">
        <f t="shared" si="30"/>
        <v>Euribor6M</v>
      </c>
      <c r="H248" s="873" t="str">
        <f t="shared" si="31"/>
        <v>EUR10F13Y_Quote</v>
      </c>
      <c r="I248" s="876">
        <v>0</v>
      </c>
      <c r="J248" s="43"/>
      <c r="L248" s="894" t="str">
        <f t="shared" si="28"/>
        <v>FwdSw</v>
      </c>
      <c r="M248" s="890" t="str">
        <f t="shared" si="29"/>
        <v>--</v>
      </c>
      <c r="N248" s="893" t="str">
        <f ca="1">IFERROR(_xll.qlRateHelperQuoteName(M248,Trigger),"--")</f>
        <v>--</v>
      </c>
      <c r="O248" s="892" t="str">
        <f ca="1">IFERROR(_xll.qlRateHelperQuoteValue($M248,Trigger),"--")</f>
        <v>--</v>
      </c>
      <c r="P248" s="969" t="b">
        <v>0</v>
      </c>
      <c r="Q248" s="890">
        <v>50</v>
      </c>
      <c r="R248" s="890">
        <v>1</v>
      </c>
      <c r="S248" s="889" t="str">
        <f ca="1">IFERROR(_xll.qlRateHelperEarliestDate(M248,Trigger),"--")</f>
        <v>--</v>
      </c>
      <c r="T248" s="889" t="str">
        <f ca="1">IFERROR(_xll.qlRateHelperPillarDate(M248,Trigger),"--")</f>
        <v>--</v>
      </c>
      <c r="V248" s="4" t="str">
        <f t="shared" ca="1" si="27"/>
        <v/>
      </c>
      <c r="W248" s="4" t="e">
        <f ca="1"/>
        <v>#NAME?</v>
      </c>
      <c r="X248" s="4" t="str">
        <f ca="1">IFERROR(_xll.qlRateHelperQuoteName(W248,Trigger),"")</f>
        <v/>
      </c>
      <c r="Y248" s="888" t="str">
        <f ca="1">IFERROR(_xll.qlRateHelperRate(W248,Trigger),"")</f>
        <v/>
      </c>
      <c r="Z248" s="887"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6" t="e">
        <f ca="1"/>
        <v>#NAME?</v>
      </c>
    </row>
    <row r="249" spans="1:29" x14ac:dyDescent="0.2">
      <c r="A249" s="873" t="s">
        <v>410</v>
      </c>
      <c r="B249" s="875" t="s">
        <v>42</v>
      </c>
      <c r="C249" s="874" t="s">
        <v>46</v>
      </c>
      <c r="D249" s="874" t="s">
        <v>323</v>
      </c>
      <c r="E249" s="874" t="s">
        <v>322</v>
      </c>
      <c r="F249" s="874" t="s">
        <v>221</v>
      </c>
      <c r="G249" s="874" t="str">
        <f t="shared" si="30"/>
        <v>Euribor6M</v>
      </c>
      <c r="H249" s="873" t="str">
        <f t="shared" si="31"/>
        <v>EUR10F14Y_Quote</v>
      </c>
      <c r="I249" s="876">
        <v>0</v>
      </c>
      <c r="J249" s="43"/>
      <c r="L249" s="894" t="str">
        <f t="shared" si="28"/>
        <v>FwdSw</v>
      </c>
      <c r="M249" s="890" t="str">
        <f t="shared" si="29"/>
        <v>--</v>
      </c>
      <c r="N249" s="893" t="str">
        <f ca="1">IFERROR(_xll.qlRateHelperQuoteName(M249,Trigger),"--")</f>
        <v>--</v>
      </c>
      <c r="O249" s="892" t="str">
        <f ca="1">IFERROR(_xll.qlRateHelperQuoteValue($M249,Trigger),"--")</f>
        <v>--</v>
      </c>
      <c r="P249" s="969" t="b">
        <v>0</v>
      </c>
      <c r="Q249" s="890">
        <v>50</v>
      </c>
      <c r="R249" s="890">
        <v>1</v>
      </c>
      <c r="S249" s="889" t="str">
        <f ca="1">IFERROR(_xll.qlRateHelperEarliestDate(M249,Trigger),"--")</f>
        <v>--</v>
      </c>
      <c r="T249" s="889" t="str">
        <f ca="1">IFERROR(_xll.qlRateHelperPillarDate(M249,Trigger),"--")</f>
        <v>--</v>
      </c>
      <c r="V249" s="4" t="str">
        <f t="shared" ca="1" si="27"/>
        <v/>
      </c>
      <c r="W249" s="4" t="e">
        <f ca="1"/>
        <v>#NAME?</v>
      </c>
      <c r="X249" s="4" t="str">
        <f ca="1">IFERROR(_xll.qlRateHelperQuoteName(W249,Trigger),"")</f>
        <v/>
      </c>
      <c r="Y249" s="888" t="str">
        <f ca="1">IFERROR(_xll.qlRateHelperRate(W249,Trigger),"")</f>
        <v/>
      </c>
      <c r="Z249" s="887"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6" t="e">
        <f ca="1"/>
        <v>#NAME?</v>
      </c>
    </row>
    <row r="250" spans="1:29" x14ac:dyDescent="0.2">
      <c r="A250" s="873" t="s">
        <v>410</v>
      </c>
      <c r="B250" s="875" t="s">
        <v>41</v>
      </c>
      <c r="C250" s="874" t="s">
        <v>46</v>
      </c>
      <c r="D250" s="874" t="s">
        <v>323</v>
      </c>
      <c r="E250" s="874" t="s">
        <v>322</v>
      </c>
      <c r="F250" s="874" t="s">
        <v>221</v>
      </c>
      <c r="G250" s="874" t="str">
        <f t="shared" si="30"/>
        <v>Euribor6M</v>
      </c>
      <c r="H250" s="873" t="str">
        <f t="shared" si="31"/>
        <v>EUR10F15Y_Quote</v>
      </c>
      <c r="I250" s="876">
        <v>0</v>
      </c>
      <c r="J250" s="43"/>
      <c r="L250" s="894" t="str">
        <f t="shared" si="28"/>
        <v>FwdSw</v>
      </c>
      <c r="M250" s="890" t="str">
        <f t="shared" si="29"/>
        <v>--</v>
      </c>
      <c r="N250" s="893" t="str">
        <f ca="1">IFERROR(_xll.qlRateHelperQuoteName(M250,Trigger),"--")</f>
        <v>--</v>
      </c>
      <c r="O250" s="892" t="str">
        <f ca="1">IFERROR(_xll.qlRateHelperQuoteValue($M250,Trigger),"--")</f>
        <v>--</v>
      </c>
      <c r="P250" s="969" t="b">
        <v>0</v>
      </c>
      <c r="Q250" s="890">
        <v>50</v>
      </c>
      <c r="R250" s="890">
        <v>1</v>
      </c>
      <c r="S250" s="889" t="str">
        <f ca="1">IFERROR(_xll.qlRateHelperEarliestDate(M250,Trigger),"--")</f>
        <v>--</v>
      </c>
      <c r="T250" s="889" t="str">
        <f ca="1">IFERROR(_xll.qlRateHelperPillarDate(M250,Trigger),"--")</f>
        <v>--</v>
      </c>
      <c r="V250" s="4" t="str">
        <f t="shared" ca="1" si="27"/>
        <v/>
      </c>
      <c r="W250" s="4" t="e">
        <f ca="1"/>
        <v>#NAME?</v>
      </c>
      <c r="X250" s="4" t="str">
        <f ca="1">IFERROR(_xll.qlRateHelperQuoteName(W250,Trigger),"")</f>
        <v/>
      </c>
      <c r="Y250" s="888" t="str">
        <f ca="1">IFERROR(_xll.qlRateHelperRate(W250,Trigger),"")</f>
        <v/>
      </c>
      <c r="Z250" s="887"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6" t="e">
        <f ca="1"/>
        <v>#NAME?</v>
      </c>
    </row>
    <row r="251" spans="1:29" x14ac:dyDescent="0.2">
      <c r="A251" s="873" t="s">
        <v>410</v>
      </c>
      <c r="B251" s="875" t="s">
        <v>36</v>
      </c>
      <c r="C251" s="874" t="s">
        <v>46</v>
      </c>
      <c r="D251" s="874" t="s">
        <v>323</v>
      </c>
      <c r="E251" s="874" t="s">
        <v>322</v>
      </c>
      <c r="F251" s="874" t="s">
        <v>221</v>
      </c>
      <c r="G251" s="874" t="str">
        <f t="shared" si="30"/>
        <v>Euribor6M</v>
      </c>
      <c r="H251" s="873" t="str">
        <f t="shared" si="31"/>
        <v>EUR10F20Y_Quote</v>
      </c>
      <c r="I251" s="876">
        <v>0</v>
      </c>
      <c r="J251" s="43"/>
      <c r="L251" s="894" t="str">
        <f t="shared" si="28"/>
        <v>FwdSw</v>
      </c>
      <c r="M251" s="890" t="str">
        <f t="shared" si="29"/>
        <v>--</v>
      </c>
      <c r="N251" s="893" t="str">
        <f ca="1">IFERROR(_xll.qlRateHelperQuoteName(M251,Trigger),"--")</f>
        <v>--</v>
      </c>
      <c r="O251" s="892" t="str">
        <f ca="1">IFERROR(_xll.qlRateHelperQuoteValue($M251,Trigger),"--")</f>
        <v>--</v>
      </c>
      <c r="P251" s="969" t="b">
        <v>0</v>
      </c>
      <c r="Q251" s="890">
        <v>50</v>
      </c>
      <c r="R251" s="890">
        <v>1</v>
      </c>
      <c r="S251" s="889" t="str">
        <f ca="1">IFERROR(_xll.qlRateHelperEarliestDate(M251,Trigger),"--")</f>
        <v>--</v>
      </c>
      <c r="T251" s="889" t="str">
        <f ca="1">IFERROR(_xll.qlRateHelperPillarDate(M251,Trigger),"--")</f>
        <v>--</v>
      </c>
      <c r="V251" s="4" t="str">
        <f t="shared" ca="1" si="27"/>
        <v/>
      </c>
      <c r="W251" s="4" t="e">
        <f ca="1"/>
        <v>#NAME?</v>
      </c>
      <c r="X251" s="4" t="str">
        <f ca="1">IFERROR(_xll.qlRateHelperQuoteName(W251,Trigger),"")</f>
        <v/>
      </c>
      <c r="Y251" s="888" t="str">
        <f ca="1">IFERROR(_xll.qlRateHelperRate(W251,Trigger),"")</f>
        <v/>
      </c>
      <c r="Z251" s="887"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6" t="e">
        <f ca="1"/>
        <v>#NAME?</v>
      </c>
    </row>
    <row r="252" spans="1:29" x14ac:dyDescent="0.2">
      <c r="A252" s="873" t="s">
        <v>410</v>
      </c>
      <c r="B252" s="875" t="s">
        <v>31</v>
      </c>
      <c r="C252" s="874" t="s">
        <v>46</v>
      </c>
      <c r="D252" s="874" t="s">
        <v>323</v>
      </c>
      <c r="E252" s="874" t="s">
        <v>322</v>
      </c>
      <c r="F252" s="874" t="s">
        <v>221</v>
      </c>
      <c r="G252" s="874" t="str">
        <f t="shared" si="30"/>
        <v>Euribor6M</v>
      </c>
      <c r="H252" s="873" t="str">
        <f t="shared" si="31"/>
        <v>EUR10F25Y_Quote</v>
      </c>
      <c r="I252" s="876">
        <v>0</v>
      </c>
      <c r="J252" s="43"/>
      <c r="L252" s="894" t="str">
        <f t="shared" si="28"/>
        <v>FwdSw</v>
      </c>
      <c r="M252" s="890" t="str">
        <f t="shared" si="29"/>
        <v>--</v>
      </c>
      <c r="N252" s="893" t="str">
        <f ca="1">IFERROR(_xll.qlRateHelperQuoteName(M252,Trigger),"--")</f>
        <v>--</v>
      </c>
      <c r="O252" s="892" t="str">
        <f ca="1">IFERROR(_xll.qlRateHelperQuoteValue($M252,Trigger),"--")</f>
        <v>--</v>
      </c>
      <c r="P252" s="969" t="b">
        <v>0</v>
      </c>
      <c r="Q252" s="890">
        <v>50</v>
      </c>
      <c r="R252" s="890">
        <v>1</v>
      </c>
      <c r="S252" s="889" t="str">
        <f ca="1">IFERROR(_xll.qlRateHelperEarliestDate(M252,Trigger),"--")</f>
        <v>--</v>
      </c>
      <c r="T252" s="889" t="str">
        <f ca="1">IFERROR(_xll.qlRateHelperPillarDate(M252,Trigger),"--")</f>
        <v>--</v>
      </c>
      <c r="V252" s="4" t="str">
        <f t="shared" ca="1" si="27"/>
        <v/>
      </c>
      <c r="W252" s="4" t="e">
        <f ca="1"/>
        <v>#NAME?</v>
      </c>
      <c r="X252" s="4" t="str">
        <f ca="1">IFERROR(_xll.qlRateHelperQuoteName(W252,Trigger),"")</f>
        <v/>
      </c>
      <c r="Y252" s="888" t="str">
        <f ca="1">IFERROR(_xll.qlRateHelperRate(W252,Trigger),"")</f>
        <v/>
      </c>
      <c r="Z252" s="887"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6" t="e">
        <f ca="1"/>
        <v>#NAME?</v>
      </c>
    </row>
    <row r="253" spans="1:29" x14ac:dyDescent="0.2">
      <c r="A253" s="869" t="s">
        <v>410</v>
      </c>
      <c r="B253" s="871" t="s">
        <v>26</v>
      </c>
      <c r="C253" s="870" t="s">
        <v>46</v>
      </c>
      <c r="D253" s="870" t="s">
        <v>323</v>
      </c>
      <c r="E253" s="870" t="s">
        <v>322</v>
      </c>
      <c r="F253" s="870" t="s">
        <v>221</v>
      </c>
      <c r="G253" s="870" t="str">
        <f t="shared" si="30"/>
        <v>Euribor6M</v>
      </c>
      <c r="H253" s="869" t="str">
        <f t="shared" si="31"/>
        <v>EUR10F30Y_Quote</v>
      </c>
      <c r="I253" s="984">
        <v>0</v>
      </c>
      <c r="J253" s="38"/>
      <c r="L253" s="894" t="str">
        <f t="shared" si="28"/>
        <v>FwdSw</v>
      </c>
      <c r="M253" s="890" t="str">
        <f t="shared" si="29"/>
        <v>--</v>
      </c>
      <c r="N253" s="893" t="str">
        <f ca="1">IFERROR(_xll.qlRateHelperQuoteName(M253,Trigger),"--")</f>
        <v>--</v>
      </c>
      <c r="O253" s="892" t="str">
        <f ca="1">IFERROR(_xll.qlRateHelperQuoteValue($M253,Trigger),"--")</f>
        <v>--</v>
      </c>
      <c r="P253" s="969" t="b">
        <v>0</v>
      </c>
      <c r="Q253" s="890">
        <v>50</v>
      </c>
      <c r="R253" s="890">
        <v>1</v>
      </c>
      <c r="S253" s="889" t="str">
        <f ca="1">IFERROR(_xll.qlRateHelperEarliestDate(M253,Trigger),"--")</f>
        <v>--</v>
      </c>
      <c r="T253" s="889" t="str">
        <f ca="1">IFERROR(_xll.qlRateHelperPillarDate(M253,Trigger),"--")</f>
        <v>--</v>
      </c>
      <c r="V253" s="4" t="str">
        <f t="shared" ca="1" si="27"/>
        <v/>
      </c>
      <c r="W253" s="4" t="e">
        <f ca="1"/>
        <v>#NAME?</v>
      </c>
      <c r="X253" s="4" t="str">
        <f ca="1">IFERROR(_xll.qlRateHelperQuoteName(W253,Trigger),"")</f>
        <v/>
      </c>
      <c r="Y253" s="888" t="str">
        <f ca="1">IFERROR(_xll.qlRateHelperRate(W253,Trigger),"")</f>
        <v/>
      </c>
      <c r="Z253" s="887"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6" t="e">
        <f ca="1"/>
        <v>#NAME?</v>
      </c>
    </row>
    <row r="254" spans="1:29" x14ac:dyDescent="0.2">
      <c r="A254" s="873" t="s">
        <v>410</v>
      </c>
      <c r="B254" s="875" t="s">
        <v>58</v>
      </c>
      <c r="C254" s="874" t="s">
        <v>45</v>
      </c>
      <c r="D254" s="874" t="s">
        <v>323</v>
      </c>
      <c r="E254" s="874" t="s">
        <v>322</v>
      </c>
      <c r="F254" s="874" t="s">
        <v>221</v>
      </c>
      <c r="G254" s="874" t="str">
        <f t="shared" si="30"/>
        <v>Euribor6M</v>
      </c>
      <c r="H254" s="873" t="str">
        <f t="shared" si="31"/>
        <v>EUR11F1Y_Quote</v>
      </c>
      <c r="I254" s="876">
        <v>0</v>
      </c>
      <c r="J254" s="43"/>
      <c r="L254" s="894" t="str">
        <f t="shared" si="28"/>
        <v>FwdSw</v>
      </c>
      <c r="M254" s="890" t="str">
        <f t="shared" si="29"/>
        <v>--</v>
      </c>
      <c r="N254" s="893" t="str">
        <f ca="1">IFERROR(_xll.qlRateHelperQuoteName(M254,Trigger),"--")</f>
        <v>--</v>
      </c>
      <c r="O254" s="892" t="str">
        <f ca="1">IFERROR(_xll.qlRateHelperQuoteValue($M254,Trigger),"--")</f>
        <v>--</v>
      </c>
      <c r="P254" s="969" t="b">
        <v>0</v>
      </c>
      <c r="Q254" s="890">
        <v>50</v>
      </c>
      <c r="R254" s="890">
        <v>1</v>
      </c>
      <c r="S254" s="889" t="str">
        <f ca="1">IFERROR(_xll.qlRateHelperEarliestDate(M254,Trigger),"--")</f>
        <v>--</v>
      </c>
      <c r="T254" s="889" t="str">
        <f ca="1">IFERROR(_xll.qlRateHelperPillarDate(M254,Trigger),"--")</f>
        <v>--</v>
      </c>
      <c r="V254" s="4" t="str">
        <f t="shared" ca="1" si="27"/>
        <v/>
      </c>
      <c r="W254" s="4" t="e">
        <f ca="1"/>
        <v>#NAME?</v>
      </c>
      <c r="X254" s="4" t="str">
        <f ca="1">IFERROR(_xll.qlRateHelperQuoteName(W254,Trigger),"")</f>
        <v/>
      </c>
      <c r="Y254" s="888" t="str">
        <f ca="1">IFERROR(_xll.qlRateHelperRate(W254,Trigger),"")</f>
        <v/>
      </c>
      <c r="Z254" s="887"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6" t="e">
        <f ca="1"/>
        <v>#NAME?</v>
      </c>
    </row>
    <row r="255" spans="1:29" x14ac:dyDescent="0.2">
      <c r="A255" s="873" t="s">
        <v>410</v>
      </c>
      <c r="B255" s="875" t="s">
        <v>54</v>
      </c>
      <c r="C255" s="874" t="s">
        <v>45</v>
      </c>
      <c r="D255" s="874" t="s">
        <v>323</v>
      </c>
      <c r="E255" s="874" t="s">
        <v>322</v>
      </c>
      <c r="F255" s="874" t="s">
        <v>221</v>
      </c>
      <c r="G255" s="874" t="str">
        <f t="shared" si="30"/>
        <v>Euribor6M</v>
      </c>
      <c r="H255" s="873" t="str">
        <f t="shared" si="31"/>
        <v>EUR11F2Y_Quote</v>
      </c>
      <c r="I255" s="876">
        <v>0</v>
      </c>
      <c r="J255" s="43"/>
      <c r="L255" s="894" t="str">
        <f t="shared" si="28"/>
        <v>FwdSw</v>
      </c>
      <c r="M255" s="890" t="str">
        <f t="shared" si="29"/>
        <v>--</v>
      </c>
      <c r="N255" s="893" t="str">
        <f ca="1">IFERROR(_xll.qlRateHelperQuoteName(M255,Trigger),"--")</f>
        <v>--</v>
      </c>
      <c r="O255" s="892" t="str">
        <f ca="1">IFERROR(_xll.qlRateHelperQuoteValue($M255,Trigger),"--")</f>
        <v>--</v>
      </c>
      <c r="P255" s="969" t="b">
        <v>0</v>
      </c>
      <c r="Q255" s="890">
        <v>50</v>
      </c>
      <c r="R255" s="890">
        <v>1</v>
      </c>
      <c r="S255" s="889" t="str">
        <f ca="1">IFERROR(_xll.qlRateHelperEarliestDate(M255,Trigger),"--")</f>
        <v>--</v>
      </c>
      <c r="T255" s="889" t="str">
        <f ca="1">IFERROR(_xll.qlRateHelperPillarDate(M255,Trigger),"--")</f>
        <v>--</v>
      </c>
      <c r="V255" s="4" t="str">
        <f t="shared" ca="1" si="27"/>
        <v/>
      </c>
      <c r="W255" s="4" t="e">
        <f ca="1"/>
        <v>#NAME?</v>
      </c>
      <c r="X255" s="4" t="str">
        <f ca="1">IFERROR(_xll.qlRateHelperQuoteName(W255,Trigger),"")</f>
        <v/>
      </c>
      <c r="Y255" s="888" t="str">
        <f ca="1">IFERROR(_xll.qlRateHelperRate(W255,Trigger),"")</f>
        <v/>
      </c>
      <c r="Z255" s="887"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6" t="e">
        <f ca="1"/>
        <v>#NAME?</v>
      </c>
    </row>
    <row r="256" spans="1:29" x14ac:dyDescent="0.2">
      <c r="A256" s="873" t="s">
        <v>410</v>
      </c>
      <c r="B256" s="875" t="s">
        <v>53</v>
      </c>
      <c r="C256" s="874" t="s">
        <v>45</v>
      </c>
      <c r="D256" s="874" t="s">
        <v>323</v>
      </c>
      <c r="E256" s="874" t="s">
        <v>322</v>
      </c>
      <c r="F256" s="874" t="s">
        <v>221</v>
      </c>
      <c r="G256" s="874" t="str">
        <f t="shared" si="30"/>
        <v>Euribor6M</v>
      </c>
      <c r="H256" s="873" t="str">
        <f t="shared" si="31"/>
        <v>EUR11F3Y_Quote</v>
      </c>
      <c r="I256" s="876">
        <v>0</v>
      </c>
      <c r="J256" s="43"/>
      <c r="L256" s="894" t="str">
        <f t="shared" si="28"/>
        <v>FwdSw</v>
      </c>
      <c r="M256" s="890" t="str">
        <f t="shared" si="29"/>
        <v>--</v>
      </c>
      <c r="N256" s="893" t="str">
        <f ca="1">IFERROR(_xll.qlRateHelperQuoteName(M256,Trigger),"--")</f>
        <v>--</v>
      </c>
      <c r="O256" s="892" t="str">
        <f ca="1">IFERROR(_xll.qlRateHelperQuoteValue($M256,Trigger),"--")</f>
        <v>--</v>
      </c>
      <c r="P256" s="969" t="b">
        <v>0</v>
      </c>
      <c r="Q256" s="890">
        <v>50</v>
      </c>
      <c r="R256" s="890">
        <v>1</v>
      </c>
      <c r="S256" s="889" t="str">
        <f ca="1">IFERROR(_xll.qlRateHelperEarliestDate(M256,Trigger),"--")</f>
        <v>--</v>
      </c>
      <c r="T256" s="889" t="str">
        <f ca="1">IFERROR(_xll.qlRateHelperPillarDate(M256,Trigger),"--")</f>
        <v>--</v>
      </c>
      <c r="V256" s="4" t="str">
        <f t="shared" ca="1" si="27"/>
        <v/>
      </c>
      <c r="W256" s="4" t="e">
        <f ca="1"/>
        <v>#NAME?</v>
      </c>
      <c r="X256" s="4" t="str">
        <f ca="1">IFERROR(_xll.qlRateHelperQuoteName(W256,Trigger),"")</f>
        <v/>
      </c>
      <c r="Y256" s="888" t="str">
        <f ca="1">IFERROR(_xll.qlRateHelperRate(W256,Trigger),"")</f>
        <v/>
      </c>
      <c r="Z256" s="887"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6" t="e">
        <f ca="1"/>
        <v>#NAME?</v>
      </c>
    </row>
    <row r="257" spans="1:29" x14ac:dyDescent="0.2">
      <c r="A257" s="873" t="s">
        <v>410</v>
      </c>
      <c r="B257" s="875" t="s">
        <v>52</v>
      </c>
      <c r="C257" s="874" t="s">
        <v>45</v>
      </c>
      <c r="D257" s="874" t="s">
        <v>323</v>
      </c>
      <c r="E257" s="874" t="s">
        <v>322</v>
      </c>
      <c r="F257" s="874" t="s">
        <v>221</v>
      </c>
      <c r="G257" s="874" t="str">
        <f t="shared" si="30"/>
        <v>Euribor6M</v>
      </c>
      <c r="H257" s="873" t="str">
        <f t="shared" si="31"/>
        <v>EUR11F4Y_Quote</v>
      </c>
      <c r="I257" s="876">
        <v>0</v>
      </c>
      <c r="J257" s="43"/>
      <c r="L257" s="894" t="str">
        <f t="shared" si="28"/>
        <v>FwdSw</v>
      </c>
      <c r="M257" s="890" t="str">
        <f t="shared" si="29"/>
        <v>--</v>
      </c>
      <c r="N257" s="893" t="str">
        <f ca="1">IFERROR(_xll.qlRateHelperQuoteName(M257,Trigger),"--")</f>
        <v>--</v>
      </c>
      <c r="O257" s="892" t="str">
        <f ca="1">IFERROR(_xll.qlRateHelperQuoteValue($M257,Trigger),"--")</f>
        <v>--</v>
      </c>
      <c r="P257" s="969" t="b">
        <v>0</v>
      </c>
      <c r="Q257" s="890">
        <v>50</v>
      </c>
      <c r="R257" s="890">
        <v>1</v>
      </c>
      <c r="S257" s="889" t="str">
        <f ca="1">IFERROR(_xll.qlRateHelperEarliestDate(M257,Trigger),"--")</f>
        <v>--</v>
      </c>
      <c r="T257" s="889" t="str">
        <f ca="1">IFERROR(_xll.qlRateHelperPillarDate(M257,Trigger),"--")</f>
        <v>--</v>
      </c>
      <c r="V257" s="4" t="str">
        <f t="shared" ca="1" si="27"/>
        <v/>
      </c>
      <c r="W257" s="4" t="e">
        <f ca="1"/>
        <v>#NAME?</v>
      </c>
      <c r="X257" s="4" t="str">
        <f ca="1">IFERROR(_xll.qlRateHelperQuoteName(W257,Trigger),"")</f>
        <v/>
      </c>
      <c r="Y257" s="888" t="str">
        <f ca="1">IFERROR(_xll.qlRateHelperRate(W257,Trigger),"")</f>
        <v/>
      </c>
      <c r="Z257" s="887"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6" t="e">
        <f ca="1"/>
        <v>#NAME?</v>
      </c>
    </row>
    <row r="258" spans="1:29" x14ac:dyDescent="0.2">
      <c r="A258" s="873" t="s">
        <v>410</v>
      </c>
      <c r="B258" s="875" t="s">
        <v>51</v>
      </c>
      <c r="C258" s="874" t="s">
        <v>45</v>
      </c>
      <c r="D258" s="874" t="s">
        <v>323</v>
      </c>
      <c r="E258" s="874" t="s">
        <v>322</v>
      </c>
      <c r="F258" s="874" t="s">
        <v>221</v>
      </c>
      <c r="G258" s="874" t="str">
        <f t="shared" si="30"/>
        <v>Euribor6M</v>
      </c>
      <c r="H258" s="873" t="str">
        <f t="shared" si="31"/>
        <v>EUR11F5Y_Quote</v>
      </c>
      <c r="I258" s="876">
        <v>0</v>
      </c>
      <c r="J258" s="43"/>
      <c r="L258" s="894" t="str">
        <f t="shared" si="28"/>
        <v>FwdSw</v>
      </c>
      <c r="M258" s="890" t="str">
        <f t="shared" si="29"/>
        <v>--</v>
      </c>
      <c r="N258" s="893" t="str">
        <f ca="1">IFERROR(_xll.qlRateHelperQuoteName(M258,Trigger),"--")</f>
        <v>--</v>
      </c>
      <c r="O258" s="892" t="str">
        <f ca="1">IFERROR(_xll.qlRateHelperQuoteValue($M258,Trigger),"--")</f>
        <v>--</v>
      </c>
      <c r="P258" s="969" t="b">
        <v>0</v>
      </c>
      <c r="Q258" s="890">
        <v>50</v>
      </c>
      <c r="R258" s="890">
        <v>1</v>
      </c>
      <c r="S258" s="889" t="str">
        <f ca="1">IFERROR(_xll.qlRateHelperEarliestDate(M258,Trigger),"--")</f>
        <v>--</v>
      </c>
      <c r="T258" s="889" t="str">
        <f ca="1">IFERROR(_xll.qlRateHelperPillarDate(M258,Trigger),"--")</f>
        <v>--</v>
      </c>
      <c r="V258" s="4" t="str">
        <f t="shared" ca="1" si="27"/>
        <v/>
      </c>
      <c r="W258" s="4" t="e">
        <f ca="1"/>
        <v>#NAME?</v>
      </c>
      <c r="X258" s="4" t="str">
        <f ca="1">IFERROR(_xll.qlRateHelperQuoteName(W258,Trigger),"")</f>
        <v/>
      </c>
      <c r="Y258" s="888" t="str">
        <f ca="1">IFERROR(_xll.qlRateHelperRate(W258,Trigger),"")</f>
        <v/>
      </c>
      <c r="Z258" s="887"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6" t="e">
        <f ca="1"/>
        <v>#NAME?</v>
      </c>
    </row>
    <row r="259" spans="1:29" x14ac:dyDescent="0.2">
      <c r="A259" s="873" t="s">
        <v>410</v>
      </c>
      <c r="B259" s="875" t="s">
        <v>50</v>
      </c>
      <c r="C259" s="874" t="s">
        <v>45</v>
      </c>
      <c r="D259" s="874" t="s">
        <v>323</v>
      </c>
      <c r="E259" s="874" t="s">
        <v>322</v>
      </c>
      <c r="F259" s="874" t="s">
        <v>221</v>
      </c>
      <c r="G259" s="874" t="str">
        <f t="shared" si="30"/>
        <v>Euribor6M</v>
      </c>
      <c r="H259" s="873" t="str">
        <f t="shared" si="31"/>
        <v>EUR11F6Y_Quote</v>
      </c>
      <c r="I259" s="876">
        <v>0</v>
      </c>
      <c r="J259" s="43"/>
      <c r="L259" s="894" t="str">
        <f t="shared" si="28"/>
        <v>FwdSw</v>
      </c>
      <c r="M259" s="890" t="str">
        <f t="shared" si="29"/>
        <v>--</v>
      </c>
      <c r="N259" s="893" t="str">
        <f ca="1">IFERROR(_xll.qlRateHelperQuoteName(M259,Trigger),"--")</f>
        <v>--</v>
      </c>
      <c r="O259" s="892" t="str">
        <f ca="1">IFERROR(_xll.qlRateHelperQuoteValue($M259,Trigger),"--")</f>
        <v>--</v>
      </c>
      <c r="P259" s="969" t="b">
        <v>0</v>
      </c>
      <c r="Q259" s="890">
        <v>50</v>
      </c>
      <c r="R259" s="890">
        <v>1</v>
      </c>
      <c r="S259" s="889" t="str">
        <f ca="1">IFERROR(_xll.qlRateHelperEarliestDate(M259,Trigger),"--")</f>
        <v>--</v>
      </c>
      <c r="T259" s="889" t="str">
        <f ca="1">IFERROR(_xll.qlRateHelperPillarDate(M259,Trigger),"--")</f>
        <v>--</v>
      </c>
      <c r="V259" s="4" t="str">
        <f t="shared" ref="V259:V322" ca="1" si="32">IFERROR(INDEX($L$3:$L$391,MATCH(X259,$N$3:$N$391,0),1),"")</f>
        <v/>
      </c>
      <c r="W259" s="4" t="e">
        <f ca="1"/>
        <v>#NAME?</v>
      </c>
      <c r="X259" s="4" t="str">
        <f ca="1">IFERROR(_xll.qlRateHelperQuoteName(W259,Trigger),"")</f>
        <v/>
      </c>
      <c r="Y259" s="888" t="str">
        <f ca="1">IFERROR(_xll.qlRateHelperRate(W259,Trigger),"")</f>
        <v/>
      </c>
      <c r="Z259" s="887"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6" t="e">
        <f ca="1"/>
        <v>#NAME?</v>
      </c>
    </row>
    <row r="260" spans="1:29" x14ac:dyDescent="0.2">
      <c r="A260" s="873" t="s">
        <v>410</v>
      </c>
      <c r="B260" s="875" t="s">
        <v>49</v>
      </c>
      <c r="C260" s="874" t="s">
        <v>45</v>
      </c>
      <c r="D260" s="874" t="s">
        <v>323</v>
      </c>
      <c r="E260" s="874" t="s">
        <v>322</v>
      </c>
      <c r="F260" s="874" t="s">
        <v>221</v>
      </c>
      <c r="G260" s="874" t="str">
        <f t="shared" si="30"/>
        <v>Euribor6M</v>
      </c>
      <c r="H260" s="873" t="str">
        <f t="shared" si="31"/>
        <v>EUR11F7Y_Quote</v>
      </c>
      <c r="I260" s="876">
        <v>0</v>
      </c>
      <c r="J260" s="43"/>
      <c r="L260" s="894" t="str">
        <f t="shared" ref="L260:L323" si="33">A266</f>
        <v>FwdSw</v>
      </c>
      <c r="M260" s="890" t="str">
        <f t="shared" ref="M260:M323" si="34">IF(ISBLANK(J266),"--",J266)</f>
        <v>--</v>
      </c>
      <c r="N260" s="893" t="str">
        <f ca="1">IFERROR(_xll.qlRateHelperQuoteName(M260,Trigger),"--")</f>
        <v>--</v>
      </c>
      <c r="O260" s="892" t="str">
        <f ca="1">IFERROR(_xll.qlRateHelperQuoteValue($M260,Trigger),"--")</f>
        <v>--</v>
      </c>
      <c r="P260" s="969" t="b">
        <v>0</v>
      </c>
      <c r="Q260" s="890">
        <v>50</v>
      </c>
      <c r="R260" s="890">
        <v>1</v>
      </c>
      <c r="S260" s="889" t="str">
        <f ca="1">IFERROR(_xll.qlRateHelperEarliestDate(M260,Trigger),"--")</f>
        <v>--</v>
      </c>
      <c r="T260" s="889" t="str">
        <f ca="1">IFERROR(_xll.qlRateHelperPillarDate(M260,Trigger),"--")</f>
        <v>--</v>
      </c>
      <c r="V260" s="4" t="str">
        <f t="shared" ca="1" si="32"/>
        <v/>
      </c>
      <c r="W260" s="4" t="e">
        <f ca="1"/>
        <v>#NAME?</v>
      </c>
      <c r="X260" s="4" t="str">
        <f ca="1">IFERROR(_xll.qlRateHelperQuoteName(W260,Trigger),"")</f>
        <v/>
      </c>
      <c r="Y260" s="888" t="str">
        <f ca="1">IFERROR(_xll.qlRateHelperRate(W260,Trigger),"")</f>
        <v/>
      </c>
      <c r="Z260" s="887"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6" t="e">
        <f ca="1"/>
        <v>#NAME?</v>
      </c>
    </row>
    <row r="261" spans="1:29" x14ac:dyDescent="0.2">
      <c r="A261" s="873" t="s">
        <v>410</v>
      </c>
      <c r="B261" s="875" t="s">
        <v>48</v>
      </c>
      <c r="C261" s="874" t="s">
        <v>45</v>
      </c>
      <c r="D261" s="874" t="s">
        <v>323</v>
      </c>
      <c r="E261" s="874" t="s">
        <v>322</v>
      </c>
      <c r="F261" s="874" t="s">
        <v>221</v>
      </c>
      <c r="G261" s="874" t="str">
        <f t="shared" si="30"/>
        <v>Euribor6M</v>
      </c>
      <c r="H261" s="873" t="str">
        <f t="shared" si="31"/>
        <v>EUR11F8Y_Quote</v>
      </c>
      <c r="I261" s="876">
        <v>0</v>
      </c>
      <c r="J261" s="43"/>
      <c r="L261" s="894" t="str">
        <f t="shared" si="33"/>
        <v>FwdSw</v>
      </c>
      <c r="M261" s="890" t="str">
        <f t="shared" si="34"/>
        <v>--</v>
      </c>
      <c r="N261" s="893" t="str">
        <f ca="1">IFERROR(_xll.qlRateHelperQuoteName(M261,Trigger),"--")</f>
        <v>--</v>
      </c>
      <c r="O261" s="892" t="str">
        <f ca="1">IFERROR(_xll.qlRateHelperQuoteValue($M261,Trigger),"--")</f>
        <v>--</v>
      </c>
      <c r="P261" s="969" t="b">
        <v>0</v>
      </c>
      <c r="Q261" s="890">
        <v>50</v>
      </c>
      <c r="R261" s="890">
        <v>1</v>
      </c>
      <c r="S261" s="889" t="str">
        <f ca="1">IFERROR(_xll.qlRateHelperEarliestDate(M261,Trigger),"--")</f>
        <v>--</v>
      </c>
      <c r="T261" s="889" t="str">
        <f ca="1">IFERROR(_xll.qlRateHelperPillarDate(M261,Trigger),"--")</f>
        <v>--</v>
      </c>
      <c r="V261" s="4" t="str">
        <f t="shared" ca="1" si="32"/>
        <v/>
      </c>
      <c r="W261" s="4" t="e">
        <f ca="1"/>
        <v>#NAME?</v>
      </c>
      <c r="X261" s="4" t="str">
        <f ca="1">IFERROR(_xll.qlRateHelperQuoteName(W261,Trigger),"")</f>
        <v/>
      </c>
      <c r="Y261" s="888" t="str">
        <f ca="1">IFERROR(_xll.qlRateHelperRate(W261,Trigger),"")</f>
        <v/>
      </c>
      <c r="Z261" s="887"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6" t="e">
        <f ca="1"/>
        <v>#NAME?</v>
      </c>
    </row>
    <row r="262" spans="1:29" x14ac:dyDescent="0.2">
      <c r="A262" s="873" t="s">
        <v>410</v>
      </c>
      <c r="B262" s="875" t="s">
        <v>47</v>
      </c>
      <c r="C262" s="874" t="s">
        <v>45</v>
      </c>
      <c r="D262" s="874" t="s">
        <v>323</v>
      </c>
      <c r="E262" s="874" t="s">
        <v>322</v>
      </c>
      <c r="F262" s="874" t="s">
        <v>221</v>
      </c>
      <c r="G262" s="874" t="str">
        <f t="shared" si="30"/>
        <v>Euribor6M</v>
      </c>
      <c r="H262" s="873" t="str">
        <f t="shared" si="31"/>
        <v>EUR11F9Y_Quote</v>
      </c>
      <c r="I262" s="876">
        <v>0</v>
      </c>
      <c r="J262" s="43"/>
      <c r="L262" s="894" t="str">
        <f t="shared" si="33"/>
        <v>FwdSw</v>
      </c>
      <c r="M262" s="890" t="str">
        <f t="shared" si="34"/>
        <v>--</v>
      </c>
      <c r="N262" s="893" t="str">
        <f ca="1">IFERROR(_xll.qlRateHelperQuoteName(M262,Trigger),"--")</f>
        <v>--</v>
      </c>
      <c r="O262" s="892" t="str">
        <f ca="1">IFERROR(_xll.qlRateHelperQuoteValue($M262,Trigger),"--")</f>
        <v>--</v>
      </c>
      <c r="P262" s="969" t="b">
        <v>0</v>
      </c>
      <c r="Q262" s="890">
        <v>50</v>
      </c>
      <c r="R262" s="890">
        <v>1</v>
      </c>
      <c r="S262" s="889" t="str">
        <f ca="1">IFERROR(_xll.qlRateHelperEarliestDate(M262,Trigger),"--")</f>
        <v>--</v>
      </c>
      <c r="T262" s="889" t="str">
        <f ca="1">IFERROR(_xll.qlRateHelperPillarDate(M262,Trigger),"--")</f>
        <v>--</v>
      </c>
      <c r="V262" s="4" t="str">
        <f t="shared" ca="1" si="32"/>
        <v/>
      </c>
      <c r="W262" s="4" t="e">
        <f ca="1"/>
        <v>#NAME?</v>
      </c>
      <c r="X262" s="4" t="str">
        <f ca="1">IFERROR(_xll.qlRateHelperQuoteName(W262,Trigger),"")</f>
        <v/>
      </c>
      <c r="Y262" s="888" t="str">
        <f ca="1">IFERROR(_xll.qlRateHelperRate(W262,Trigger),"")</f>
        <v/>
      </c>
      <c r="Z262" s="887"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6" t="e">
        <f ca="1"/>
        <v>#NAME?</v>
      </c>
    </row>
    <row r="263" spans="1:29" x14ac:dyDescent="0.2">
      <c r="A263" s="873" t="s">
        <v>410</v>
      </c>
      <c r="B263" s="875" t="s">
        <v>46</v>
      </c>
      <c r="C263" s="874" t="s">
        <v>45</v>
      </c>
      <c r="D263" s="874" t="s">
        <v>323</v>
      </c>
      <c r="E263" s="874" t="s">
        <v>322</v>
      </c>
      <c r="F263" s="874" t="s">
        <v>221</v>
      </c>
      <c r="G263" s="874" t="str">
        <f t="shared" si="30"/>
        <v>Euribor6M</v>
      </c>
      <c r="H263" s="873" t="str">
        <f t="shared" si="31"/>
        <v>EUR11F10Y_Quote</v>
      </c>
      <c r="I263" s="876">
        <v>0</v>
      </c>
      <c r="J263" s="43"/>
      <c r="L263" s="894" t="str">
        <f t="shared" si="33"/>
        <v>FwdSw</v>
      </c>
      <c r="M263" s="890" t="str">
        <f t="shared" si="34"/>
        <v>--</v>
      </c>
      <c r="N263" s="893" t="str">
        <f ca="1">IFERROR(_xll.qlRateHelperQuoteName(M263,Trigger),"--")</f>
        <v>--</v>
      </c>
      <c r="O263" s="892" t="str">
        <f ca="1">IFERROR(_xll.qlRateHelperQuoteValue($M263,Trigger),"--")</f>
        <v>--</v>
      </c>
      <c r="P263" s="969" t="b">
        <v>0</v>
      </c>
      <c r="Q263" s="890">
        <v>50</v>
      </c>
      <c r="R263" s="890">
        <v>1</v>
      </c>
      <c r="S263" s="889" t="str">
        <f ca="1">IFERROR(_xll.qlRateHelperEarliestDate(M263,Trigger),"--")</f>
        <v>--</v>
      </c>
      <c r="T263" s="889" t="str">
        <f ca="1">IFERROR(_xll.qlRateHelperPillarDate(M263,Trigger),"--")</f>
        <v>--</v>
      </c>
      <c r="V263" s="4" t="str">
        <f t="shared" ca="1" si="32"/>
        <v/>
      </c>
      <c r="W263" s="4" t="e">
        <f ca="1"/>
        <v>#NAME?</v>
      </c>
      <c r="X263" s="4" t="str">
        <f ca="1">IFERROR(_xll.qlRateHelperQuoteName(W263,Trigger),"")</f>
        <v/>
      </c>
      <c r="Y263" s="888" t="str">
        <f ca="1">IFERROR(_xll.qlRateHelperRate(W263,Trigger),"")</f>
        <v/>
      </c>
      <c r="Z263" s="887"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6" t="e">
        <f ca="1"/>
        <v>#NAME?</v>
      </c>
    </row>
    <row r="264" spans="1:29" x14ac:dyDescent="0.2">
      <c r="A264" s="873" t="s">
        <v>410</v>
      </c>
      <c r="B264" s="875" t="s">
        <v>45</v>
      </c>
      <c r="C264" s="874" t="s">
        <v>45</v>
      </c>
      <c r="D264" s="874" t="s">
        <v>323</v>
      </c>
      <c r="E264" s="874" t="s">
        <v>322</v>
      </c>
      <c r="F264" s="874" t="s">
        <v>221</v>
      </c>
      <c r="G264" s="874" t="str">
        <f t="shared" si="30"/>
        <v>Euribor6M</v>
      </c>
      <c r="H264" s="873" t="str">
        <f t="shared" si="31"/>
        <v>EUR11F11Y_Quote</v>
      </c>
      <c r="I264" s="876">
        <v>0</v>
      </c>
      <c r="J264" s="43"/>
      <c r="L264" s="894" t="str">
        <f t="shared" si="33"/>
        <v>FwdSw</v>
      </c>
      <c r="M264" s="890" t="str">
        <f t="shared" si="34"/>
        <v>--</v>
      </c>
      <c r="N264" s="893" t="str">
        <f ca="1">IFERROR(_xll.qlRateHelperQuoteName(M264,Trigger),"--")</f>
        <v>--</v>
      </c>
      <c r="O264" s="892" t="str">
        <f ca="1">IFERROR(_xll.qlRateHelperQuoteValue($M264,Trigger),"--")</f>
        <v>--</v>
      </c>
      <c r="P264" s="969" t="b">
        <v>0</v>
      </c>
      <c r="Q264" s="890">
        <v>50</v>
      </c>
      <c r="R264" s="890">
        <v>1</v>
      </c>
      <c r="S264" s="889" t="str">
        <f ca="1">IFERROR(_xll.qlRateHelperEarliestDate(M264,Trigger),"--")</f>
        <v>--</v>
      </c>
      <c r="T264" s="889" t="str">
        <f ca="1">IFERROR(_xll.qlRateHelperPillarDate(M264,Trigger),"--")</f>
        <v>--</v>
      </c>
      <c r="V264" s="4" t="str">
        <f t="shared" ca="1" si="32"/>
        <v/>
      </c>
      <c r="W264" s="4" t="e">
        <f ca="1"/>
        <v>#NAME?</v>
      </c>
      <c r="X264" s="4" t="str">
        <f ca="1">IFERROR(_xll.qlRateHelperQuoteName(W264,Trigger),"")</f>
        <v/>
      </c>
      <c r="Y264" s="888" t="str">
        <f ca="1">IFERROR(_xll.qlRateHelperRate(W264,Trigger),"")</f>
        <v/>
      </c>
      <c r="Z264" s="887"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6" t="e">
        <f ca="1"/>
        <v>#NAME?</v>
      </c>
    </row>
    <row r="265" spans="1:29" x14ac:dyDescent="0.2">
      <c r="A265" s="873" t="s">
        <v>410</v>
      </c>
      <c r="B265" s="875" t="s">
        <v>44</v>
      </c>
      <c r="C265" s="874" t="s">
        <v>45</v>
      </c>
      <c r="D265" s="874" t="s">
        <v>323</v>
      </c>
      <c r="E265" s="874" t="s">
        <v>322</v>
      </c>
      <c r="F265" s="874" t="s">
        <v>221</v>
      </c>
      <c r="G265" s="874" t="str">
        <f t="shared" si="30"/>
        <v>Euribor6M</v>
      </c>
      <c r="H265" s="873" t="str">
        <f t="shared" si="31"/>
        <v>EUR11F12Y_Quote</v>
      </c>
      <c r="I265" s="876">
        <v>0</v>
      </c>
      <c r="J265" s="43"/>
      <c r="L265" s="894" t="str">
        <f t="shared" si="33"/>
        <v>FwdSw</v>
      </c>
      <c r="M265" s="890" t="str">
        <f t="shared" si="34"/>
        <v>--</v>
      </c>
      <c r="N265" s="893" t="str">
        <f ca="1">IFERROR(_xll.qlRateHelperQuoteName(M265,Trigger),"--")</f>
        <v>--</v>
      </c>
      <c r="O265" s="892" t="str">
        <f ca="1">IFERROR(_xll.qlRateHelperQuoteValue($M265,Trigger),"--")</f>
        <v>--</v>
      </c>
      <c r="P265" s="969" t="b">
        <v>0</v>
      </c>
      <c r="Q265" s="890">
        <v>50</v>
      </c>
      <c r="R265" s="890">
        <v>1</v>
      </c>
      <c r="S265" s="889" t="str">
        <f ca="1">IFERROR(_xll.qlRateHelperEarliestDate(M265,Trigger),"--")</f>
        <v>--</v>
      </c>
      <c r="T265" s="889" t="str">
        <f ca="1">IFERROR(_xll.qlRateHelperPillarDate(M265,Trigger),"--")</f>
        <v>--</v>
      </c>
      <c r="V265" s="4" t="str">
        <f t="shared" ca="1" si="32"/>
        <v/>
      </c>
      <c r="W265" s="4" t="e">
        <f ca="1"/>
        <v>#NAME?</v>
      </c>
      <c r="X265" s="4" t="str">
        <f ca="1">IFERROR(_xll.qlRateHelperQuoteName(W265,Trigger),"")</f>
        <v/>
      </c>
      <c r="Y265" s="888" t="str">
        <f ca="1">IFERROR(_xll.qlRateHelperRate(W265,Trigger),"")</f>
        <v/>
      </c>
      <c r="Z265" s="887"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6" t="e">
        <f ca="1"/>
        <v>#NAME?</v>
      </c>
    </row>
    <row r="266" spans="1:29" x14ac:dyDescent="0.2">
      <c r="A266" s="873" t="s">
        <v>410</v>
      </c>
      <c r="B266" s="875" t="s">
        <v>43</v>
      </c>
      <c r="C266" s="874" t="s">
        <v>45</v>
      </c>
      <c r="D266" s="874" t="s">
        <v>323</v>
      </c>
      <c r="E266" s="874" t="s">
        <v>322</v>
      </c>
      <c r="F266" s="874" t="s">
        <v>221</v>
      </c>
      <c r="G266" s="874" t="str">
        <f t="shared" ref="G266:G329" si="35">PROPER(Currency)&amp;FamilyName&amp;Tenor</f>
        <v>Euribor6M</v>
      </c>
      <c r="H266" s="873" t="str">
        <f t="shared" ref="H266:H329" si="36">Currency&amp;SUBSTITUTE(C266,"Y","F")&amp;B266&amp;QuoteSuffix</f>
        <v>EUR11F13Y_Quote</v>
      </c>
      <c r="I266" s="876">
        <v>0</v>
      </c>
      <c r="J266" s="43"/>
      <c r="L266" s="894" t="str">
        <f t="shared" si="33"/>
        <v>FwdSw</v>
      </c>
      <c r="M266" s="890" t="str">
        <f t="shared" si="34"/>
        <v>--</v>
      </c>
      <c r="N266" s="893" t="str">
        <f ca="1">IFERROR(_xll.qlRateHelperQuoteName(M266,Trigger),"--")</f>
        <v>--</v>
      </c>
      <c r="O266" s="892" t="str">
        <f ca="1">IFERROR(_xll.qlRateHelperQuoteValue($M266,Trigger),"--")</f>
        <v>--</v>
      </c>
      <c r="P266" s="969" t="b">
        <v>0</v>
      </c>
      <c r="Q266" s="890">
        <v>50</v>
      </c>
      <c r="R266" s="890">
        <v>1</v>
      </c>
      <c r="S266" s="889" t="str">
        <f ca="1">IFERROR(_xll.qlRateHelperEarliestDate(M266,Trigger),"--")</f>
        <v>--</v>
      </c>
      <c r="T266" s="889" t="str">
        <f ca="1">IFERROR(_xll.qlRateHelperPillarDate(M266,Trigger),"--")</f>
        <v>--</v>
      </c>
      <c r="V266" s="4" t="str">
        <f t="shared" ca="1" si="32"/>
        <v/>
      </c>
      <c r="W266" s="4" t="e">
        <f ca="1"/>
        <v>#NAME?</v>
      </c>
      <c r="X266" s="4" t="str">
        <f ca="1">IFERROR(_xll.qlRateHelperQuoteName(W266,Trigger),"")</f>
        <v/>
      </c>
      <c r="Y266" s="888" t="str">
        <f ca="1">IFERROR(_xll.qlRateHelperRate(W266,Trigger),"")</f>
        <v/>
      </c>
      <c r="Z266" s="887"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6" t="e">
        <f ca="1"/>
        <v>#NAME?</v>
      </c>
    </row>
    <row r="267" spans="1:29" x14ac:dyDescent="0.2">
      <c r="A267" s="873" t="s">
        <v>410</v>
      </c>
      <c r="B267" s="875" t="s">
        <v>42</v>
      </c>
      <c r="C267" s="874" t="s">
        <v>45</v>
      </c>
      <c r="D267" s="874" t="s">
        <v>323</v>
      </c>
      <c r="E267" s="874" t="s">
        <v>322</v>
      </c>
      <c r="F267" s="874" t="s">
        <v>221</v>
      </c>
      <c r="G267" s="874" t="str">
        <f t="shared" si="35"/>
        <v>Euribor6M</v>
      </c>
      <c r="H267" s="873" t="str">
        <f t="shared" si="36"/>
        <v>EUR11F14Y_Quote</v>
      </c>
      <c r="I267" s="876">
        <v>0</v>
      </c>
      <c r="J267" s="43"/>
      <c r="L267" s="894" t="str">
        <f t="shared" si="33"/>
        <v>FwdSw</v>
      </c>
      <c r="M267" s="890" t="str">
        <f t="shared" si="34"/>
        <v>--</v>
      </c>
      <c r="N267" s="893" t="str">
        <f ca="1">IFERROR(_xll.qlRateHelperQuoteName(M267,Trigger),"--")</f>
        <v>--</v>
      </c>
      <c r="O267" s="892" t="str">
        <f ca="1">IFERROR(_xll.qlRateHelperQuoteValue($M267,Trigger),"--")</f>
        <v>--</v>
      </c>
      <c r="P267" s="969" t="b">
        <v>0</v>
      </c>
      <c r="Q267" s="890">
        <v>50</v>
      </c>
      <c r="R267" s="890">
        <v>1</v>
      </c>
      <c r="S267" s="889" t="str">
        <f ca="1">IFERROR(_xll.qlRateHelperEarliestDate(M267,Trigger),"--")</f>
        <v>--</v>
      </c>
      <c r="T267" s="889" t="str">
        <f ca="1">IFERROR(_xll.qlRateHelperPillarDate(M267,Trigger),"--")</f>
        <v>--</v>
      </c>
      <c r="V267" s="4" t="str">
        <f t="shared" ca="1" si="32"/>
        <v/>
      </c>
      <c r="W267" s="4" t="e">
        <f ca="1"/>
        <v>#NAME?</v>
      </c>
      <c r="X267" s="4" t="str">
        <f ca="1">IFERROR(_xll.qlRateHelperQuoteName(W267,Trigger),"")</f>
        <v/>
      </c>
      <c r="Y267" s="888" t="str">
        <f ca="1">IFERROR(_xll.qlRateHelperRate(W267,Trigger),"")</f>
        <v/>
      </c>
      <c r="Z267" s="887"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6" t="e">
        <f ca="1"/>
        <v>#NAME?</v>
      </c>
    </row>
    <row r="268" spans="1:29" x14ac:dyDescent="0.2">
      <c r="A268" s="873" t="s">
        <v>410</v>
      </c>
      <c r="B268" s="875" t="s">
        <v>41</v>
      </c>
      <c r="C268" s="874" t="s">
        <v>45</v>
      </c>
      <c r="D268" s="874" t="s">
        <v>323</v>
      </c>
      <c r="E268" s="874" t="s">
        <v>322</v>
      </c>
      <c r="F268" s="874" t="s">
        <v>221</v>
      </c>
      <c r="G268" s="874" t="str">
        <f t="shared" si="35"/>
        <v>Euribor6M</v>
      </c>
      <c r="H268" s="873" t="str">
        <f t="shared" si="36"/>
        <v>EUR11F15Y_Quote</v>
      </c>
      <c r="I268" s="876">
        <v>0</v>
      </c>
      <c r="J268" s="43"/>
      <c r="L268" s="894" t="str">
        <f t="shared" si="33"/>
        <v>FwdSw</v>
      </c>
      <c r="M268" s="890" t="str">
        <f t="shared" si="34"/>
        <v>--</v>
      </c>
      <c r="N268" s="893" t="str">
        <f ca="1">IFERROR(_xll.qlRateHelperQuoteName(M268,Trigger),"--")</f>
        <v>--</v>
      </c>
      <c r="O268" s="892" t="str">
        <f ca="1">IFERROR(_xll.qlRateHelperQuoteValue($M268,Trigger),"--")</f>
        <v>--</v>
      </c>
      <c r="P268" s="969" t="b">
        <v>0</v>
      </c>
      <c r="Q268" s="890">
        <v>50</v>
      </c>
      <c r="R268" s="890">
        <v>1</v>
      </c>
      <c r="S268" s="889" t="str">
        <f ca="1">IFERROR(_xll.qlRateHelperEarliestDate(M268,Trigger),"--")</f>
        <v>--</v>
      </c>
      <c r="T268" s="889" t="str">
        <f ca="1">IFERROR(_xll.qlRateHelperPillarDate(M268,Trigger),"--")</f>
        <v>--</v>
      </c>
      <c r="V268" s="4" t="str">
        <f t="shared" ca="1" si="32"/>
        <v/>
      </c>
      <c r="W268" s="4" t="e">
        <f ca="1"/>
        <v>#NAME?</v>
      </c>
      <c r="X268" s="4" t="str">
        <f ca="1">IFERROR(_xll.qlRateHelperQuoteName(W268,Trigger),"")</f>
        <v/>
      </c>
      <c r="Y268" s="888" t="str">
        <f ca="1">IFERROR(_xll.qlRateHelperRate(W268,Trigger),"")</f>
        <v/>
      </c>
      <c r="Z268" s="887"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6" t="e">
        <f ca="1"/>
        <v>#NAME?</v>
      </c>
    </row>
    <row r="269" spans="1:29" x14ac:dyDescent="0.2">
      <c r="A269" s="873" t="s">
        <v>410</v>
      </c>
      <c r="B269" s="875" t="s">
        <v>36</v>
      </c>
      <c r="C269" s="874" t="s">
        <v>45</v>
      </c>
      <c r="D269" s="874" t="s">
        <v>323</v>
      </c>
      <c r="E269" s="874" t="s">
        <v>322</v>
      </c>
      <c r="F269" s="874" t="s">
        <v>221</v>
      </c>
      <c r="G269" s="874" t="str">
        <f t="shared" si="35"/>
        <v>Euribor6M</v>
      </c>
      <c r="H269" s="873" t="str">
        <f t="shared" si="36"/>
        <v>EUR11F20Y_Quote</v>
      </c>
      <c r="I269" s="876">
        <v>0</v>
      </c>
      <c r="J269" s="43"/>
      <c r="L269" s="894" t="str">
        <f t="shared" si="33"/>
        <v>FwdSw</v>
      </c>
      <c r="M269" s="890" t="str">
        <f t="shared" si="34"/>
        <v>--</v>
      </c>
      <c r="N269" s="893" t="str">
        <f ca="1">IFERROR(_xll.qlRateHelperQuoteName(M269,Trigger),"--")</f>
        <v>--</v>
      </c>
      <c r="O269" s="892" t="str">
        <f ca="1">IFERROR(_xll.qlRateHelperQuoteValue($M269,Trigger),"--")</f>
        <v>--</v>
      </c>
      <c r="P269" s="969" t="b">
        <v>0</v>
      </c>
      <c r="Q269" s="890">
        <v>50</v>
      </c>
      <c r="R269" s="890">
        <v>1</v>
      </c>
      <c r="S269" s="889" t="str">
        <f ca="1">IFERROR(_xll.qlRateHelperEarliestDate(M269,Trigger),"--")</f>
        <v>--</v>
      </c>
      <c r="T269" s="889" t="str">
        <f ca="1">IFERROR(_xll.qlRateHelperPillarDate(M269,Trigger),"--")</f>
        <v>--</v>
      </c>
      <c r="V269" s="4" t="str">
        <f t="shared" ca="1" si="32"/>
        <v/>
      </c>
      <c r="W269" s="4" t="e">
        <f ca="1"/>
        <v>#NAME?</v>
      </c>
      <c r="X269" s="4" t="str">
        <f ca="1">IFERROR(_xll.qlRateHelperQuoteName(W269,Trigger),"")</f>
        <v/>
      </c>
      <c r="Y269" s="888" t="str">
        <f ca="1">IFERROR(_xll.qlRateHelperRate(W269,Trigger),"")</f>
        <v/>
      </c>
      <c r="Z269" s="887"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6" t="e">
        <f ca="1"/>
        <v>#NAME?</v>
      </c>
    </row>
    <row r="270" spans="1:29" x14ac:dyDescent="0.2">
      <c r="A270" s="873" t="s">
        <v>410</v>
      </c>
      <c r="B270" s="875" t="s">
        <v>31</v>
      </c>
      <c r="C270" s="874" t="s">
        <v>45</v>
      </c>
      <c r="D270" s="874" t="s">
        <v>323</v>
      </c>
      <c r="E270" s="874" t="s">
        <v>322</v>
      </c>
      <c r="F270" s="874" t="s">
        <v>221</v>
      </c>
      <c r="G270" s="874" t="str">
        <f t="shared" si="35"/>
        <v>Euribor6M</v>
      </c>
      <c r="H270" s="873" t="str">
        <f t="shared" si="36"/>
        <v>EUR11F25Y_Quote</v>
      </c>
      <c r="I270" s="876">
        <v>0</v>
      </c>
      <c r="J270" s="43"/>
      <c r="L270" s="894" t="str">
        <f t="shared" si="33"/>
        <v>FwdSw</v>
      </c>
      <c r="M270" s="890" t="str">
        <f t="shared" si="34"/>
        <v>--</v>
      </c>
      <c r="N270" s="893" t="str">
        <f ca="1">IFERROR(_xll.qlRateHelperQuoteName(M270,Trigger),"--")</f>
        <v>--</v>
      </c>
      <c r="O270" s="892" t="str">
        <f ca="1">IFERROR(_xll.qlRateHelperQuoteValue($M270,Trigger),"--")</f>
        <v>--</v>
      </c>
      <c r="P270" s="969" t="b">
        <v>0</v>
      </c>
      <c r="Q270" s="890">
        <v>50</v>
      </c>
      <c r="R270" s="890">
        <v>1</v>
      </c>
      <c r="S270" s="889" t="str">
        <f ca="1">IFERROR(_xll.qlRateHelperEarliestDate(M270,Trigger),"--")</f>
        <v>--</v>
      </c>
      <c r="T270" s="889" t="str">
        <f ca="1">IFERROR(_xll.qlRateHelperPillarDate(M270,Trigger),"--")</f>
        <v>--</v>
      </c>
      <c r="V270" s="4" t="str">
        <f t="shared" ca="1" si="32"/>
        <v/>
      </c>
      <c r="W270" s="4" t="e">
        <f ca="1"/>
        <v>#NAME?</v>
      </c>
      <c r="X270" s="4" t="str">
        <f ca="1">IFERROR(_xll.qlRateHelperQuoteName(W270,Trigger),"")</f>
        <v/>
      </c>
      <c r="Y270" s="888" t="str">
        <f ca="1">IFERROR(_xll.qlRateHelperRate(W270,Trigger),"")</f>
        <v/>
      </c>
      <c r="Z270" s="887"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6" t="e">
        <f ca="1"/>
        <v>#NAME?</v>
      </c>
    </row>
    <row r="271" spans="1:29" x14ac:dyDescent="0.2">
      <c r="A271" s="873" t="s">
        <v>410</v>
      </c>
      <c r="B271" s="875" t="s">
        <v>26</v>
      </c>
      <c r="C271" s="874" t="s">
        <v>45</v>
      </c>
      <c r="D271" s="874" t="s">
        <v>323</v>
      </c>
      <c r="E271" s="874" t="s">
        <v>322</v>
      </c>
      <c r="F271" s="874" t="s">
        <v>221</v>
      </c>
      <c r="G271" s="874" t="str">
        <f t="shared" si="35"/>
        <v>Euribor6M</v>
      </c>
      <c r="H271" s="873" t="str">
        <f t="shared" si="36"/>
        <v>EUR11F30Y_Quote</v>
      </c>
      <c r="I271" s="876">
        <v>0</v>
      </c>
      <c r="J271" s="43"/>
      <c r="L271" s="894" t="str">
        <f t="shared" si="33"/>
        <v>FwdSw</v>
      </c>
      <c r="M271" s="890" t="str">
        <f t="shared" si="34"/>
        <v>--</v>
      </c>
      <c r="N271" s="893" t="str">
        <f ca="1">IFERROR(_xll.qlRateHelperQuoteName(M271,Trigger),"--")</f>
        <v>--</v>
      </c>
      <c r="O271" s="892" t="str">
        <f ca="1">IFERROR(_xll.qlRateHelperQuoteValue($M271,Trigger),"--")</f>
        <v>--</v>
      </c>
      <c r="P271" s="969" t="b">
        <v>0</v>
      </c>
      <c r="Q271" s="890">
        <v>50</v>
      </c>
      <c r="R271" s="890">
        <v>1</v>
      </c>
      <c r="S271" s="889" t="str">
        <f ca="1">IFERROR(_xll.qlRateHelperEarliestDate(M271,Trigger),"--")</f>
        <v>--</v>
      </c>
      <c r="T271" s="889" t="str">
        <f ca="1">IFERROR(_xll.qlRateHelperPillarDate(M271,Trigger),"--")</f>
        <v>--</v>
      </c>
      <c r="V271" s="4" t="str">
        <f t="shared" ca="1" si="32"/>
        <v/>
      </c>
      <c r="W271" s="4" t="e">
        <f ca="1"/>
        <v>#NAME?</v>
      </c>
      <c r="X271" s="4" t="str">
        <f ca="1">IFERROR(_xll.qlRateHelperQuoteName(W271,Trigger),"")</f>
        <v/>
      </c>
      <c r="Y271" s="888" t="str">
        <f ca="1">IFERROR(_xll.qlRateHelperRate(W271,Trigger),"")</f>
        <v/>
      </c>
      <c r="Z271" s="887"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6" t="e">
        <f ca="1"/>
        <v>#NAME?</v>
      </c>
    </row>
    <row r="272" spans="1:29" x14ac:dyDescent="0.2">
      <c r="A272" s="896" t="s">
        <v>410</v>
      </c>
      <c r="B272" s="898" t="s">
        <v>58</v>
      </c>
      <c r="C272" s="897" t="s">
        <v>44</v>
      </c>
      <c r="D272" s="897" t="s">
        <v>323</v>
      </c>
      <c r="E272" s="897" t="s">
        <v>322</v>
      </c>
      <c r="F272" s="897" t="s">
        <v>221</v>
      </c>
      <c r="G272" s="897" t="str">
        <f t="shared" si="35"/>
        <v>Euribor6M</v>
      </c>
      <c r="H272" s="896" t="str">
        <f t="shared" si="36"/>
        <v>EUR12F1Y_Quote</v>
      </c>
      <c r="I272" s="895">
        <v>0</v>
      </c>
      <c r="J272" s="47"/>
      <c r="L272" s="894" t="str">
        <f t="shared" si="33"/>
        <v>FwdSw</v>
      </c>
      <c r="M272" s="890" t="str">
        <f t="shared" si="34"/>
        <v>--</v>
      </c>
      <c r="N272" s="893" t="str">
        <f ca="1">IFERROR(_xll.qlRateHelperQuoteName(M272,Trigger),"--")</f>
        <v>--</v>
      </c>
      <c r="O272" s="892" t="str">
        <f ca="1">IFERROR(_xll.qlRateHelperQuoteValue($M272,Trigger),"--")</f>
        <v>--</v>
      </c>
      <c r="P272" s="969" t="b">
        <v>0</v>
      </c>
      <c r="Q272" s="890">
        <v>50</v>
      </c>
      <c r="R272" s="890">
        <v>1</v>
      </c>
      <c r="S272" s="889" t="str">
        <f ca="1">IFERROR(_xll.qlRateHelperEarliestDate(M272,Trigger),"--")</f>
        <v>--</v>
      </c>
      <c r="T272" s="889" t="str">
        <f ca="1">IFERROR(_xll.qlRateHelperPillarDate(M272,Trigger),"--")</f>
        <v>--</v>
      </c>
      <c r="V272" s="4" t="str">
        <f t="shared" ca="1" si="32"/>
        <v/>
      </c>
      <c r="W272" s="4" t="e">
        <f ca="1"/>
        <v>#NAME?</v>
      </c>
      <c r="X272" s="4" t="str">
        <f ca="1">IFERROR(_xll.qlRateHelperQuoteName(W272,Trigger),"")</f>
        <v/>
      </c>
      <c r="Y272" s="888" t="str">
        <f ca="1">IFERROR(_xll.qlRateHelperRate(W272,Trigger),"")</f>
        <v/>
      </c>
      <c r="Z272" s="887"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6" t="e">
        <f ca="1"/>
        <v>#NAME?</v>
      </c>
    </row>
    <row r="273" spans="1:29" x14ac:dyDescent="0.2">
      <c r="A273" s="873" t="s">
        <v>410</v>
      </c>
      <c r="B273" s="875" t="s">
        <v>54</v>
      </c>
      <c r="C273" s="874" t="s">
        <v>44</v>
      </c>
      <c r="D273" s="874" t="s">
        <v>323</v>
      </c>
      <c r="E273" s="874" t="s">
        <v>322</v>
      </c>
      <c r="F273" s="874" t="s">
        <v>221</v>
      </c>
      <c r="G273" s="874" t="str">
        <f t="shared" si="35"/>
        <v>Euribor6M</v>
      </c>
      <c r="H273" s="873" t="str">
        <f t="shared" si="36"/>
        <v>EUR12F2Y_Quote</v>
      </c>
      <c r="I273" s="876">
        <v>0</v>
      </c>
      <c r="J273" s="43"/>
      <c r="L273" s="894" t="str">
        <f t="shared" si="33"/>
        <v>FwdSw</v>
      </c>
      <c r="M273" s="890" t="str">
        <f t="shared" si="34"/>
        <v>--</v>
      </c>
      <c r="N273" s="893" t="str">
        <f ca="1">IFERROR(_xll.qlRateHelperQuoteName(M273,Trigger),"--")</f>
        <v>--</v>
      </c>
      <c r="O273" s="892" t="str">
        <f ca="1">IFERROR(_xll.qlRateHelperQuoteValue($M273,Trigger),"--")</f>
        <v>--</v>
      </c>
      <c r="P273" s="969" t="b">
        <v>0</v>
      </c>
      <c r="Q273" s="890">
        <v>50</v>
      </c>
      <c r="R273" s="890">
        <v>1</v>
      </c>
      <c r="S273" s="889" t="str">
        <f ca="1">IFERROR(_xll.qlRateHelperEarliestDate(M273,Trigger),"--")</f>
        <v>--</v>
      </c>
      <c r="T273" s="889" t="str">
        <f ca="1">IFERROR(_xll.qlRateHelperPillarDate(M273,Trigger),"--")</f>
        <v>--</v>
      </c>
      <c r="V273" s="4" t="str">
        <f t="shared" ca="1" si="32"/>
        <v/>
      </c>
      <c r="W273" s="4" t="e">
        <f ca="1"/>
        <v>#NAME?</v>
      </c>
      <c r="X273" s="4" t="str">
        <f ca="1">IFERROR(_xll.qlRateHelperQuoteName(W273,Trigger),"")</f>
        <v/>
      </c>
      <c r="Y273" s="888" t="str">
        <f ca="1">IFERROR(_xll.qlRateHelperRate(W273,Trigger),"")</f>
        <v/>
      </c>
      <c r="Z273" s="887"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6" t="e">
        <f ca="1"/>
        <v>#NAME?</v>
      </c>
    </row>
    <row r="274" spans="1:29" x14ac:dyDescent="0.2">
      <c r="A274" s="873" t="s">
        <v>410</v>
      </c>
      <c r="B274" s="875" t="s">
        <v>53</v>
      </c>
      <c r="C274" s="874" t="s">
        <v>44</v>
      </c>
      <c r="D274" s="874" t="s">
        <v>323</v>
      </c>
      <c r="E274" s="874" t="s">
        <v>322</v>
      </c>
      <c r="F274" s="874" t="s">
        <v>221</v>
      </c>
      <c r="G274" s="874" t="str">
        <f t="shared" si="35"/>
        <v>Euribor6M</v>
      </c>
      <c r="H274" s="873" t="str">
        <f t="shared" si="36"/>
        <v>EUR12F3Y_Quote</v>
      </c>
      <c r="I274" s="876">
        <v>0</v>
      </c>
      <c r="J274" s="43"/>
      <c r="L274" s="894" t="str">
        <f t="shared" si="33"/>
        <v>FwdSw</v>
      </c>
      <c r="M274" s="890" t="str">
        <f t="shared" si="34"/>
        <v>--</v>
      </c>
      <c r="N274" s="893" t="str">
        <f ca="1">IFERROR(_xll.qlRateHelperQuoteName(M274,Trigger),"--")</f>
        <v>--</v>
      </c>
      <c r="O274" s="892" t="str">
        <f ca="1">IFERROR(_xll.qlRateHelperQuoteValue($M274,Trigger),"--")</f>
        <v>--</v>
      </c>
      <c r="P274" s="969" t="b">
        <v>0</v>
      </c>
      <c r="Q274" s="890">
        <v>50</v>
      </c>
      <c r="R274" s="890">
        <v>1</v>
      </c>
      <c r="S274" s="889" t="str">
        <f ca="1">IFERROR(_xll.qlRateHelperEarliestDate(M274,Trigger),"--")</f>
        <v>--</v>
      </c>
      <c r="T274" s="889" t="str">
        <f ca="1">IFERROR(_xll.qlRateHelperPillarDate(M274,Trigger),"--")</f>
        <v>--</v>
      </c>
      <c r="V274" s="4" t="str">
        <f t="shared" ca="1" si="32"/>
        <v/>
      </c>
      <c r="W274" s="4" t="e">
        <f ca="1"/>
        <v>#NAME?</v>
      </c>
      <c r="X274" s="4" t="str">
        <f ca="1">IFERROR(_xll.qlRateHelperQuoteName(W274,Trigger),"")</f>
        <v/>
      </c>
      <c r="Y274" s="888" t="str">
        <f ca="1">IFERROR(_xll.qlRateHelperRate(W274,Trigger),"")</f>
        <v/>
      </c>
      <c r="Z274" s="887"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6" t="e">
        <f ca="1"/>
        <v>#NAME?</v>
      </c>
    </row>
    <row r="275" spans="1:29" x14ac:dyDescent="0.2">
      <c r="A275" s="873" t="s">
        <v>410</v>
      </c>
      <c r="B275" s="875" t="s">
        <v>52</v>
      </c>
      <c r="C275" s="874" t="s">
        <v>44</v>
      </c>
      <c r="D275" s="874" t="s">
        <v>323</v>
      </c>
      <c r="E275" s="874" t="s">
        <v>322</v>
      </c>
      <c r="F275" s="874" t="s">
        <v>221</v>
      </c>
      <c r="G275" s="874" t="str">
        <f t="shared" si="35"/>
        <v>Euribor6M</v>
      </c>
      <c r="H275" s="873" t="str">
        <f t="shared" si="36"/>
        <v>EUR12F4Y_Quote</v>
      </c>
      <c r="I275" s="876">
        <v>0</v>
      </c>
      <c r="J275" s="43"/>
      <c r="L275" s="894" t="str">
        <f t="shared" si="33"/>
        <v>FwdSw</v>
      </c>
      <c r="M275" s="890" t="str">
        <f t="shared" si="34"/>
        <v>--</v>
      </c>
      <c r="N275" s="893" t="str">
        <f ca="1">IFERROR(_xll.qlRateHelperQuoteName(M275,Trigger),"--")</f>
        <v>--</v>
      </c>
      <c r="O275" s="892" t="str">
        <f ca="1">IFERROR(_xll.qlRateHelperQuoteValue($M275,Trigger),"--")</f>
        <v>--</v>
      </c>
      <c r="P275" s="969" t="b">
        <v>0</v>
      </c>
      <c r="Q275" s="890">
        <v>50</v>
      </c>
      <c r="R275" s="890">
        <v>1</v>
      </c>
      <c r="S275" s="889" t="str">
        <f ca="1">IFERROR(_xll.qlRateHelperEarliestDate(M275,Trigger),"--")</f>
        <v>--</v>
      </c>
      <c r="T275" s="889" t="str">
        <f ca="1">IFERROR(_xll.qlRateHelperPillarDate(M275,Trigger),"--")</f>
        <v>--</v>
      </c>
      <c r="V275" s="4" t="str">
        <f t="shared" ca="1" si="32"/>
        <v/>
      </c>
      <c r="W275" s="4" t="e">
        <f ca="1"/>
        <v>#NAME?</v>
      </c>
      <c r="X275" s="4" t="str">
        <f ca="1">IFERROR(_xll.qlRateHelperQuoteName(W275,Trigger),"")</f>
        <v/>
      </c>
      <c r="Y275" s="888" t="str">
        <f ca="1">IFERROR(_xll.qlRateHelperRate(W275,Trigger),"")</f>
        <v/>
      </c>
      <c r="Z275" s="887"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6" t="e">
        <f ca="1"/>
        <v>#NAME?</v>
      </c>
    </row>
    <row r="276" spans="1:29" x14ac:dyDescent="0.2">
      <c r="A276" s="873" t="s">
        <v>410</v>
      </c>
      <c r="B276" s="875" t="s">
        <v>51</v>
      </c>
      <c r="C276" s="874" t="s">
        <v>44</v>
      </c>
      <c r="D276" s="874" t="s">
        <v>323</v>
      </c>
      <c r="E276" s="874" t="s">
        <v>322</v>
      </c>
      <c r="F276" s="874" t="s">
        <v>221</v>
      </c>
      <c r="G276" s="874" t="str">
        <f t="shared" si="35"/>
        <v>Euribor6M</v>
      </c>
      <c r="H276" s="873" t="str">
        <f t="shared" si="36"/>
        <v>EUR12F5Y_Quote</v>
      </c>
      <c r="I276" s="876">
        <v>0</v>
      </c>
      <c r="J276" s="43"/>
      <c r="L276" s="894" t="str">
        <f t="shared" si="33"/>
        <v>FwdSw</v>
      </c>
      <c r="M276" s="890" t="str">
        <f t="shared" si="34"/>
        <v>--</v>
      </c>
      <c r="N276" s="893" t="str">
        <f ca="1">IFERROR(_xll.qlRateHelperQuoteName(M276,Trigger),"--")</f>
        <v>--</v>
      </c>
      <c r="O276" s="892" t="str">
        <f ca="1">IFERROR(_xll.qlRateHelperQuoteValue($M276,Trigger),"--")</f>
        <v>--</v>
      </c>
      <c r="P276" s="969" t="b">
        <v>0</v>
      </c>
      <c r="Q276" s="890">
        <v>50</v>
      </c>
      <c r="R276" s="890">
        <v>1</v>
      </c>
      <c r="S276" s="889" t="str">
        <f ca="1">IFERROR(_xll.qlRateHelperEarliestDate(M276,Trigger),"--")</f>
        <v>--</v>
      </c>
      <c r="T276" s="889" t="str">
        <f ca="1">IFERROR(_xll.qlRateHelperPillarDate(M276,Trigger),"--")</f>
        <v>--</v>
      </c>
      <c r="V276" s="4" t="str">
        <f t="shared" ca="1" si="32"/>
        <v/>
      </c>
      <c r="W276" s="4" t="e">
        <f ca="1"/>
        <v>#NAME?</v>
      </c>
      <c r="X276" s="4" t="str">
        <f ca="1">IFERROR(_xll.qlRateHelperQuoteName(W276,Trigger),"")</f>
        <v/>
      </c>
      <c r="Y276" s="888" t="str">
        <f ca="1">IFERROR(_xll.qlRateHelperRate(W276,Trigger),"")</f>
        <v/>
      </c>
      <c r="Z276" s="887"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6" t="e">
        <f ca="1"/>
        <v>#NAME?</v>
      </c>
    </row>
    <row r="277" spans="1:29" x14ac:dyDescent="0.2">
      <c r="A277" s="873" t="s">
        <v>410</v>
      </c>
      <c r="B277" s="875" t="s">
        <v>50</v>
      </c>
      <c r="C277" s="874" t="s">
        <v>44</v>
      </c>
      <c r="D277" s="874" t="s">
        <v>323</v>
      </c>
      <c r="E277" s="874" t="s">
        <v>322</v>
      </c>
      <c r="F277" s="874" t="s">
        <v>221</v>
      </c>
      <c r="G277" s="874" t="str">
        <f t="shared" si="35"/>
        <v>Euribor6M</v>
      </c>
      <c r="H277" s="873" t="str">
        <f t="shared" si="36"/>
        <v>EUR12F6Y_Quote</v>
      </c>
      <c r="I277" s="876">
        <v>0</v>
      </c>
      <c r="J277" s="43"/>
      <c r="L277" s="894" t="str">
        <f t="shared" si="33"/>
        <v>FwdSw</v>
      </c>
      <c r="M277" s="890" t="str">
        <f t="shared" si="34"/>
        <v>--</v>
      </c>
      <c r="N277" s="893" t="str">
        <f ca="1">IFERROR(_xll.qlRateHelperQuoteName(M277,Trigger),"--")</f>
        <v>--</v>
      </c>
      <c r="O277" s="892" t="str">
        <f ca="1">IFERROR(_xll.qlRateHelperQuoteValue($M277,Trigger),"--")</f>
        <v>--</v>
      </c>
      <c r="P277" s="969" t="b">
        <v>0</v>
      </c>
      <c r="Q277" s="890">
        <v>50</v>
      </c>
      <c r="R277" s="890">
        <v>1</v>
      </c>
      <c r="S277" s="889" t="str">
        <f ca="1">IFERROR(_xll.qlRateHelperEarliestDate(M277,Trigger),"--")</f>
        <v>--</v>
      </c>
      <c r="T277" s="889" t="str">
        <f ca="1">IFERROR(_xll.qlRateHelperPillarDate(M277,Trigger),"--")</f>
        <v>--</v>
      </c>
      <c r="V277" s="4" t="str">
        <f t="shared" ca="1" si="32"/>
        <v/>
      </c>
      <c r="W277" s="4" t="e">
        <f ca="1"/>
        <v>#NAME?</v>
      </c>
      <c r="X277" s="4" t="str">
        <f ca="1">IFERROR(_xll.qlRateHelperQuoteName(W277,Trigger),"")</f>
        <v/>
      </c>
      <c r="Y277" s="888" t="str">
        <f ca="1">IFERROR(_xll.qlRateHelperRate(W277,Trigger),"")</f>
        <v/>
      </c>
      <c r="Z277" s="887"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6" t="e">
        <f ca="1"/>
        <v>#NAME?</v>
      </c>
    </row>
    <row r="278" spans="1:29" x14ac:dyDescent="0.2">
      <c r="A278" s="873" t="s">
        <v>410</v>
      </c>
      <c r="B278" s="875" t="s">
        <v>49</v>
      </c>
      <c r="C278" s="874" t="s">
        <v>44</v>
      </c>
      <c r="D278" s="874" t="s">
        <v>323</v>
      </c>
      <c r="E278" s="874" t="s">
        <v>322</v>
      </c>
      <c r="F278" s="874" t="s">
        <v>221</v>
      </c>
      <c r="G278" s="874" t="str">
        <f t="shared" si="35"/>
        <v>Euribor6M</v>
      </c>
      <c r="H278" s="873" t="str">
        <f t="shared" si="36"/>
        <v>EUR12F7Y_Quote</v>
      </c>
      <c r="I278" s="876">
        <v>0</v>
      </c>
      <c r="J278" s="43"/>
      <c r="L278" s="894" t="str">
        <f t="shared" si="33"/>
        <v>FwdSw</v>
      </c>
      <c r="M278" s="890" t="str">
        <f t="shared" si="34"/>
        <v>--</v>
      </c>
      <c r="N278" s="893" t="str">
        <f ca="1">IFERROR(_xll.qlRateHelperQuoteName(M278,Trigger),"--")</f>
        <v>--</v>
      </c>
      <c r="O278" s="892" t="str">
        <f ca="1">IFERROR(_xll.qlRateHelperQuoteValue($M278,Trigger),"--")</f>
        <v>--</v>
      </c>
      <c r="P278" s="969" t="b">
        <v>0</v>
      </c>
      <c r="Q278" s="890">
        <v>50</v>
      </c>
      <c r="R278" s="890">
        <v>1</v>
      </c>
      <c r="S278" s="889" t="str">
        <f ca="1">IFERROR(_xll.qlRateHelperEarliestDate(M278,Trigger),"--")</f>
        <v>--</v>
      </c>
      <c r="T278" s="889" t="str">
        <f ca="1">IFERROR(_xll.qlRateHelperPillarDate(M278,Trigger),"--")</f>
        <v>--</v>
      </c>
      <c r="V278" s="4" t="str">
        <f t="shared" ca="1" si="32"/>
        <v/>
      </c>
      <c r="W278" s="4" t="e">
        <f ca="1"/>
        <v>#NAME?</v>
      </c>
      <c r="X278" s="4" t="str">
        <f ca="1">IFERROR(_xll.qlRateHelperQuoteName(W278,Trigger),"")</f>
        <v/>
      </c>
      <c r="Y278" s="888" t="str">
        <f ca="1">IFERROR(_xll.qlRateHelperRate(W278,Trigger),"")</f>
        <v/>
      </c>
      <c r="Z278" s="887"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6" t="e">
        <f ca="1"/>
        <v>#NAME?</v>
      </c>
    </row>
    <row r="279" spans="1:29" x14ac:dyDescent="0.2">
      <c r="A279" s="873" t="s">
        <v>410</v>
      </c>
      <c r="B279" s="875" t="s">
        <v>48</v>
      </c>
      <c r="C279" s="874" t="s">
        <v>44</v>
      </c>
      <c r="D279" s="874" t="s">
        <v>323</v>
      </c>
      <c r="E279" s="874" t="s">
        <v>322</v>
      </c>
      <c r="F279" s="874" t="s">
        <v>221</v>
      </c>
      <c r="G279" s="874" t="str">
        <f t="shared" si="35"/>
        <v>Euribor6M</v>
      </c>
      <c r="H279" s="873" t="str">
        <f t="shared" si="36"/>
        <v>EUR12F8Y_Quote</v>
      </c>
      <c r="I279" s="876">
        <v>0</v>
      </c>
      <c r="J279" s="43"/>
      <c r="L279" s="894" t="str">
        <f t="shared" si="33"/>
        <v>FwdSw</v>
      </c>
      <c r="M279" s="890" t="str">
        <f t="shared" si="34"/>
        <v>--</v>
      </c>
      <c r="N279" s="893" t="str">
        <f ca="1">IFERROR(_xll.qlRateHelperQuoteName(M279,Trigger),"--")</f>
        <v>--</v>
      </c>
      <c r="O279" s="892" t="str">
        <f ca="1">IFERROR(_xll.qlRateHelperQuoteValue($M279,Trigger),"--")</f>
        <v>--</v>
      </c>
      <c r="P279" s="969" t="b">
        <v>0</v>
      </c>
      <c r="Q279" s="890">
        <v>50</v>
      </c>
      <c r="R279" s="890">
        <v>1</v>
      </c>
      <c r="S279" s="889" t="str">
        <f ca="1">IFERROR(_xll.qlRateHelperEarliestDate(M279,Trigger),"--")</f>
        <v>--</v>
      </c>
      <c r="T279" s="889" t="str">
        <f ca="1">IFERROR(_xll.qlRateHelperPillarDate(M279,Trigger),"--")</f>
        <v>--</v>
      </c>
      <c r="V279" s="4" t="str">
        <f t="shared" ca="1" si="32"/>
        <v/>
      </c>
      <c r="W279" s="4" t="e">
        <f ca="1"/>
        <v>#NAME?</v>
      </c>
      <c r="X279" s="4" t="str">
        <f ca="1">IFERROR(_xll.qlRateHelperQuoteName(W279,Trigger),"")</f>
        <v/>
      </c>
      <c r="Y279" s="888" t="str">
        <f ca="1">IFERROR(_xll.qlRateHelperRate(W279,Trigger),"")</f>
        <v/>
      </c>
      <c r="Z279" s="887"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6" t="e">
        <f ca="1"/>
        <v>#NAME?</v>
      </c>
    </row>
    <row r="280" spans="1:29" x14ac:dyDescent="0.2">
      <c r="A280" s="873" t="s">
        <v>410</v>
      </c>
      <c r="B280" s="875" t="s">
        <v>47</v>
      </c>
      <c r="C280" s="874" t="s">
        <v>44</v>
      </c>
      <c r="D280" s="874" t="s">
        <v>323</v>
      </c>
      <c r="E280" s="874" t="s">
        <v>322</v>
      </c>
      <c r="F280" s="874" t="s">
        <v>221</v>
      </c>
      <c r="G280" s="874" t="str">
        <f t="shared" si="35"/>
        <v>Euribor6M</v>
      </c>
      <c r="H280" s="873" t="str">
        <f t="shared" si="36"/>
        <v>EUR12F9Y_Quote</v>
      </c>
      <c r="I280" s="876">
        <v>0</v>
      </c>
      <c r="J280" s="43"/>
      <c r="L280" s="894" t="str">
        <f t="shared" si="33"/>
        <v>FwdSw</v>
      </c>
      <c r="M280" s="890" t="str">
        <f t="shared" si="34"/>
        <v>--</v>
      </c>
      <c r="N280" s="893" t="str">
        <f ca="1">IFERROR(_xll.qlRateHelperQuoteName(M280,Trigger),"--")</f>
        <v>--</v>
      </c>
      <c r="O280" s="892" t="str">
        <f ca="1">IFERROR(_xll.qlRateHelperQuoteValue($M280,Trigger),"--")</f>
        <v>--</v>
      </c>
      <c r="P280" s="969" t="b">
        <v>0</v>
      </c>
      <c r="Q280" s="890">
        <v>50</v>
      </c>
      <c r="R280" s="890">
        <v>1</v>
      </c>
      <c r="S280" s="889" t="str">
        <f ca="1">IFERROR(_xll.qlRateHelperEarliestDate(M280,Trigger),"--")</f>
        <v>--</v>
      </c>
      <c r="T280" s="889" t="str">
        <f ca="1">IFERROR(_xll.qlRateHelperPillarDate(M280,Trigger),"--")</f>
        <v>--</v>
      </c>
      <c r="V280" s="4" t="str">
        <f t="shared" ca="1" si="32"/>
        <v/>
      </c>
      <c r="W280" s="4" t="e">
        <f ca="1"/>
        <v>#NAME?</v>
      </c>
      <c r="X280" s="4" t="str">
        <f ca="1">IFERROR(_xll.qlRateHelperQuoteName(W280,Trigger),"")</f>
        <v/>
      </c>
      <c r="Y280" s="888" t="str">
        <f ca="1">IFERROR(_xll.qlRateHelperRate(W280,Trigger),"")</f>
        <v/>
      </c>
      <c r="Z280" s="887"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6" t="e">
        <f ca="1"/>
        <v>#NAME?</v>
      </c>
    </row>
    <row r="281" spans="1:29" x14ac:dyDescent="0.2">
      <c r="A281" s="873" t="s">
        <v>410</v>
      </c>
      <c r="B281" s="875" t="s">
        <v>46</v>
      </c>
      <c r="C281" s="874" t="s">
        <v>44</v>
      </c>
      <c r="D281" s="874" t="s">
        <v>323</v>
      </c>
      <c r="E281" s="874" t="s">
        <v>322</v>
      </c>
      <c r="F281" s="874" t="s">
        <v>221</v>
      </c>
      <c r="G281" s="874" t="str">
        <f t="shared" si="35"/>
        <v>Euribor6M</v>
      </c>
      <c r="H281" s="873" t="str">
        <f t="shared" si="36"/>
        <v>EUR12F10Y_Quote</v>
      </c>
      <c r="I281" s="876">
        <v>0</v>
      </c>
      <c r="J281" s="43"/>
      <c r="L281" s="894" t="str">
        <f t="shared" si="33"/>
        <v>FwdSw</v>
      </c>
      <c r="M281" s="890" t="str">
        <f t="shared" si="34"/>
        <v>--</v>
      </c>
      <c r="N281" s="893" t="str">
        <f ca="1">IFERROR(_xll.qlRateHelperQuoteName(M281,Trigger),"--")</f>
        <v>--</v>
      </c>
      <c r="O281" s="892" t="str">
        <f ca="1">IFERROR(_xll.qlRateHelperQuoteValue($M281,Trigger),"--")</f>
        <v>--</v>
      </c>
      <c r="P281" s="969" t="b">
        <v>0</v>
      </c>
      <c r="Q281" s="890">
        <v>50</v>
      </c>
      <c r="R281" s="890">
        <v>1</v>
      </c>
      <c r="S281" s="889" t="str">
        <f ca="1">IFERROR(_xll.qlRateHelperEarliestDate(M281,Trigger),"--")</f>
        <v>--</v>
      </c>
      <c r="T281" s="889" t="str">
        <f ca="1">IFERROR(_xll.qlRateHelperPillarDate(M281,Trigger),"--")</f>
        <v>--</v>
      </c>
      <c r="V281" s="4" t="str">
        <f t="shared" ca="1" si="32"/>
        <v/>
      </c>
      <c r="W281" s="4" t="e">
        <f ca="1"/>
        <v>#NAME?</v>
      </c>
      <c r="X281" s="4" t="str">
        <f ca="1">IFERROR(_xll.qlRateHelperQuoteName(W281,Trigger),"")</f>
        <v/>
      </c>
      <c r="Y281" s="888" t="str">
        <f ca="1">IFERROR(_xll.qlRateHelperRate(W281,Trigger),"")</f>
        <v/>
      </c>
      <c r="Z281" s="887"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6" t="e">
        <f ca="1"/>
        <v>#NAME?</v>
      </c>
    </row>
    <row r="282" spans="1:29" x14ac:dyDescent="0.2">
      <c r="A282" s="873" t="s">
        <v>410</v>
      </c>
      <c r="B282" s="875" t="s">
        <v>45</v>
      </c>
      <c r="C282" s="874" t="s">
        <v>44</v>
      </c>
      <c r="D282" s="874" t="s">
        <v>323</v>
      </c>
      <c r="E282" s="874" t="s">
        <v>322</v>
      </c>
      <c r="F282" s="874" t="s">
        <v>221</v>
      </c>
      <c r="G282" s="874" t="str">
        <f t="shared" si="35"/>
        <v>Euribor6M</v>
      </c>
      <c r="H282" s="873" t="str">
        <f t="shared" si="36"/>
        <v>EUR12F11Y_Quote</v>
      </c>
      <c r="I282" s="876">
        <v>0</v>
      </c>
      <c r="J282" s="43"/>
      <c r="L282" s="894" t="str">
        <f t="shared" si="33"/>
        <v>FwdSw</v>
      </c>
      <c r="M282" s="890" t="str">
        <f t="shared" si="34"/>
        <v>--</v>
      </c>
      <c r="N282" s="893" t="str">
        <f ca="1">IFERROR(_xll.qlRateHelperQuoteName(M282,Trigger),"--")</f>
        <v>--</v>
      </c>
      <c r="O282" s="892" t="str">
        <f ca="1">IFERROR(_xll.qlRateHelperQuoteValue($M282,Trigger),"--")</f>
        <v>--</v>
      </c>
      <c r="P282" s="969" t="b">
        <v>0</v>
      </c>
      <c r="Q282" s="890">
        <v>50</v>
      </c>
      <c r="R282" s="890">
        <v>1</v>
      </c>
      <c r="S282" s="889" t="str">
        <f ca="1">IFERROR(_xll.qlRateHelperEarliestDate(M282,Trigger),"--")</f>
        <v>--</v>
      </c>
      <c r="T282" s="889" t="str">
        <f ca="1">IFERROR(_xll.qlRateHelperPillarDate(M282,Trigger),"--")</f>
        <v>--</v>
      </c>
      <c r="V282" s="4" t="str">
        <f t="shared" ca="1" si="32"/>
        <v/>
      </c>
      <c r="W282" s="4" t="e">
        <f ca="1"/>
        <v>#NAME?</v>
      </c>
      <c r="X282" s="4" t="str">
        <f ca="1">IFERROR(_xll.qlRateHelperQuoteName(W282,Trigger),"")</f>
        <v/>
      </c>
      <c r="Y282" s="888" t="str">
        <f ca="1">IFERROR(_xll.qlRateHelperRate(W282,Trigger),"")</f>
        <v/>
      </c>
      <c r="Z282" s="887"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6" t="e">
        <f ca="1"/>
        <v>#NAME?</v>
      </c>
    </row>
    <row r="283" spans="1:29" x14ac:dyDescent="0.2">
      <c r="A283" s="873" t="s">
        <v>410</v>
      </c>
      <c r="B283" s="875" t="s">
        <v>44</v>
      </c>
      <c r="C283" s="874" t="s">
        <v>44</v>
      </c>
      <c r="D283" s="874" t="s">
        <v>323</v>
      </c>
      <c r="E283" s="874" t="s">
        <v>322</v>
      </c>
      <c r="F283" s="874" t="s">
        <v>221</v>
      </c>
      <c r="G283" s="874" t="str">
        <f t="shared" si="35"/>
        <v>Euribor6M</v>
      </c>
      <c r="H283" s="873" t="str">
        <f t="shared" si="36"/>
        <v>EUR12F12Y_Quote</v>
      </c>
      <c r="I283" s="876">
        <v>0</v>
      </c>
      <c r="J283" s="43"/>
      <c r="L283" s="894" t="str">
        <f t="shared" si="33"/>
        <v>FwdSw</v>
      </c>
      <c r="M283" s="890" t="str">
        <f t="shared" si="34"/>
        <v>--</v>
      </c>
      <c r="N283" s="893" t="str">
        <f ca="1">IFERROR(_xll.qlRateHelperQuoteName(M283,Trigger),"--")</f>
        <v>--</v>
      </c>
      <c r="O283" s="892" t="str">
        <f ca="1">IFERROR(_xll.qlRateHelperQuoteValue($M283,Trigger),"--")</f>
        <v>--</v>
      </c>
      <c r="P283" s="969" t="b">
        <v>0</v>
      </c>
      <c r="Q283" s="890">
        <v>50</v>
      </c>
      <c r="R283" s="890">
        <v>1</v>
      </c>
      <c r="S283" s="889" t="str">
        <f ca="1">IFERROR(_xll.qlRateHelperEarliestDate(M283,Trigger),"--")</f>
        <v>--</v>
      </c>
      <c r="T283" s="889" t="str">
        <f ca="1">IFERROR(_xll.qlRateHelperPillarDate(M283,Trigger),"--")</f>
        <v>--</v>
      </c>
      <c r="V283" s="4" t="str">
        <f t="shared" ca="1" si="32"/>
        <v/>
      </c>
      <c r="W283" s="4" t="e">
        <f ca="1"/>
        <v>#NAME?</v>
      </c>
      <c r="X283" s="4" t="str">
        <f ca="1">IFERROR(_xll.qlRateHelperQuoteName(W283,Trigger),"")</f>
        <v/>
      </c>
      <c r="Y283" s="888" t="str">
        <f ca="1">IFERROR(_xll.qlRateHelperRate(W283,Trigger),"")</f>
        <v/>
      </c>
      <c r="Z283" s="887"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6" t="e">
        <f ca="1"/>
        <v>#NAME?</v>
      </c>
    </row>
    <row r="284" spans="1:29" x14ac:dyDescent="0.2">
      <c r="A284" s="873" t="s">
        <v>410</v>
      </c>
      <c r="B284" s="875" t="s">
        <v>43</v>
      </c>
      <c r="C284" s="874" t="s">
        <v>44</v>
      </c>
      <c r="D284" s="874" t="s">
        <v>323</v>
      </c>
      <c r="E284" s="874" t="s">
        <v>322</v>
      </c>
      <c r="F284" s="874" t="s">
        <v>221</v>
      </c>
      <c r="G284" s="874" t="str">
        <f t="shared" si="35"/>
        <v>Euribor6M</v>
      </c>
      <c r="H284" s="873" t="str">
        <f t="shared" si="36"/>
        <v>EUR12F13Y_Quote</v>
      </c>
      <c r="I284" s="876">
        <v>0</v>
      </c>
      <c r="J284" s="43"/>
      <c r="L284" s="894" t="str">
        <f t="shared" si="33"/>
        <v>FwdSw</v>
      </c>
      <c r="M284" s="890" t="str">
        <f t="shared" si="34"/>
        <v>--</v>
      </c>
      <c r="N284" s="893" t="str">
        <f ca="1">IFERROR(_xll.qlRateHelperQuoteName(M284,Trigger),"--")</f>
        <v>--</v>
      </c>
      <c r="O284" s="892" t="str">
        <f ca="1">IFERROR(_xll.qlRateHelperQuoteValue($M284,Trigger),"--")</f>
        <v>--</v>
      </c>
      <c r="P284" s="969" t="b">
        <v>0</v>
      </c>
      <c r="Q284" s="890">
        <v>50</v>
      </c>
      <c r="R284" s="890">
        <v>1</v>
      </c>
      <c r="S284" s="889" t="str">
        <f ca="1">IFERROR(_xll.qlRateHelperEarliestDate(M284,Trigger),"--")</f>
        <v>--</v>
      </c>
      <c r="T284" s="889" t="str">
        <f ca="1">IFERROR(_xll.qlRateHelperPillarDate(M284,Trigger),"--")</f>
        <v>--</v>
      </c>
      <c r="V284" s="4" t="str">
        <f t="shared" ca="1" si="32"/>
        <v/>
      </c>
      <c r="W284" s="4" t="e">
        <f ca="1"/>
        <v>#NAME?</v>
      </c>
      <c r="X284" s="4" t="str">
        <f ca="1">IFERROR(_xll.qlRateHelperQuoteName(W284,Trigger),"")</f>
        <v/>
      </c>
      <c r="Y284" s="888" t="str">
        <f ca="1">IFERROR(_xll.qlRateHelperRate(W284,Trigger),"")</f>
        <v/>
      </c>
      <c r="Z284" s="887"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6" t="e">
        <f ca="1"/>
        <v>#NAME?</v>
      </c>
    </row>
    <row r="285" spans="1:29" x14ac:dyDescent="0.2">
      <c r="A285" s="873" t="s">
        <v>410</v>
      </c>
      <c r="B285" s="875" t="s">
        <v>42</v>
      </c>
      <c r="C285" s="874" t="s">
        <v>44</v>
      </c>
      <c r="D285" s="874" t="s">
        <v>323</v>
      </c>
      <c r="E285" s="874" t="s">
        <v>322</v>
      </c>
      <c r="F285" s="874" t="s">
        <v>221</v>
      </c>
      <c r="G285" s="874" t="str">
        <f t="shared" si="35"/>
        <v>Euribor6M</v>
      </c>
      <c r="H285" s="873" t="str">
        <f t="shared" si="36"/>
        <v>EUR12F14Y_Quote</v>
      </c>
      <c r="I285" s="876">
        <v>0</v>
      </c>
      <c r="J285" s="43"/>
      <c r="L285" s="894" t="str">
        <f t="shared" si="33"/>
        <v>FwdSw</v>
      </c>
      <c r="M285" s="890" t="str">
        <f t="shared" si="34"/>
        <v>--</v>
      </c>
      <c r="N285" s="893" t="str">
        <f ca="1">IFERROR(_xll.qlRateHelperQuoteName(M285,Trigger),"--")</f>
        <v>--</v>
      </c>
      <c r="O285" s="892" t="str">
        <f ca="1">IFERROR(_xll.qlRateHelperQuoteValue($M285,Trigger),"--")</f>
        <v>--</v>
      </c>
      <c r="P285" s="969" t="b">
        <v>0</v>
      </c>
      <c r="Q285" s="890">
        <v>50</v>
      </c>
      <c r="R285" s="890">
        <v>1</v>
      </c>
      <c r="S285" s="889" t="str">
        <f ca="1">IFERROR(_xll.qlRateHelperEarliestDate(M285,Trigger),"--")</f>
        <v>--</v>
      </c>
      <c r="T285" s="889" t="str">
        <f ca="1">IFERROR(_xll.qlRateHelperPillarDate(M285,Trigger),"--")</f>
        <v>--</v>
      </c>
      <c r="V285" s="4" t="str">
        <f t="shared" ca="1" si="32"/>
        <v/>
      </c>
      <c r="W285" s="4" t="e">
        <f ca="1"/>
        <v>#NAME?</v>
      </c>
      <c r="X285" s="4" t="str">
        <f ca="1">IFERROR(_xll.qlRateHelperQuoteName(W285,Trigger),"")</f>
        <v/>
      </c>
      <c r="Y285" s="888" t="str">
        <f ca="1">IFERROR(_xll.qlRateHelperRate(W285,Trigger),"")</f>
        <v/>
      </c>
      <c r="Z285" s="887"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6" t="e">
        <f ca="1"/>
        <v>#NAME?</v>
      </c>
    </row>
    <row r="286" spans="1:29" x14ac:dyDescent="0.2">
      <c r="A286" s="873" t="s">
        <v>410</v>
      </c>
      <c r="B286" s="875" t="s">
        <v>41</v>
      </c>
      <c r="C286" s="874" t="s">
        <v>44</v>
      </c>
      <c r="D286" s="874" t="s">
        <v>323</v>
      </c>
      <c r="E286" s="874" t="s">
        <v>322</v>
      </c>
      <c r="F286" s="874" t="s">
        <v>221</v>
      </c>
      <c r="G286" s="874" t="str">
        <f t="shared" si="35"/>
        <v>Euribor6M</v>
      </c>
      <c r="H286" s="873" t="str">
        <f t="shared" si="36"/>
        <v>EUR12F15Y_Quote</v>
      </c>
      <c r="I286" s="876">
        <v>0</v>
      </c>
      <c r="J286" s="43"/>
      <c r="L286" s="894" t="str">
        <f t="shared" si="33"/>
        <v>FwdSw</v>
      </c>
      <c r="M286" s="890" t="str">
        <f t="shared" si="34"/>
        <v>--</v>
      </c>
      <c r="N286" s="893" t="str">
        <f ca="1">IFERROR(_xll.qlRateHelperQuoteName(M286,Trigger),"--")</f>
        <v>--</v>
      </c>
      <c r="O286" s="892" t="str">
        <f ca="1">IFERROR(_xll.qlRateHelperQuoteValue($M286,Trigger),"--")</f>
        <v>--</v>
      </c>
      <c r="P286" s="969" t="b">
        <v>0</v>
      </c>
      <c r="Q286" s="890">
        <v>50</v>
      </c>
      <c r="R286" s="890">
        <v>1</v>
      </c>
      <c r="S286" s="889" t="str">
        <f ca="1">IFERROR(_xll.qlRateHelperEarliestDate(M286,Trigger),"--")</f>
        <v>--</v>
      </c>
      <c r="T286" s="889" t="str">
        <f ca="1">IFERROR(_xll.qlRateHelperPillarDate(M286,Trigger),"--")</f>
        <v>--</v>
      </c>
      <c r="V286" s="4" t="str">
        <f t="shared" ca="1" si="32"/>
        <v/>
      </c>
      <c r="W286" s="4" t="e">
        <f ca="1"/>
        <v>#NAME?</v>
      </c>
      <c r="X286" s="4" t="str">
        <f ca="1">IFERROR(_xll.qlRateHelperQuoteName(W286,Trigger),"")</f>
        <v/>
      </c>
      <c r="Y286" s="888" t="str">
        <f ca="1">IFERROR(_xll.qlRateHelperRate(W286,Trigger),"")</f>
        <v/>
      </c>
      <c r="Z286" s="887"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6" t="e">
        <f ca="1"/>
        <v>#NAME?</v>
      </c>
    </row>
    <row r="287" spans="1:29" x14ac:dyDescent="0.2">
      <c r="A287" s="873" t="s">
        <v>410</v>
      </c>
      <c r="B287" s="875" t="s">
        <v>36</v>
      </c>
      <c r="C287" s="874" t="s">
        <v>44</v>
      </c>
      <c r="D287" s="874" t="s">
        <v>323</v>
      </c>
      <c r="E287" s="874" t="s">
        <v>322</v>
      </c>
      <c r="F287" s="874" t="s">
        <v>221</v>
      </c>
      <c r="G287" s="874" t="str">
        <f t="shared" si="35"/>
        <v>Euribor6M</v>
      </c>
      <c r="H287" s="873" t="str">
        <f t="shared" si="36"/>
        <v>EUR12F20Y_Quote</v>
      </c>
      <c r="I287" s="876">
        <v>0</v>
      </c>
      <c r="J287" s="43"/>
      <c r="L287" s="894" t="str">
        <f t="shared" si="33"/>
        <v>FwdSw</v>
      </c>
      <c r="M287" s="890" t="str">
        <f t="shared" si="34"/>
        <v>--</v>
      </c>
      <c r="N287" s="893" t="str">
        <f ca="1">IFERROR(_xll.qlRateHelperQuoteName(M287,Trigger),"--")</f>
        <v>--</v>
      </c>
      <c r="O287" s="892" t="str">
        <f ca="1">IFERROR(_xll.qlRateHelperQuoteValue($M287,Trigger),"--")</f>
        <v>--</v>
      </c>
      <c r="P287" s="969" t="b">
        <v>0</v>
      </c>
      <c r="Q287" s="890">
        <v>50</v>
      </c>
      <c r="R287" s="890">
        <v>1</v>
      </c>
      <c r="S287" s="889" t="str">
        <f ca="1">IFERROR(_xll.qlRateHelperEarliestDate(M287,Trigger),"--")</f>
        <v>--</v>
      </c>
      <c r="T287" s="889" t="str">
        <f ca="1">IFERROR(_xll.qlRateHelperPillarDate(M287,Trigger),"--")</f>
        <v>--</v>
      </c>
      <c r="V287" s="4" t="str">
        <f t="shared" ca="1" si="32"/>
        <v/>
      </c>
      <c r="W287" s="4" t="e">
        <f ca="1"/>
        <v>#NAME?</v>
      </c>
      <c r="X287" s="4" t="str">
        <f ca="1">IFERROR(_xll.qlRateHelperQuoteName(W287,Trigger),"")</f>
        <v/>
      </c>
      <c r="Y287" s="888" t="str">
        <f ca="1">IFERROR(_xll.qlRateHelperRate(W287,Trigger),"")</f>
        <v/>
      </c>
      <c r="Z287" s="887"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6" t="e">
        <f ca="1"/>
        <v>#NAME?</v>
      </c>
    </row>
    <row r="288" spans="1:29" x14ac:dyDescent="0.2">
      <c r="A288" s="873" t="s">
        <v>410</v>
      </c>
      <c r="B288" s="875" t="s">
        <v>31</v>
      </c>
      <c r="C288" s="874" t="s">
        <v>44</v>
      </c>
      <c r="D288" s="874" t="s">
        <v>323</v>
      </c>
      <c r="E288" s="874" t="s">
        <v>322</v>
      </c>
      <c r="F288" s="874" t="s">
        <v>221</v>
      </c>
      <c r="G288" s="874" t="str">
        <f t="shared" si="35"/>
        <v>Euribor6M</v>
      </c>
      <c r="H288" s="873" t="str">
        <f t="shared" si="36"/>
        <v>EUR12F25Y_Quote</v>
      </c>
      <c r="I288" s="876">
        <v>0</v>
      </c>
      <c r="J288" s="43"/>
      <c r="L288" s="894" t="str">
        <f t="shared" si="33"/>
        <v>FwdSw</v>
      </c>
      <c r="M288" s="890" t="str">
        <f t="shared" si="34"/>
        <v>--</v>
      </c>
      <c r="N288" s="893" t="str">
        <f ca="1">IFERROR(_xll.qlRateHelperQuoteName(M288,Trigger),"--")</f>
        <v>--</v>
      </c>
      <c r="O288" s="892" t="str">
        <f ca="1">IFERROR(_xll.qlRateHelperQuoteValue($M288,Trigger),"--")</f>
        <v>--</v>
      </c>
      <c r="P288" s="969" t="b">
        <v>0</v>
      </c>
      <c r="Q288" s="890">
        <v>50</v>
      </c>
      <c r="R288" s="890">
        <v>1</v>
      </c>
      <c r="S288" s="889" t="str">
        <f ca="1">IFERROR(_xll.qlRateHelperEarliestDate(M288,Trigger),"--")</f>
        <v>--</v>
      </c>
      <c r="T288" s="889" t="str">
        <f ca="1">IFERROR(_xll.qlRateHelperPillarDate(M288,Trigger),"--")</f>
        <v>--</v>
      </c>
      <c r="V288" s="4" t="str">
        <f t="shared" ca="1" si="32"/>
        <v/>
      </c>
      <c r="W288" s="4" t="e">
        <f ca="1"/>
        <v>#NAME?</v>
      </c>
      <c r="X288" s="4" t="str">
        <f ca="1">IFERROR(_xll.qlRateHelperQuoteName(W288,Trigger),"")</f>
        <v/>
      </c>
      <c r="Y288" s="888" t="str">
        <f ca="1">IFERROR(_xll.qlRateHelperRate(W288,Trigger),"")</f>
        <v/>
      </c>
      <c r="Z288" s="887"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6" t="e">
        <f ca="1"/>
        <v>#NAME?</v>
      </c>
    </row>
    <row r="289" spans="1:29" x14ac:dyDescent="0.2">
      <c r="A289" s="869" t="s">
        <v>410</v>
      </c>
      <c r="B289" s="871" t="s">
        <v>26</v>
      </c>
      <c r="C289" s="870" t="s">
        <v>44</v>
      </c>
      <c r="D289" s="870" t="s">
        <v>323</v>
      </c>
      <c r="E289" s="870" t="s">
        <v>322</v>
      </c>
      <c r="F289" s="870" t="s">
        <v>221</v>
      </c>
      <c r="G289" s="870" t="str">
        <f t="shared" si="35"/>
        <v>Euribor6M</v>
      </c>
      <c r="H289" s="869" t="str">
        <f t="shared" si="36"/>
        <v>EUR12F30Y_Quote</v>
      </c>
      <c r="I289" s="984">
        <v>0</v>
      </c>
      <c r="J289" s="38"/>
      <c r="L289" s="894" t="str">
        <f t="shared" si="33"/>
        <v>FwdSw</v>
      </c>
      <c r="M289" s="890" t="str">
        <f t="shared" si="34"/>
        <v>--</v>
      </c>
      <c r="N289" s="893" t="str">
        <f ca="1">IFERROR(_xll.qlRateHelperQuoteName(M289,Trigger),"--")</f>
        <v>--</v>
      </c>
      <c r="O289" s="892" t="str">
        <f ca="1">IFERROR(_xll.qlRateHelperQuoteValue($M289,Trigger),"--")</f>
        <v>--</v>
      </c>
      <c r="P289" s="969" t="b">
        <v>0</v>
      </c>
      <c r="Q289" s="890">
        <v>50</v>
      </c>
      <c r="R289" s="890">
        <v>1</v>
      </c>
      <c r="S289" s="889" t="str">
        <f ca="1">IFERROR(_xll.qlRateHelperEarliestDate(M289,Trigger),"--")</f>
        <v>--</v>
      </c>
      <c r="T289" s="889" t="str">
        <f ca="1">IFERROR(_xll.qlRateHelperPillarDate(M289,Trigger),"--")</f>
        <v>--</v>
      </c>
      <c r="V289" s="4" t="str">
        <f t="shared" ca="1" si="32"/>
        <v/>
      </c>
      <c r="W289" s="4" t="e">
        <f ca="1"/>
        <v>#NAME?</v>
      </c>
      <c r="X289" s="4" t="str">
        <f ca="1">IFERROR(_xll.qlRateHelperQuoteName(W289,Trigger),"")</f>
        <v/>
      </c>
      <c r="Y289" s="888" t="str">
        <f ca="1">IFERROR(_xll.qlRateHelperRate(W289,Trigger),"")</f>
        <v/>
      </c>
      <c r="Z289" s="887"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6" t="e">
        <f ca="1"/>
        <v>#NAME?</v>
      </c>
    </row>
    <row r="290" spans="1:29" x14ac:dyDescent="0.2">
      <c r="A290" s="873" t="s">
        <v>410</v>
      </c>
      <c r="B290" s="875" t="s">
        <v>58</v>
      </c>
      <c r="C290" s="874" t="s">
        <v>43</v>
      </c>
      <c r="D290" s="874" t="s">
        <v>323</v>
      </c>
      <c r="E290" s="874" t="s">
        <v>322</v>
      </c>
      <c r="F290" s="874" t="s">
        <v>221</v>
      </c>
      <c r="G290" s="874" t="str">
        <f t="shared" si="35"/>
        <v>Euribor6M</v>
      </c>
      <c r="H290" s="873" t="str">
        <f t="shared" si="36"/>
        <v>EUR13F1Y_Quote</v>
      </c>
      <c r="I290" s="876">
        <v>0</v>
      </c>
      <c r="J290" s="43"/>
      <c r="L290" s="894" t="str">
        <f t="shared" si="33"/>
        <v>FwdSw</v>
      </c>
      <c r="M290" s="890" t="str">
        <f t="shared" si="34"/>
        <v>--</v>
      </c>
      <c r="N290" s="893" t="str">
        <f ca="1">IFERROR(_xll.qlRateHelperQuoteName(M290,Trigger),"--")</f>
        <v>--</v>
      </c>
      <c r="O290" s="892" t="str">
        <f ca="1">IFERROR(_xll.qlRateHelperQuoteValue($M290,Trigger),"--")</f>
        <v>--</v>
      </c>
      <c r="P290" s="969" t="b">
        <v>0</v>
      </c>
      <c r="Q290" s="890">
        <v>50</v>
      </c>
      <c r="R290" s="890">
        <v>1</v>
      </c>
      <c r="S290" s="889" t="str">
        <f ca="1">IFERROR(_xll.qlRateHelperEarliestDate(M290,Trigger),"--")</f>
        <v>--</v>
      </c>
      <c r="T290" s="889" t="str">
        <f ca="1">IFERROR(_xll.qlRateHelperPillarDate(M290,Trigger),"--")</f>
        <v>--</v>
      </c>
      <c r="V290" s="4" t="str">
        <f t="shared" ca="1" si="32"/>
        <v/>
      </c>
      <c r="W290" s="4" t="e">
        <f ca="1"/>
        <v>#NAME?</v>
      </c>
      <c r="X290" s="4" t="str">
        <f ca="1">IFERROR(_xll.qlRateHelperQuoteName(W290,Trigger),"")</f>
        <v/>
      </c>
      <c r="Y290" s="888" t="str">
        <f ca="1">IFERROR(_xll.qlRateHelperRate(W290,Trigger),"")</f>
        <v/>
      </c>
      <c r="Z290" s="887"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6" t="e">
        <f ca="1"/>
        <v>#NAME?</v>
      </c>
    </row>
    <row r="291" spans="1:29" x14ac:dyDescent="0.2">
      <c r="A291" s="873" t="s">
        <v>410</v>
      </c>
      <c r="B291" s="875" t="s">
        <v>54</v>
      </c>
      <c r="C291" s="874" t="s">
        <v>43</v>
      </c>
      <c r="D291" s="874" t="s">
        <v>323</v>
      </c>
      <c r="E291" s="874" t="s">
        <v>322</v>
      </c>
      <c r="F291" s="874" t="s">
        <v>221</v>
      </c>
      <c r="G291" s="874" t="str">
        <f t="shared" si="35"/>
        <v>Euribor6M</v>
      </c>
      <c r="H291" s="873" t="str">
        <f t="shared" si="36"/>
        <v>EUR13F2Y_Quote</v>
      </c>
      <c r="I291" s="876">
        <v>0</v>
      </c>
      <c r="J291" s="43"/>
      <c r="L291" s="894" t="str">
        <f t="shared" si="33"/>
        <v>FwdSw</v>
      </c>
      <c r="M291" s="890" t="str">
        <f t="shared" si="34"/>
        <v>--</v>
      </c>
      <c r="N291" s="893" t="str">
        <f ca="1">IFERROR(_xll.qlRateHelperQuoteName(M291,Trigger),"--")</f>
        <v>--</v>
      </c>
      <c r="O291" s="892" t="str">
        <f ca="1">IFERROR(_xll.qlRateHelperQuoteValue($M291,Trigger),"--")</f>
        <v>--</v>
      </c>
      <c r="P291" s="969" t="b">
        <v>0</v>
      </c>
      <c r="Q291" s="890">
        <v>50</v>
      </c>
      <c r="R291" s="890">
        <v>1</v>
      </c>
      <c r="S291" s="889" t="str">
        <f ca="1">IFERROR(_xll.qlRateHelperEarliestDate(M291,Trigger),"--")</f>
        <v>--</v>
      </c>
      <c r="T291" s="889" t="str">
        <f ca="1">IFERROR(_xll.qlRateHelperPillarDate(M291,Trigger),"--")</f>
        <v>--</v>
      </c>
      <c r="V291" s="4" t="str">
        <f t="shared" ca="1" si="32"/>
        <v/>
      </c>
      <c r="W291" s="4" t="e">
        <f ca="1"/>
        <v>#NAME?</v>
      </c>
      <c r="X291" s="4" t="str">
        <f ca="1">IFERROR(_xll.qlRateHelperQuoteName(W291,Trigger),"")</f>
        <v/>
      </c>
      <c r="Y291" s="888" t="str">
        <f ca="1">IFERROR(_xll.qlRateHelperRate(W291,Trigger),"")</f>
        <v/>
      </c>
      <c r="Z291" s="887"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6" t="e">
        <f ca="1"/>
        <v>#NAME?</v>
      </c>
    </row>
    <row r="292" spans="1:29" x14ac:dyDescent="0.2">
      <c r="A292" s="873" t="s">
        <v>410</v>
      </c>
      <c r="B292" s="875" t="s">
        <v>53</v>
      </c>
      <c r="C292" s="874" t="s">
        <v>43</v>
      </c>
      <c r="D292" s="874" t="s">
        <v>323</v>
      </c>
      <c r="E292" s="874" t="s">
        <v>322</v>
      </c>
      <c r="F292" s="874" t="s">
        <v>221</v>
      </c>
      <c r="G292" s="874" t="str">
        <f t="shared" si="35"/>
        <v>Euribor6M</v>
      </c>
      <c r="H292" s="873" t="str">
        <f t="shared" si="36"/>
        <v>EUR13F3Y_Quote</v>
      </c>
      <c r="I292" s="876">
        <v>0</v>
      </c>
      <c r="J292" s="43"/>
      <c r="L292" s="894" t="str">
        <f t="shared" si="33"/>
        <v>FwdSw</v>
      </c>
      <c r="M292" s="890" t="str">
        <f t="shared" si="34"/>
        <v>--</v>
      </c>
      <c r="N292" s="893" t="str">
        <f ca="1">IFERROR(_xll.qlRateHelperQuoteName(M292,Trigger),"--")</f>
        <v>--</v>
      </c>
      <c r="O292" s="892" t="str">
        <f ca="1">IFERROR(_xll.qlRateHelperQuoteValue($M292,Trigger),"--")</f>
        <v>--</v>
      </c>
      <c r="P292" s="969" t="b">
        <v>0</v>
      </c>
      <c r="Q292" s="890">
        <v>50</v>
      </c>
      <c r="R292" s="890">
        <v>1</v>
      </c>
      <c r="S292" s="889" t="str">
        <f ca="1">IFERROR(_xll.qlRateHelperEarliestDate(M292,Trigger),"--")</f>
        <v>--</v>
      </c>
      <c r="T292" s="889" t="str">
        <f ca="1">IFERROR(_xll.qlRateHelperPillarDate(M292,Trigger),"--")</f>
        <v>--</v>
      </c>
      <c r="V292" s="4" t="str">
        <f t="shared" ca="1" si="32"/>
        <v/>
      </c>
      <c r="W292" s="4" t="e">
        <f ca="1"/>
        <v>#NAME?</v>
      </c>
      <c r="X292" s="4" t="str">
        <f ca="1">IFERROR(_xll.qlRateHelperQuoteName(W292,Trigger),"")</f>
        <v/>
      </c>
      <c r="Y292" s="888" t="str">
        <f ca="1">IFERROR(_xll.qlRateHelperRate(W292,Trigger),"")</f>
        <v/>
      </c>
      <c r="Z292" s="887"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6" t="e">
        <f ca="1"/>
        <v>#NAME?</v>
      </c>
    </row>
    <row r="293" spans="1:29" x14ac:dyDescent="0.2">
      <c r="A293" s="873" t="s">
        <v>410</v>
      </c>
      <c r="B293" s="875" t="s">
        <v>52</v>
      </c>
      <c r="C293" s="874" t="s">
        <v>43</v>
      </c>
      <c r="D293" s="874" t="s">
        <v>323</v>
      </c>
      <c r="E293" s="874" t="s">
        <v>322</v>
      </c>
      <c r="F293" s="874" t="s">
        <v>221</v>
      </c>
      <c r="G293" s="874" t="str">
        <f t="shared" si="35"/>
        <v>Euribor6M</v>
      </c>
      <c r="H293" s="873" t="str">
        <f t="shared" si="36"/>
        <v>EUR13F4Y_Quote</v>
      </c>
      <c r="I293" s="876">
        <v>0</v>
      </c>
      <c r="J293" s="43"/>
      <c r="L293" s="894" t="str">
        <f t="shared" si="33"/>
        <v>FwdSw</v>
      </c>
      <c r="M293" s="890" t="str">
        <f t="shared" si="34"/>
        <v>--</v>
      </c>
      <c r="N293" s="893" t="str">
        <f ca="1">IFERROR(_xll.qlRateHelperQuoteName(M293,Trigger),"--")</f>
        <v>--</v>
      </c>
      <c r="O293" s="892" t="str">
        <f ca="1">IFERROR(_xll.qlRateHelperQuoteValue($M293,Trigger),"--")</f>
        <v>--</v>
      </c>
      <c r="P293" s="969" t="b">
        <v>0</v>
      </c>
      <c r="Q293" s="890">
        <v>50</v>
      </c>
      <c r="R293" s="890">
        <v>1</v>
      </c>
      <c r="S293" s="889" t="str">
        <f ca="1">IFERROR(_xll.qlRateHelperEarliestDate(M293,Trigger),"--")</f>
        <v>--</v>
      </c>
      <c r="T293" s="889" t="str">
        <f ca="1">IFERROR(_xll.qlRateHelperPillarDate(M293,Trigger),"--")</f>
        <v>--</v>
      </c>
      <c r="V293" s="4" t="str">
        <f t="shared" ca="1" si="32"/>
        <v/>
      </c>
      <c r="W293" s="4" t="e">
        <f ca="1"/>
        <v>#NAME?</v>
      </c>
      <c r="X293" s="4" t="str">
        <f ca="1">IFERROR(_xll.qlRateHelperQuoteName(W293,Trigger),"")</f>
        <v/>
      </c>
      <c r="Y293" s="888" t="str">
        <f ca="1">IFERROR(_xll.qlRateHelperRate(W293,Trigger),"")</f>
        <v/>
      </c>
      <c r="Z293" s="887"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6" t="e">
        <f ca="1"/>
        <v>#NAME?</v>
      </c>
    </row>
    <row r="294" spans="1:29" x14ac:dyDescent="0.2">
      <c r="A294" s="873" t="s">
        <v>410</v>
      </c>
      <c r="B294" s="875" t="s">
        <v>51</v>
      </c>
      <c r="C294" s="874" t="s">
        <v>43</v>
      </c>
      <c r="D294" s="874" t="s">
        <v>323</v>
      </c>
      <c r="E294" s="874" t="s">
        <v>322</v>
      </c>
      <c r="F294" s="874" t="s">
        <v>221</v>
      </c>
      <c r="G294" s="874" t="str">
        <f t="shared" si="35"/>
        <v>Euribor6M</v>
      </c>
      <c r="H294" s="873" t="str">
        <f t="shared" si="36"/>
        <v>EUR13F5Y_Quote</v>
      </c>
      <c r="I294" s="876">
        <v>0</v>
      </c>
      <c r="J294" s="43"/>
      <c r="L294" s="894" t="str">
        <f t="shared" si="33"/>
        <v>FwdSw</v>
      </c>
      <c r="M294" s="890" t="str">
        <f t="shared" si="34"/>
        <v>--</v>
      </c>
      <c r="N294" s="893" t="str">
        <f ca="1">IFERROR(_xll.qlRateHelperQuoteName(M294,Trigger),"--")</f>
        <v>--</v>
      </c>
      <c r="O294" s="892" t="str">
        <f ca="1">IFERROR(_xll.qlRateHelperQuoteValue($M294,Trigger),"--")</f>
        <v>--</v>
      </c>
      <c r="P294" s="969" t="b">
        <v>0</v>
      </c>
      <c r="Q294" s="890">
        <v>50</v>
      </c>
      <c r="R294" s="890">
        <v>1</v>
      </c>
      <c r="S294" s="889" t="str">
        <f ca="1">IFERROR(_xll.qlRateHelperEarliestDate(M294,Trigger),"--")</f>
        <v>--</v>
      </c>
      <c r="T294" s="889" t="str">
        <f ca="1">IFERROR(_xll.qlRateHelperPillarDate(M294,Trigger),"--")</f>
        <v>--</v>
      </c>
      <c r="V294" s="4" t="str">
        <f t="shared" ca="1" si="32"/>
        <v/>
      </c>
      <c r="W294" s="4" t="e">
        <f ca="1"/>
        <v>#NAME?</v>
      </c>
      <c r="X294" s="4" t="str">
        <f ca="1">IFERROR(_xll.qlRateHelperQuoteName(W294,Trigger),"")</f>
        <v/>
      </c>
      <c r="Y294" s="888" t="str">
        <f ca="1">IFERROR(_xll.qlRateHelperRate(W294,Trigger),"")</f>
        <v/>
      </c>
      <c r="Z294" s="887"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6" t="e">
        <f ca="1"/>
        <v>#NAME?</v>
      </c>
    </row>
    <row r="295" spans="1:29" x14ac:dyDescent="0.2">
      <c r="A295" s="873" t="s">
        <v>410</v>
      </c>
      <c r="B295" s="875" t="s">
        <v>50</v>
      </c>
      <c r="C295" s="874" t="s">
        <v>43</v>
      </c>
      <c r="D295" s="874" t="s">
        <v>323</v>
      </c>
      <c r="E295" s="874" t="s">
        <v>322</v>
      </c>
      <c r="F295" s="874" t="s">
        <v>221</v>
      </c>
      <c r="G295" s="874" t="str">
        <f t="shared" si="35"/>
        <v>Euribor6M</v>
      </c>
      <c r="H295" s="873" t="str">
        <f t="shared" si="36"/>
        <v>EUR13F6Y_Quote</v>
      </c>
      <c r="I295" s="876">
        <v>0</v>
      </c>
      <c r="J295" s="43"/>
      <c r="L295" s="894" t="str">
        <f t="shared" si="33"/>
        <v>FwdSw</v>
      </c>
      <c r="M295" s="890" t="str">
        <f t="shared" si="34"/>
        <v>--</v>
      </c>
      <c r="N295" s="893" t="str">
        <f ca="1">IFERROR(_xll.qlRateHelperQuoteName(M295,Trigger),"--")</f>
        <v>--</v>
      </c>
      <c r="O295" s="892" t="str">
        <f ca="1">IFERROR(_xll.qlRateHelperQuoteValue($M295,Trigger),"--")</f>
        <v>--</v>
      </c>
      <c r="P295" s="969" t="b">
        <v>0</v>
      </c>
      <c r="Q295" s="890">
        <v>50</v>
      </c>
      <c r="R295" s="890">
        <v>1</v>
      </c>
      <c r="S295" s="889" t="str">
        <f ca="1">IFERROR(_xll.qlRateHelperEarliestDate(M295,Trigger),"--")</f>
        <v>--</v>
      </c>
      <c r="T295" s="889" t="str">
        <f ca="1">IFERROR(_xll.qlRateHelperPillarDate(M295,Trigger),"--")</f>
        <v>--</v>
      </c>
      <c r="V295" s="4" t="str">
        <f t="shared" ca="1" si="32"/>
        <v/>
      </c>
      <c r="W295" s="4" t="e">
        <f ca="1"/>
        <v>#NAME?</v>
      </c>
      <c r="X295" s="4" t="str">
        <f ca="1">IFERROR(_xll.qlRateHelperQuoteName(W295,Trigger),"")</f>
        <v/>
      </c>
      <c r="Y295" s="888" t="str">
        <f ca="1">IFERROR(_xll.qlRateHelperRate(W295,Trigger),"")</f>
        <v/>
      </c>
      <c r="Z295" s="887"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6" t="e">
        <f ca="1"/>
        <v>#NAME?</v>
      </c>
    </row>
    <row r="296" spans="1:29" x14ac:dyDescent="0.2">
      <c r="A296" s="873" t="s">
        <v>410</v>
      </c>
      <c r="B296" s="875" t="s">
        <v>49</v>
      </c>
      <c r="C296" s="874" t="s">
        <v>43</v>
      </c>
      <c r="D296" s="874" t="s">
        <v>323</v>
      </c>
      <c r="E296" s="874" t="s">
        <v>322</v>
      </c>
      <c r="F296" s="874" t="s">
        <v>221</v>
      </c>
      <c r="G296" s="874" t="str">
        <f t="shared" si="35"/>
        <v>Euribor6M</v>
      </c>
      <c r="H296" s="873" t="str">
        <f t="shared" si="36"/>
        <v>EUR13F7Y_Quote</v>
      </c>
      <c r="I296" s="876">
        <v>0</v>
      </c>
      <c r="J296" s="43"/>
      <c r="L296" s="894" t="str">
        <f t="shared" si="33"/>
        <v>FwdSw</v>
      </c>
      <c r="M296" s="890" t="str">
        <f t="shared" si="34"/>
        <v>--</v>
      </c>
      <c r="N296" s="893" t="str">
        <f ca="1">IFERROR(_xll.qlRateHelperQuoteName(M296,Trigger),"--")</f>
        <v>--</v>
      </c>
      <c r="O296" s="892" t="str">
        <f ca="1">IFERROR(_xll.qlRateHelperQuoteValue($M296,Trigger),"--")</f>
        <v>--</v>
      </c>
      <c r="P296" s="969" t="b">
        <v>0</v>
      </c>
      <c r="Q296" s="890">
        <v>50</v>
      </c>
      <c r="R296" s="890">
        <v>1</v>
      </c>
      <c r="S296" s="889" t="str">
        <f ca="1">IFERROR(_xll.qlRateHelperEarliestDate(M296,Trigger),"--")</f>
        <v>--</v>
      </c>
      <c r="T296" s="889" t="str">
        <f ca="1">IFERROR(_xll.qlRateHelperPillarDate(M296,Trigger),"--")</f>
        <v>--</v>
      </c>
      <c r="V296" s="4" t="str">
        <f t="shared" ca="1" si="32"/>
        <v/>
      </c>
      <c r="W296" s="4" t="e">
        <f ca="1"/>
        <v>#NAME?</v>
      </c>
      <c r="X296" s="4" t="str">
        <f ca="1">IFERROR(_xll.qlRateHelperQuoteName(W296,Trigger),"")</f>
        <v/>
      </c>
      <c r="Y296" s="888" t="str">
        <f ca="1">IFERROR(_xll.qlRateHelperRate(W296,Trigger),"")</f>
        <v/>
      </c>
      <c r="Z296" s="887"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6" t="e">
        <f ca="1"/>
        <v>#NAME?</v>
      </c>
    </row>
    <row r="297" spans="1:29" x14ac:dyDescent="0.2">
      <c r="A297" s="873" t="s">
        <v>410</v>
      </c>
      <c r="B297" s="875" t="s">
        <v>48</v>
      </c>
      <c r="C297" s="874" t="s">
        <v>43</v>
      </c>
      <c r="D297" s="874" t="s">
        <v>323</v>
      </c>
      <c r="E297" s="874" t="s">
        <v>322</v>
      </c>
      <c r="F297" s="874" t="s">
        <v>221</v>
      </c>
      <c r="G297" s="874" t="str">
        <f t="shared" si="35"/>
        <v>Euribor6M</v>
      </c>
      <c r="H297" s="873" t="str">
        <f t="shared" si="36"/>
        <v>EUR13F8Y_Quote</v>
      </c>
      <c r="I297" s="876">
        <v>0</v>
      </c>
      <c r="J297" s="43"/>
      <c r="L297" s="894" t="str">
        <f t="shared" si="33"/>
        <v>FwdSw</v>
      </c>
      <c r="M297" s="890" t="str">
        <f t="shared" si="34"/>
        <v>--</v>
      </c>
      <c r="N297" s="893" t="str">
        <f ca="1">IFERROR(_xll.qlRateHelperQuoteName(M297,Trigger),"--")</f>
        <v>--</v>
      </c>
      <c r="O297" s="892" t="str">
        <f ca="1">IFERROR(_xll.qlRateHelperQuoteValue($M297,Trigger),"--")</f>
        <v>--</v>
      </c>
      <c r="P297" s="969" t="b">
        <v>0</v>
      </c>
      <c r="Q297" s="890">
        <v>50</v>
      </c>
      <c r="R297" s="890">
        <v>1</v>
      </c>
      <c r="S297" s="889" t="str">
        <f ca="1">IFERROR(_xll.qlRateHelperEarliestDate(M297,Trigger),"--")</f>
        <v>--</v>
      </c>
      <c r="T297" s="889" t="str">
        <f ca="1">IFERROR(_xll.qlRateHelperPillarDate(M297,Trigger),"--")</f>
        <v>--</v>
      </c>
      <c r="V297" s="4" t="str">
        <f t="shared" ca="1" si="32"/>
        <v/>
      </c>
      <c r="W297" s="4" t="e">
        <f ca="1"/>
        <v>#NAME?</v>
      </c>
      <c r="X297" s="4" t="str">
        <f ca="1">IFERROR(_xll.qlRateHelperQuoteName(W297,Trigger),"")</f>
        <v/>
      </c>
      <c r="Y297" s="888" t="str">
        <f ca="1">IFERROR(_xll.qlRateHelperRate(W297,Trigger),"")</f>
        <v/>
      </c>
      <c r="Z297" s="887"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6" t="e">
        <f ca="1"/>
        <v>#NAME?</v>
      </c>
    </row>
    <row r="298" spans="1:29" x14ac:dyDescent="0.2">
      <c r="A298" s="873" t="s">
        <v>410</v>
      </c>
      <c r="B298" s="875" t="s">
        <v>47</v>
      </c>
      <c r="C298" s="874" t="s">
        <v>43</v>
      </c>
      <c r="D298" s="874" t="s">
        <v>323</v>
      </c>
      <c r="E298" s="874" t="s">
        <v>322</v>
      </c>
      <c r="F298" s="874" t="s">
        <v>221</v>
      </c>
      <c r="G298" s="874" t="str">
        <f t="shared" si="35"/>
        <v>Euribor6M</v>
      </c>
      <c r="H298" s="873" t="str">
        <f t="shared" si="36"/>
        <v>EUR13F9Y_Quote</v>
      </c>
      <c r="I298" s="876">
        <v>0</v>
      </c>
      <c r="J298" s="43"/>
      <c r="L298" s="894" t="str">
        <f t="shared" si="33"/>
        <v>FwdSw</v>
      </c>
      <c r="M298" s="890" t="str">
        <f t="shared" si="34"/>
        <v>--</v>
      </c>
      <c r="N298" s="893" t="str">
        <f ca="1">IFERROR(_xll.qlRateHelperQuoteName(M298,Trigger),"--")</f>
        <v>--</v>
      </c>
      <c r="O298" s="892" t="str">
        <f ca="1">IFERROR(_xll.qlRateHelperQuoteValue($M298,Trigger),"--")</f>
        <v>--</v>
      </c>
      <c r="P298" s="969" t="b">
        <v>0</v>
      </c>
      <c r="Q298" s="890">
        <v>50</v>
      </c>
      <c r="R298" s="890">
        <v>1</v>
      </c>
      <c r="S298" s="889" t="str">
        <f ca="1">IFERROR(_xll.qlRateHelperEarliestDate(M298,Trigger),"--")</f>
        <v>--</v>
      </c>
      <c r="T298" s="889" t="str">
        <f ca="1">IFERROR(_xll.qlRateHelperPillarDate(M298,Trigger),"--")</f>
        <v>--</v>
      </c>
      <c r="V298" s="4" t="str">
        <f t="shared" ca="1" si="32"/>
        <v/>
      </c>
      <c r="W298" s="4" t="e">
        <f ca="1"/>
        <v>#NAME?</v>
      </c>
      <c r="X298" s="4" t="str">
        <f ca="1">IFERROR(_xll.qlRateHelperQuoteName(W298,Trigger),"")</f>
        <v/>
      </c>
      <c r="Y298" s="888" t="str">
        <f ca="1">IFERROR(_xll.qlRateHelperRate(W298,Trigger),"")</f>
        <v/>
      </c>
      <c r="Z298" s="887"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6" t="e">
        <f ca="1"/>
        <v>#NAME?</v>
      </c>
    </row>
    <row r="299" spans="1:29" x14ac:dyDescent="0.2">
      <c r="A299" s="873" t="s">
        <v>410</v>
      </c>
      <c r="B299" s="875" t="s">
        <v>46</v>
      </c>
      <c r="C299" s="874" t="s">
        <v>43</v>
      </c>
      <c r="D299" s="874" t="s">
        <v>323</v>
      </c>
      <c r="E299" s="874" t="s">
        <v>322</v>
      </c>
      <c r="F299" s="874" t="s">
        <v>221</v>
      </c>
      <c r="G299" s="874" t="str">
        <f t="shared" si="35"/>
        <v>Euribor6M</v>
      </c>
      <c r="H299" s="873" t="str">
        <f t="shared" si="36"/>
        <v>EUR13F10Y_Quote</v>
      </c>
      <c r="I299" s="876">
        <v>0</v>
      </c>
      <c r="J299" s="43"/>
      <c r="L299" s="894" t="str">
        <f t="shared" si="33"/>
        <v>FwdSw</v>
      </c>
      <c r="M299" s="890" t="str">
        <f t="shared" si="34"/>
        <v>--</v>
      </c>
      <c r="N299" s="893" t="str">
        <f ca="1">IFERROR(_xll.qlRateHelperQuoteName(M299,Trigger),"--")</f>
        <v>--</v>
      </c>
      <c r="O299" s="892" t="str">
        <f ca="1">IFERROR(_xll.qlRateHelperQuoteValue($M299,Trigger),"--")</f>
        <v>--</v>
      </c>
      <c r="P299" s="969" t="b">
        <v>0</v>
      </c>
      <c r="Q299" s="890">
        <v>50</v>
      </c>
      <c r="R299" s="890">
        <v>1</v>
      </c>
      <c r="S299" s="889" t="str">
        <f ca="1">IFERROR(_xll.qlRateHelperEarliestDate(M299,Trigger),"--")</f>
        <v>--</v>
      </c>
      <c r="T299" s="889" t="str">
        <f ca="1">IFERROR(_xll.qlRateHelperPillarDate(M299,Trigger),"--")</f>
        <v>--</v>
      </c>
      <c r="V299" s="4" t="str">
        <f t="shared" ca="1" si="32"/>
        <v/>
      </c>
      <c r="W299" s="4" t="e">
        <f ca="1"/>
        <v>#NAME?</v>
      </c>
      <c r="X299" s="4" t="str">
        <f ca="1">IFERROR(_xll.qlRateHelperQuoteName(W299,Trigger),"")</f>
        <v/>
      </c>
      <c r="Y299" s="888" t="str">
        <f ca="1">IFERROR(_xll.qlRateHelperRate(W299,Trigger),"")</f>
        <v/>
      </c>
      <c r="Z299" s="887"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6" t="e">
        <f ca="1"/>
        <v>#NAME?</v>
      </c>
    </row>
    <row r="300" spans="1:29" x14ac:dyDescent="0.2">
      <c r="A300" s="873" t="s">
        <v>410</v>
      </c>
      <c r="B300" s="875" t="s">
        <v>45</v>
      </c>
      <c r="C300" s="874" t="s">
        <v>43</v>
      </c>
      <c r="D300" s="874" t="s">
        <v>323</v>
      </c>
      <c r="E300" s="874" t="s">
        <v>322</v>
      </c>
      <c r="F300" s="874" t="s">
        <v>221</v>
      </c>
      <c r="G300" s="874" t="str">
        <f t="shared" si="35"/>
        <v>Euribor6M</v>
      </c>
      <c r="H300" s="873" t="str">
        <f t="shared" si="36"/>
        <v>EUR13F11Y_Quote</v>
      </c>
      <c r="I300" s="876">
        <v>0</v>
      </c>
      <c r="J300" s="43"/>
      <c r="L300" s="894" t="str">
        <f t="shared" si="33"/>
        <v>FwdSw</v>
      </c>
      <c r="M300" s="890" t="str">
        <f t="shared" si="34"/>
        <v>--</v>
      </c>
      <c r="N300" s="893" t="str">
        <f ca="1">IFERROR(_xll.qlRateHelperQuoteName(M300,Trigger),"--")</f>
        <v>--</v>
      </c>
      <c r="O300" s="892" t="str">
        <f ca="1">IFERROR(_xll.qlRateHelperQuoteValue($M300,Trigger),"--")</f>
        <v>--</v>
      </c>
      <c r="P300" s="969" t="b">
        <v>0</v>
      </c>
      <c r="Q300" s="890">
        <v>50</v>
      </c>
      <c r="R300" s="890">
        <v>1</v>
      </c>
      <c r="S300" s="889" t="str">
        <f ca="1">IFERROR(_xll.qlRateHelperEarliestDate(M300,Trigger),"--")</f>
        <v>--</v>
      </c>
      <c r="T300" s="889" t="str">
        <f ca="1">IFERROR(_xll.qlRateHelperPillarDate(M300,Trigger),"--")</f>
        <v>--</v>
      </c>
      <c r="V300" s="4" t="str">
        <f t="shared" ca="1" si="32"/>
        <v/>
      </c>
      <c r="W300" s="4" t="e">
        <f ca="1"/>
        <v>#NAME?</v>
      </c>
      <c r="X300" s="4" t="str">
        <f ca="1">IFERROR(_xll.qlRateHelperQuoteName(W300,Trigger),"")</f>
        <v/>
      </c>
      <c r="Y300" s="888" t="str">
        <f ca="1">IFERROR(_xll.qlRateHelperRate(W300,Trigger),"")</f>
        <v/>
      </c>
      <c r="Z300" s="887"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6" t="e">
        <f ca="1"/>
        <v>#NAME?</v>
      </c>
    </row>
    <row r="301" spans="1:29" x14ac:dyDescent="0.2">
      <c r="A301" s="873" t="s">
        <v>410</v>
      </c>
      <c r="B301" s="875" t="s">
        <v>44</v>
      </c>
      <c r="C301" s="874" t="s">
        <v>43</v>
      </c>
      <c r="D301" s="874" t="s">
        <v>323</v>
      </c>
      <c r="E301" s="874" t="s">
        <v>322</v>
      </c>
      <c r="F301" s="874" t="s">
        <v>221</v>
      </c>
      <c r="G301" s="874" t="str">
        <f t="shared" si="35"/>
        <v>Euribor6M</v>
      </c>
      <c r="H301" s="873" t="str">
        <f t="shared" si="36"/>
        <v>EUR13F12Y_Quote</v>
      </c>
      <c r="I301" s="876">
        <v>0</v>
      </c>
      <c r="J301" s="43"/>
      <c r="L301" s="894" t="str">
        <f t="shared" si="33"/>
        <v>FwdSw</v>
      </c>
      <c r="M301" s="890" t="str">
        <f t="shared" si="34"/>
        <v>--</v>
      </c>
      <c r="N301" s="893" t="str">
        <f ca="1">IFERROR(_xll.qlRateHelperQuoteName(M301,Trigger),"--")</f>
        <v>--</v>
      </c>
      <c r="O301" s="892" t="str">
        <f ca="1">IFERROR(_xll.qlRateHelperQuoteValue($M301,Trigger),"--")</f>
        <v>--</v>
      </c>
      <c r="P301" s="969" t="b">
        <v>0</v>
      </c>
      <c r="Q301" s="890">
        <v>50</v>
      </c>
      <c r="R301" s="890">
        <v>1</v>
      </c>
      <c r="S301" s="889" t="str">
        <f ca="1">IFERROR(_xll.qlRateHelperEarliestDate(M301,Trigger),"--")</f>
        <v>--</v>
      </c>
      <c r="T301" s="889" t="str">
        <f ca="1">IFERROR(_xll.qlRateHelperPillarDate(M301,Trigger),"--")</f>
        <v>--</v>
      </c>
      <c r="V301" s="4" t="str">
        <f t="shared" ca="1" si="32"/>
        <v/>
      </c>
      <c r="W301" s="4" t="e">
        <f ca="1"/>
        <v>#NAME?</v>
      </c>
      <c r="X301" s="4" t="str">
        <f ca="1">IFERROR(_xll.qlRateHelperQuoteName(W301,Trigger),"")</f>
        <v/>
      </c>
      <c r="Y301" s="888" t="str">
        <f ca="1">IFERROR(_xll.qlRateHelperRate(W301,Trigger),"")</f>
        <v/>
      </c>
      <c r="Z301" s="887"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6" t="e">
        <f ca="1"/>
        <v>#NAME?</v>
      </c>
    </row>
    <row r="302" spans="1:29" x14ac:dyDescent="0.2">
      <c r="A302" s="873" t="s">
        <v>410</v>
      </c>
      <c r="B302" s="875" t="s">
        <v>43</v>
      </c>
      <c r="C302" s="874" t="s">
        <v>43</v>
      </c>
      <c r="D302" s="874" t="s">
        <v>323</v>
      </c>
      <c r="E302" s="874" t="s">
        <v>322</v>
      </c>
      <c r="F302" s="874" t="s">
        <v>221</v>
      </c>
      <c r="G302" s="874" t="str">
        <f t="shared" si="35"/>
        <v>Euribor6M</v>
      </c>
      <c r="H302" s="873" t="str">
        <f t="shared" si="36"/>
        <v>EUR13F13Y_Quote</v>
      </c>
      <c r="I302" s="876">
        <v>0</v>
      </c>
      <c r="J302" s="43"/>
      <c r="L302" s="894" t="str">
        <f t="shared" si="33"/>
        <v>FwdSw</v>
      </c>
      <c r="M302" s="890" t="str">
        <f t="shared" si="34"/>
        <v>--</v>
      </c>
      <c r="N302" s="893" t="str">
        <f ca="1">IFERROR(_xll.qlRateHelperQuoteName(M302,Trigger),"--")</f>
        <v>--</v>
      </c>
      <c r="O302" s="892" t="str">
        <f ca="1">IFERROR(_xll.qlRateHelperQuoteValue($M302,Trigger),"--")</f>
        <v>--</v>
      </c>
      <c r="P302" s="969" t="b">
        <v>0</v>
      </c>
      <c r="Q302" s="890">
        <v>50</v>
      </c>
      <c r="R302" s="890">
        <v>1</v>
      </c>
      <c r="S302" s="889" t="str">
        <f ca="1">IFERROR(_xll.qlRateHelperEarliestDate(M302,Trigger),"--")</f>
        <v>--</v>
      </c>
      <c r="T302" s="889" t="str">
        <f ca="1">IFERROR(_xll.qlRateHelperPillarDate(M302,Trigger),"--")</f>
        <v>--</v>
      </c>
      <c r="V302" s="4" t="str">
        <f t="shared" ca="1" si="32"/>
        <v/>
      </c>
      <c r="W302" s="4" t="e">
        <f ca="1"/>
        <v>#NAME?</v>
      </c>
      <c r="X302" s="4" t="str">
        <f ca="1">IFERROR(_xll.qlRateHelperQuoteName(W302,Trigger),"")</f>
        <v/>
      </c>
      <c r="Y302" s="888" t="str">
        <f ca="1">IFERROR(_xll.qlRateHelperRate(W302,Trigger),"")</f>
        <v/>
      </c>
      <c r="Z302" s="887"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6" t="e">
        <f ca="1"/>
        <v>#NAME?</v>
      </c>
    </row>
    <row r="303" spans="1:29" x14ac:dyDescent="0.2">
      <c r="A303" s="873" t="s">
        <v>410</v>
      </c>
      <c r="B303" s="875" t="s">
        <v>42</v>
      </c>
      <c r="C303" s="874" t="s">
        <v>43</v>
      </c>
      <c r="D303" s="874" t="s">
        <v>323</v>
      </c>
      <c r="E303" s="874" t="s">
        <v>322</v>
      </c>
      <c r="F303" s="874" t="s">
        <v>221</v>
      </c>
      <c r="G303" s="874" t="str">
        <f t="shared" si="35"/>
        <v>Euribor6M</v>
      </c>
      <c r="H303" s="873" t="str">
        <f t="shared" si="36"/>
        <v>EUR13F14Y_Quote</v>
      </c>
      <c r="I303" s="876">
        <v>0</v>
      </c>
      <c r="J303" s="43"/>
      <c r="L303" s="894" t="str">
        <f t="shared" si="33"/>
        <v>FwdSw</v>
      </c>
      <c r="M303" s="890" t="str">
        <f t="shared" si="34"/>
        <v>--</v>
      </c>
      <c r="N303" s="893" t="str">
        <f ca="1">IFERROR(_xll.qlRateHelperQuoteName(M303,Trigger),"--")</f>
        <v>--</v>
      </c>
      <c r="O303" s="892" t="str">
        <f ca="1">IFERROR(_xll.qlRateHelperQuoteValue($M303,Trigger),"--")</f>
        <v>--</v>
      </c>
      <c r="P303" s="969" t="b">
        <v>0</v>
      </c>
      <c r="Q303" s="890">
        <v>50</v>
      </c>
      <c r="R303" s="890">
        <v>1</v>
      </c>
      <c r="S303" s="889" t="str">
        <f ca="1">IFERROR(_xll.qlRateHelperEarliestDate(M303,Trigger),"--")</f>
        <v>--</v>
      </c>
      <c r="T303" s="889" t="str">
        <f ca="1">IFERROR(_xll.qlRateHelperPillarDate(M303,Trigger),"--")</f>
        <v>--</v>
      </c>
      <c r="V303" s="4" t="str">
        <f t="shared" ca="1" si="32"/>
        <v/>
      </c>
      <c r="W303" s="4" t="e">
        <f ca="1"/>
        <v>#NAME?</v>
      </c>
      <c r="X303" s="4" t="str">
        <f ca="1">IFERROR(_xll.qlRateHelperQuoteName(W303,Trigger),"")</f>
        <v/>
      </c>
      <c r="Y303" s="888" t="str">
        <f ca="1">IFERROR(_xll.qlRateHelperRate(W303,Trigger),"")</f>
        <v/>
      </c>
      <c r="Z303" s="887"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6" t="e">
        <f ca="1"/>
        <v>#NAME?</v>
      </c>
    </row>
    <row r="304" spans="1:29" x14ac:dyDescent="0.2">
      <c r="A304" s="873" t="s">
        <v>410</v>
      </c>
      <c r="B304" s="875" t="s">
        <v>41</v>
      </c>
      <c r="C304" s="874" t="s">
        <v>43</v>
      </c>
      <c r="D304" s="874" t="s">
        <v>323</v>
      </c>
      <c r="E304" s="874" t="s">
        <v>322</v>
      </c>
      <c r="F304" s="874" t="s">
        <v>221</v>
      </c>
      <c r="G304" s="874" t="str">
        <f t="shared" si="35"/>
        <v>Euribor6M</v>
      </c>
      <c r="H304" s="873" t="str">
        <f t="shared" si="36"/>
        <v>EUR13F15Y_Quote</v>
      </c>
      <c r="I304" s="876">
        <v>0</v>
      </c>
      <c r="J304" s="43"/>
      <c r="L304" s="894" t="str">
        <f t="shared" si="33"/>
        <v>FwdSw</v>
      </c>
      <c r="M304" s="890" t="str">
        <f t="shared" si="34"/>
        <v>--</v>
      </c>
      <c r="N304" s="893" t="str">
        <f ca="1">IFERROR(_xll.qlRateHelperQuoteName(M304,Trigger),"--")</f>
        <v>--</v>
      </c>
      <c r="O304" s="892" t="str">
        <f ca="1">IFERROR(_xll.qlRateHelperQuoteValue($M304,Trigger),"--")</f>
        <v>--</v>
      </c>
      <c r="P304" s="969" t="b">
        <v>0</v>
      </c>
      <c r="Q304" s="890">
        <v>50</v>
      </c>
      <c r="R304" s="890">
        <v>1</v>
      </c>
      <c r="S304" s="889" t="str">
        <f ca="1">IFERROR(_xll.qlRateHelperEarliestDate(M304,Trigger),"--")</f>
        <v>--</v>
      </c>
      <c r="T304" s="889" t="str">
        <f ca="1">IFERROR(_xll.qlRateHelperPillarDate(M304,Trigger),"--")</f>
        <v>--</v>
      </c>
      <c r="V304" s="4" t="str">
        <f t="shared" ca="1" si="32"/>
        <v/>
      </c>
      <c r="W304" s="4" t="e">
        <f ca="1"/>
        <v>#NAME?</v>
      </c>
      <c r="X304" s="4" t="str">
        <f ca="1">IFERROR(_xll.qlRateHelperQuoteName(W304,Trigger),"")</f>
        <v/>
      </c>
      <c r="Y304" s="888" t="str">
        <f ca="1">IFERROR(_xll.qlRateHelperRate(W304,Trigger),"")</f>
        <v/>
      </c>
      <c r="Z304" s="887"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6" t="e">
        <f ca="1"/>
        <v>#NAME?</v>
      </c>
    </row>
    <row r="305" spans="1:29" x14ac:dyDescent="0.2">
      <c r="A305" s="873" t="s">
        <v>410</v>
      </c>
      <c r="B305" s="875" t="s">
        <v>36</v>
      </c>
      <c r="C305" s="874" t="s">
        <v>43</v>
      </c>
      <c r="D305" s="874" t="s">
        <v>323</v>
      </c>
      <c r="E305" s="874" t="s">
        <v>322</v>
      </c>
      <c r="F305" s="874" t="s">
        <v>221</v>
      </c>
      <c r="G305" s="874" t="str">
        <f t="shared" si="35"/>
        <v>Euribor6M</v>
      </c>
      <c r="H305" s="873" t="str">
        <f t="shared" si="36"/>
        <v>EUR13F20Y_Quote</v>
      </c>
      <c r="I305" s="876">
        <v>0</v>
      </c>
      <c r="J305" s="43"/>
      <c r="L305" s="894" t="str">
        <f t="shared" si="33"/>
        <v>FwdSw</v>
      </c>
      <c r="M305" s="890" t="str">
        <f t="shared" si="34"/>
        <v>--</v>
      </c>
      <c r="N305" s="893" t="str">
        <f ca="1">IFERROR(_xll.qlRateHelperQuoteName(M305,Trigger),"--")</f>
        <v>--</v>
      </c>
      <c r="O305" s="892" t="str">
        <f ca="1">IFERROR(_xll.qlRateHelperQuoteValue($M305,Trigger),"--")</f>
        <v>--</v>
      </c>
      <c r="P305" s="969" t="b">
        <v>0</v>
      </c>
      <c r="Q305" s="890">
        <v>50</v>
      </c>
      <c r="R305" s="890">
        <v>1</v>
      </c>
      <c r="S305" s="889" t="str">
        <f ca="1">IFERROR(_xll.qlRateHelperEarliestDate(M305,Trigger),"--")</f>
        <v>--</v>
      </c>
      <c r="T305" s="889" t="str">
        <f ca="1">IFERROR(_xll.qlRateHelperPillarDate(M305,Trigger),"--")</f>
        <v>--</v>
      </c>
      <c r="V305" s="4" t="str">
        <f t="shared" ca="1" si="32"/>
        <v/>
      </c>
      <c r="W305" s="4" t="e">
        <f ca="1"/>
        <v>#NAME?</v>
      </c>
      <c r="X305" s="4" t="str">
        <f ca="1">IFERROR(_xll.qlRateHelperQuoteName(W305,Trigger),"")</f>
        <v/>
      </c>
      <c r="Y305" s="888" t="str">
        <f ca="1">IFERROR(_xll.qlRateHelperRate(W305,Trigger),"")</f>
        <v/>
      </c>
      <c r="Z305" s="887"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6" t="e">
        <f ca="1"/>
        <v>#NAME?</v>
      </c>
    </row>
    <row r="306" spans="1:29" x14ac:dyDescent="0.2">
      <c r="A306" s="873" t="s">
        <v>410</v>
      </c>
      <c r="B306" s="875" t="s">
        <v>31</v>
      </c>
      <c r="C306" s="874" t="s">
        <v>43</v>
      </c>
      <c r="D306" s="874" t="s">
        <v>323</v>
      </c>
      <c r="E306" s="874" t="s">
        <v>322</v>
      </c>
      <c r="F306" s="874" t="s">
        <v>221</v>
      </c>
      <c r="G306" s="874" t="str">
        <f t="shared" si="35"/>
        <v>Euribor6M</v>
      </c>
      <c r="H306" s="873" t="str">
        <f t="shared" si="36"/>
        <v>EUR13F25Y_Quote</v>
      </c>
      <c r="I306" s="876">
        <v>0</v>
      </c>
      <c r="J306" s="43"/>
      <c r="L306" s="894" t="str">
        <f t="shared" si="33"/>
        <v>FwdSw</v>
      </c>
      <c r="M306" s="890" t="str">
        <f t="shared" si="34"/>
        <v>--</v>
      </c>
      <c r="N306" s="893" t="str">
        <f ca="1">IFERROR(_xll.qlRateHelperQuoteName(M306,Trigger),"--")</f>
        <v>--</v>
      </c>
      <c r="O306" s="892" t="str">
        <f ca="1">IFERROR(_xll.qlRateHelperQuoteValue($M306,Trigger),"--")</f>
        <v>--</v>
      </c>
      <c r="P306" s="969" t="b">
        <v>0</v>
      </c>
      <c r="Q306" s="890">
        <v>50</v>
      </c>
      <c r="R306" s="890">
        <v>1</v>
      </c>
      <c r="S306" s="889" t="str">
        <f ca="1">IFERROR(_xll.qlRateHelperEarliestDate(M306,Trigger),"--")</f>
        <v>--</v>
      </c>
      <c r="T306" s="889" t="str">
        <f ca="1">IFERROR(_xll.qlRateHelperPillarDate(M306,Trigger),"--")</f>
        <v>--</v>
      </c>
      <c r="V306" s="4" t="str">
        <f t="shared" ca="1" si="32"/>
        <v/>
      </c>
      <c r="W306" s="4" t="e">
        <f ca="1"/>
        <v>#NAME?</v>
      </c>
      <c r="X306" s="4" t="str">
        <f ca="1">IFERROR(_xll.qlRateHelperQuoteName(W306,Trigger),"")</f>
        <v/>
      </c>
      <c r="Y306" s="888" t="str">
        <f ca="1">IFERROR(_xll.qlRateHelperRate(W306,Trigger),"")</f>
        <v/>
      </c>
      <c r="Z306" s="887"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6" t="e">
        <f ca="1"/>
        <v>#NAME?</v>
      </c>
    </row>
    <row r="307" spans="1:29" x14ac:dyDescent="0.2">
      <c r="A307" s="873" t="s">
        <v>410</v>
      </c>
      <c r="B307" s="875" t="s">
        <v>26</v>
      </c>
      <c r="C307" s="874" t="s">
        <v>43</v>
      </c>
      <c r="D307" s="874" t="s">
        <v>323</v>
      </c>
      <c r="E307" s="874" t="s">
        <v>322</v>
      </c>
      <c r="F307" s="874" t="s">
        <v>221</v>
      </c>
      <c r="G307" s="874" t="str">
        <f t="shared" si="35"/>
        <v>Euribor6M</v>
      </c>
      <c r="H307" s="873" t="str">
        <f t="shared" si="36"/>
        <v>EUR13F30Y_Quote</v>
      </c>
      <c r="I307" s="876">
        <v>0</v>
      </c>
      <c r="J307" s="43"/>
      <c r="L307" s="894" t="str">
        <f t="shared" si="33"/>
        <v>FwdSw</v>
      </c>
      <c r="M307" s="890" t="str">
        <f t="shared" si="34"/>
        <v>--</v>
      </c>
      <c r="N307" s="893" t="str">
        <f ca="1">IFERROR(_xll.qlRateHelperQuoteName(M307,Trigger),"--")</f>
        <v>--</v>
      </c>
      <c r="O307" s="892" t="str">
        <f ca="1">IFERROR(_xll.qlRateHelperQuoteValue($M307,Trigger),"--")</f>
        <v>--</v>
      </c>
      <c r="P307" s="969" t="b">
        <v>0</v>
      </c>
      <c r="Q307" s="890">
        <v>50</v>
      </c>
      <c r="R307" s="890">
        <v>1</v>
      </c>
      <c r="S307" s="889" t="str">
        <f ca="1">IFERROR(_xll.qlRateHelperEarliestDate(M307,Trigger),"--")</f>
        <v>--</v>
      </c>
      <c r="T307" s="889" t="str">
        <f ca="1">IFERROR(_xll.qlRateHelperPillarDate(M307,Trigger),"--")</f>
        <v>--</v>
      </c>
      <c r="V307" s="4" t="str">
        <f t="shared" ca="1" si="32"/>
        <v/>
      </c>
      <c r="W307" s="4" t="e">
        <f ca="1"/>
        <v>#NAME?</v>
      </c>
      <c r="X307" s="4" t="str">
        <f ca="1">IFERROR(_xll.qlRateHelperQuoteName(W307,Trigger),"")</f>
        <v/>
      </c>
      <c r="Y307" s="888" t="str">
        <f ca="1">IFERROR(_xll.qlRateHelperRate(W307,Trigger),"")</f>
        <v/>
      </c>
      <c r="Z307" s="887"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6" t="e">
        <f ca="1"/>
        <v>#NAME?</v>
      </c>
    </row>
    <row r="308" spans="1:29" x14ac:dyDescent="0.2">
      <c r="A308" s="896" t="s">
        <v>410</v>
      </c>
      <c r="B308" s="898" t="s">
        <v>58</v>
      </c>
      <c r="C308" s="897" t="s">
        <v>42</v>
      </c>
      <c r="D308" s="897" t="s">
        <v>323</v>
      </c>
      <c r="E308" s="897" t="s">
        <v>322</v>
      </c>
      <c r="F308" s="897" t="s">
        <v>221</v>
      </c>
      <c r="G308" s="897" t="str">
        <f t="shared" si="35"/>
        <v>Euribor6M</v>
      </c>
      <c r="H308" s="896" t="str">
        <f t="shared" si="36"/>
        <v>EUR14F1Y_Quote</v>
      </c>
      <c r="I308" s="895">
        <v>0</v>
      </c>
      <c r="J308" s="47"/>
      <c r="L308" s="894" t="str">
        <f t="shared" si="33"/>
        <v>FwdSw</v>
      </c>
      <c r="M308" s="890" t="str">
        <f t="shared" si="34"/>
        <v>--</v>
      </c>
      <c r="N308" s="893" t="str">
        <f ca="1">IFERROR(_xll.qlRateHelperQuoteName(M308,Trigger),"--")</f>
        <v>--</v>
      </c>
      <c r="O308" s="892" t="str">
        <f ca="1">IFERROR(_xll.qlRateHelperQuoteValue($M308,Trigger),"--")</f>
        <v>--</v>
      </c>
      <c r="P308" s="969" t="b">
        <v>0</v>
      </c>
      <c r="Q308" s="890">
        <v>50</v>
      </c>
      <c r="R308" s="890">
        <v>1</v>
      </c>
      <c r="S308" s="889" t="str">
        <f ca="1">IFERROR(_xll.qlRateHelperEarliestDate(M308,Trigger),"--")</f>
        <v>--</v>
      </c>
      <c r="T308" s="889" t="str">
        <f ca="1">IFERROR(_xll.qlRateHelperPillarDate(M308,Trigger),"--")</f>
        <v>--</v>
      </c>
      <c r="V308" s="4" t="str">
        <f t="shared" ca="1" si="32"/>
        <v/>
      </c>
      <c r="W308" s="4" t="e">
        <f ca="1"/>
        <v>#NAME?</v>
      </c>
      <c r="X308" s="4" t="str">
        <f ca="1">IFERROR(_xll.qlRateHelperQuoteName(W308,Trigger),"")</f>
        <v/>
      </c>
      <c r="Y308" s="888" t="str">
        <f ca="1">IFERROR(_xll.qlRateHelperRate(W308,Trigger),"")</f>
        <v/>
      </c>
      <c r="Z308" s="887"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6" t="e">
        <f ca="1"/>
        <v>#NAME?</v>
      </c>
    </row>
    <row r="309" spans="1:29" x14ac:dyDescent="0.2">
      <c r="A309" s="873" t="s">
        <v>410</v>
      </c>
      <c r="B309" s="875" t="s">
        <v>54</v>
      </c>
      <c r="C309" s="874" t="s">
        <v>42</v>
      </c>
      <c r="D309" s="874" t="s">
        <v>323</v>
      </c>
      <c r="E309" s="874" t="s">
        <v>322</v>
      </c>
      <c r="F309" s="874" t="s">
        <v>221</v>
      </c>
      <c r="G309" s="874" t="str">
        <f t="shared" si="35"/>
        <v>Euribor6M</v>
      </c>
      <c r="H309" s="873" t="str">
        <f t="shared" si="36"/>
        <v>EUR14F2Y_Quote</v>
      </c>
      <c r="I309" s="876">
        <v>0</v>
      </c>
      <c r="J309" s="43"/>
      <c r="L309" s="894" t="str">
        <f t="shared" si="33"/>
        <v>FwdSw</v>
      </c>
      <c r="M309" s="890" t="str">
        <f t="shared" si="34"/>
        <v>--</v>
      </c>
      <c r="N309" s="893" t="str">
        <f ca="1">IFERROR(_xll.qlRateHelperQuoteName(M309,Trigger),"--")</f>
        <v>--</v>
      </c>
      <c r="O309" s="892" t="str">
        <f ca="1">IFERROR(_xll.qlRateHelperQuoteValue($M309,Trigger),"--")</f>
        <v>--</v>
      </c>
      <c r="P309" s="969" t="b">
        <v>0</v>
      </c>
      <c r="Q309" s="890">
        <v>50</v>
      </c>
      <c r="R309" s="890">
        <v>1</v>
      </c>
      <c r="S309" s="889" t="str">
        <f ca="1">IFERROR(_xll.qlRateHelperEarliestDate(M309,Trigger),"--")</f>
        <v>--</v>
      </c>
      <c r="T309" s="889" t="str">
        <f ca="1">IFERROR(_xll.qlRateHelperPillarDate(M309,Trigger),"--")</f>
        <v>--</v>
      </c>
      <c r="V309" s="4" t="str">
        <f t="shared" ca="1" si="32"/>
        <v/>
      </c>
      <c r="W309" s="4" t="e">
        <f ca="1"/>
        <v>#NAME?</v>
      </c>
      <c r="X309" s="4" t="str">
        <f ca="1">IFERROR(_xll.qlRateHelperQuoteName(W309,Trigger),"")</f>
        <v/>
      </c>
      <c r="Y309" s="888" t="str">
        <f ca="1">IFERROR(_xll.qlRateHelperRate(W309,Trigger),"")</f>
        <v/>
      </c>
      <c r="Z309" s="887"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6" t="e">
        <f ca="1"/>
        <v>#NAME?</v>
      </c>
    </row>
    <row r="310" spans="1:29" x14ac:dyDescent="0.2">
      <c r="A310" s="873" t="s">
        <v>410</v>
      </c>
      <c r="B310" s="875" t="s">
        <v>53</v>
      </c>
      <c r="C310" s="874" t="s">
        <v>42</v>
      </c>
      <c r="D310" s="874" t="s">
        <v>323</v>
      </c>
      <c r="E310" s="874" t="s">
        <v>322</v>
      </c>
      <c r="F310" s="874" t="s">
        <v>221</v>
      </c>
      <c r="G310" s="874" t="str">
        <f t="shared" si="35"/>
        <v>Euribor6M</v>
      </c>
      <c r="H310" s="873" t="str">
        <f t="shared" si="36"/>
        <v>EUR14F3Y_Quote</v>
      </c>
      <c r="I310" s="876">
        <v>0</v>
      </c>
      <c r="J310" s="43"/>
      <c r="L310" s="894" t="str">
        <f t="shared" si="33"/>
        <v>FwdSw</v>
      </c>
      <c r="M310" s="890" t="str">
        <f t="shared" si="34"/>
        <v>--</v>
      </c>
      <c r="N310" s="893" t="str">
        <f ca="1">IFERROR(_xll.qlRateHelperQuoteName(M310,Trigger),"--")</f>
        <v>--</v>
      </c>
      <c r="O310" s="892" t="str">
        <f ca="1">IFERROR(_xll.qlRateHelperQuoteValue($M310,Trigger),"--")</f>
        <v>--</v>
      </c>
      <c r="P310" s="969" t="b">
        <v>0</v>
      </c>
      <c r="Q310" s="890">
        <v>50</v>
      </c>
      <c r="R310" s="890">
        <v>1</v>
      </c>
      <c r="S310" s="889" t="str">
        <f ca="1">IFERROR(_xll.qlRateHelperEarliestDate(M310,Trigger),"--")</f>
        <v>--</v>
      </c>
      <c r="T310" s="889" t="str">
        <f ca="1">IFERROR(_xll.qlRateHelperPillarDate(M310,Trigger),"--")</f>
        <v>--</v>
      </c>
      <c r="V310" s="4" t="str">
        <f t="shared" ca="1" si="32"/>
        <v/>
      </c>
      <c r="W310" s="4" t="e">
        <f ca="1"/>
        <v>#NAME?</v>
      </c>
      <c r="X310" s="4" t="str">
        <f ca="1">IFERROR(_xll.qlRateHelperQuoteName(W310,Trigger),"")</f>
        <v/>
      </c>
      <c r="Y310" s="888" t="str">
        <f ca="1">IFERROR(_xll.qlRateHelperRate(W310,Trigger),"")</f>
        <v/>
      </c>
      <c r="Z310" s="887"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6" t="e">
        <f ca="1"/>
        <v>#NAME?</v>
      </c>
    </row>
    <row r="311" spans="1:29" x14ac:dyDescent="0.2">
      <c r="A311" s="873" t="s">
        <v>410</v>
      </c>
      <c r="B311" s="875" t="s">
        <v>52</v>
      </c>
      <c r="C311" s="874" t="s">
        <v>42</v>
      </c>
      <c r="D311" s="874" t="s">
        <v>323</v>
      </c>
      <c r="E311" s="874" t="s">
        <v>322</v>
      </c>
      <c r="F311" s="874" t="s">
        <v>221</v>
      </c>
      <c r="G311" s="874" t="str">
        <f t="shared" si="35"/>
        <v>Euribor6M</v>
      </c>
      <c r="H311" s="873" t="str">
        <f t="shared" si="36"/>
        <v>EUR14F4Y_Quote</v>
      </c>
      <c r="I311" s="876">
        <v>0</v>
      </c>
      <c r="J311" s="43"/>
      <c r="L311" s="894" t="str">
        <f t="shared" si="33"/>
        <v>FwdSw</v>
      </c>
      <c r="M311" s="890" t="str">
        <f t="shared" si="34"/>
        <v>--</v>
      </c>
      <c r="N311" s="893" t="str">
        <f ca="1">IFERROR(_xll.qlRateHelperQuoteName(M311,Trigger),"--")</f>
        <v>--</v>
      </c>
      <c r="O311" s="892" t="str">
        <f ca="1">IFERROR(_xll.qlRateHelperQuoteValue($M311,Trigger),"--")</f>
        <v>--</v>
      </c>
      <c r="P311" s="969" t="b">
        <v>0</v>
      </c>
      <c r="Q311" s="890">
        <v>50</v>
      </c>
      <c r="R311" s="890">
        <v>1</v>
      </c>
      <c r="S311" s="889" t="str">
        <f ca="1">IFERROR(_xll.qlRateHelperEarliestDate(M311,Trigger),"--")</f>
        <v>--</v>
      </c>
      <c r="T311" s="889" t="str">
        <f ca="1">IFERROR(_xll.qlRateHelperPillarDate(M311,Trigger),"--")</f>
        <v>--</v>
      </c>
      <c r="V311" s="4" t="str">
        <f t="shared" ca="1" si="32"/>
        <v/>
      </c>
      <c r="W311" s="4" t="e">
        <f ca="1"/>
        <v>#NAME?</v>
      </c>
      <c r="X311" s="4" t="str">
        <f ca="1">IFERROR(_xll.qlRateHelperQuoteName(W311,Trigger),"")</f>
        <v/>
      </c>
      <c r="Y311" s="888" t="str">
        <f ca="1">IFERROR(_xll.qlRateHelperRate(W311,Trigger),"")</f>
        <v/>
      </c>
      <c r="Z311" s="887"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6" t="e">
        <f ca="1"/>
        <v>#NAME?</v>
      </c>
    </row>
    <row r="312" spans="1:29" x14ac:dyDescent="0.2">
      <c r="A312" s="873" t="s">
        <v>410</v>
      </c>
      <c r="B312" s="875" t="s">
        <v>51</v>
      </c>
      <c r="C312" s="874" t="s">
        <v>42</v>
      </c>
      <c r="D312" s="874" t="s">
        <v>323</v>
      </c>
      <c r="E312" s="874" t="s">
        <v>322</v>
      </c>
      <c r="F312" s="874" t="s">
        <v>221</v>
      </c>
      <c r="G312" s="874" t="str">
        <f t="shared" si="35"/>
        <v>Euribor6M</v>
      </c>
      <c r="H312" s="873" t="str">
        <f t="shared" si="36"/>
        <v>EUR14F5Y_Quote</v>
      </c>
      <c r="I312" s="876">
        <v>0</v>
      </c>
      <c r="J312" s="43"/>
      <c r="L312" s="894" t="str">
        <f t="shared" si="33"/>
        <v>FwdSw</v>
      </c>
      <c r="M312" s="890" t="str">
        <f t="shared" si="34"/>
        <v>--</v>
      </c>
      <c r="N312" s="893" t="str">
        <f ca="1">IFERROR(_xll.qlRateHelperQuoteName(M312,Trigger),"--")</f>
        <v>--</v>
      </c>
      <c r="O312" s="892" t="str">
        <f ca="1">IFERROR(_xll.qlRateHelperQuoteValue($M312,Trigger),"--")</f>
        <v>--</v>
      </c>
      <c r="P312" s="969" t="b">
        <v>0</v>
      </c>
      <c r="Q312" s="890">
        <v>50</v>
      </c>
      <c r="R312" s="890">
        <v>1</v>
      </c>
      <c r="S312" s="889" t="str">
        <f ca="1">IFERROR(_xll.qlRateHelperEarliestDate(M312,Trigger),"--")</f>
        <v>--</v>
      </c>
      <c r="T312" s="889" t="str">
        <f ca="1">IFERROR(_xll.qlRateHelperPillarDate(M312,Trigger),"--")</f>
        <v>--</v>
      </c>
      <c r="V312" s="4" t="str">
        <f t="shared" ca="1" si="32"/>
        <v/>
      </c>
      <c r="W312" s="4" t="e">
        <f ca="1"/>
        <v>#NAME?</v>
      </c>
      <c r="X312" s="4" t="str">
        <f ca="1">IFERROR(_xll.qlRateHelperQuoteName(W312,Trigger),"")</f>
        <v/>
      </c>
      <c r="Y312" s="888" t="str">
        <f ca="1">IFERROR(_xll.qlRateHelperRate(W312,Trigger),"")</f>
        <v/>
      </c>
      <c r="Z312" s="887"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6" t="e">
        <f ca="1"/>
        <v>#NAME?</v>
      </c>
    </row>
    <row r="313" spans="1:29" x14ac:dyDescent="0.2">
      <c r="A313" s="873" t="s">
        <v>410</v>
      </c>
      <c r="B313" s="875" t="s">
        <v>50</v>
      </c>
      <c r="C313" s="874" t="s">
        <v>42</v>
      </c>
      <c r="D313" s="874" t="s">
        <v>323</v>
      </c>
      <c r="E313" s="874" t="s">
        <v>322</v>
      </c>
      <c r="F313" s="874" t="s">
        <v>221</v>
      </c>
      <c r="G313" s="874" t="str">
        <f t="shared" si="35"/>
        <v>Euribor6M</v>
      </c>
      <c r="H313" s="873" t="str">
        <f t="shared" si="36"/>
        <v>EUR14F6Y_Quote</v>
      </c>
      <c r="I313" s="876">
        <v>0</v>
      </c>
      <c r="J313" s="43"/>
      <c r="L313" s="894" t="str">
        <f t="shared" si="33"/>
        <v>FwdSw</v>
      </c>
      <c r="M313" s="890" t="str">
        <f t="shared" si="34"/>
        <v>--</v>
      </c>
      <c r="N313" s="893" t="str">
        <f ca="1">IFERROR(_xll.qlRateHelperQuoteName(M313,Trigger),"--")</f>
        <v>--</v>
      </c>
      <c r="O313" s="892" t="str">
        <f ca="1">IFERROR(_xll.qlRateHelperQuoteValue($M313,Trigger),"--")</f>
        <v>--</v>
      </c>
      <c r="P313" s="969" t="b">
        <v>0</v>
      </c>
      <c r="Q313" s="890">
        <v>50</v>
      </c>
      <c r="R313" s="890">
        <v>1</v>
      </c>
      <c r="S313" s="889" t="str">
        <f ca="1">IFERROR(_xll.qlRateHelperEarliestDate(M313,Trigger),"--")</f>
        <v>--</v>
      </c>
      <c r="T313" s="889" t="str">
        <f ca="1">IFERROR(_xll.qlRateHelperPillarDate(M313,Trigger),"--")</f>
        <v>--</v>
      </c>
      <c r="V313" s="4" t="str">
        <f t="shared" ca="1" si="32"/>
        <v/>
      </c>
      <c r="W313" s="4" t="e">
        <f ca="1"/>
        <v>#NAME?</v>
      </c>
      <c r="X313" s="4" t="str">
        <f ca="1">IFERROR(_xll.qlRateHelperQuoteName(W313,Trigger),"")</f>
        <v/>
      </c>
      <c r="Y313" s="888" t="str">
        <f ca="1">IFERROR(_xll.qlRateHelperRate(W313,Trigger),"")</f>
        <v/>
      </c>
      <c r="Z313" s="887"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6" t="e">
        <f ca="1"/>
        <v>#NAME?</v>
      </c>
    </row>
    <row r="314" spans="1:29" x14ac:dyDescent="0.2">
      <c r="A314" s="873" t="s">
        <v>410</v>
      </c>
      <c r="B314" s="875" t="s">
        <v>49</v>
      </c>
      <c r="C314" s="874" t="s">
        <v>42</v>
      </c>
      <c r="D314" s="874" t="s">
        <v>323</v>
      </c>
      <c r="E314" s="874" t="s">
        <v>322</v>
      </c>
      <c r="F314" s="874" t="s">
        <v>221</v>
      </c>
      <c r="G314" s="874" t="str">
        <f t="shared" si="35"/>
        <v>Euribor6M</v>
      </c>
      <c r="H314" s="873" t="str">
        <f t="shared" si="36"/>
        <v>EUR14F7Y_Quote</v>
      </c>
      <c r="I314" s="876">
        <v>0</v>
      </c>
      <c r="J314" s="43"/>
      <c r="L314" s="894" t="str">
        <f t="shared" si="33"/>
        <v>FwdSw</v>
      </c>
      <c r="M314" s="890" t="str">
        <f t="shared" si="34"/>
        <v>--</v>
      </c>
      <c r="N314" s="893" t="str">
        <f ca="1">IFERROR(_xll.qlRateHelperQuoteName(M314,Trigger),"--")</f>
        <v>--</v>
      </c>
      <c r="O314" s="892" t="str">
        <f ca="1">IFERROR(_xll.qlRateHelperQuoteValue($M314,Trigger),"--")</f>
        <v>--</v>
      </c>
      <c r="P314" s="969" t="b">
        <v>0</v>
      </c>
      <c r="Q314" s="890">
        <v>50</v>
      </c>
      <c r="R314" s="890">
        <v>1</v>
      </c>
      <c r="S314" s="889" t="str">
        <f ca="1">IFERROR(_xll.qlRateHelperEarliestDate(M314,Trigger),"--")</f>
        <v>--</v>
      </c>
      <c r="T314" s="889" t="str">
        <f ca="1">IFERROR(_xll.qlRateHelperPillarDate(M314,Trigger),"--")</f>
        <v>--</v>
      </c>
      <c r="V314" s="4" t="str">
        <f t="shared" ca="1" si="32"/>
        <v/>
      </c>
      <c r="W314" s="4" t="e">
        <f ca="1"/>
        <v>#NAME?</v>
      </c>
      <c r="X314" s="4" t="str">
        <f ca="1">IFERROR(_xll.qlRateHelperQuoteName(W314,Trigger),"")</f>
        <v/>
      </c>
      <c r="Y314" s="888" t="str">
        <f ca="1">IFERROR(_xll.qlRateHelperRate(W314,Trigger),"")</f>
        <v/>
      </c>
      <c r="Z314" s="887"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6" t="e">
        <f ca="1"/>
        <v>#NAME?</v>
      </c>
    </row>
    <row r="315" spans="1:29" x14ac:dyDescent="0.2">
      <c r="A315" s="873" t="s">
        <v>410</v>
      </c>
      <c r="B315" s="875" t="s">
        <v>48</v>
      </c>
      <c r="C315" s="874" t="s">
        <v>42</v>
      </c>
      <c r="D315" s="874" t="s">
        <v>323</v>
      </c>
      <c r="E315" s="874" t="s">
        <v>322</v>
      </c>
      <c r="F315" s="874" t="s">
        <v>221</v>
      </c>
      <c r="G315" s="874" t="str">
        <f t="shared" si="35"/>
        <v>Euribor6M</v>
      </c>
      <c r="H315" s="873" t="str">
        <f t="shared" si="36"/>
        <v>EUR14F8Y_Quote</v>
      </c>
      <c r="I315" s="876">
        <v>0</v>
      </c>
      <c r="J315" s="43"/>
      <c r="L315" s="894" t="str">
        <f t="shared" si="33"/>
        <v>FwdSw</v>
      </c>
      <c r="M315" s="890" t="str">
        <f t="shared" si="34"/>
        <v>--</v>
      </c>
      <c r="N315" s="893" t="str">
        <f ca="1">IFERROR(_xll.qlRateHelperQuoteName(M315,Trigger),"--")</f>
        <v>--</v>
      </c>
      <c r="O315" s="892" t="str">
        <f ca="1">IFERROR(_xll.qlRateHelperQuoteValue($M315,Trigger),"--")</f>
        <v>--</v>
      </c>
      <c r="P315" s="969" t="b">
        <v>0</v>
      </c>
      <c r="Q315" s="890">
        <v>50</v>
      </c>
      <c r="R315" s="890">
        <v>1</v>
      </c>
      <c r="S315" s="889" t="str">
        <f ca="1">IFERROR(_xll.qlRateHelperEarliestDate(M315,Trigger),"--")</f>
        <v>--</v>
      </c>
      <c r="T315" s="889" t="str">
        <f ca="1">IFERROR(_xll.qlRateHelperPillarDate(M315,Trigger),"--")</f>
        <v>--</v>
      </c>
      <c r="V315" s="4" t="str">
        <f t="shared" ca="1" si="32"/>
        <v/>
      </c>
      <c r="W315" s="4" t="e">
        <f ca="1"/>
        <v>#NAME?</v>
      </c>
      <c r="X315" s="4" t="str">
        <f ca="1">IFERROR(_xll.qlRateHelperQuoteName(W315,Trigger),"")</f>
        <v/>
      </c>
      <c r="Y315" s="888" t="str">
        <f ca="1">IFERROR(_xll.qlRateHelperRate(W315,Trigger),"")</f>
        <v/>
      </c>
      <c r="Z315" s="887"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6" t="e">
        <f ca="1"/>
        <v>#NAME?</v>
      </c>
    </row>
    <row r="316" spans="1:29" x14ac:dyDescent="0.2">
      <c r="A316" s="873" t="s">
        <v>410</v>
      </c>
      <c r="B316" s="875" t="s">
        <v>47</v>
      </c>
      <c r="C316" s="874" t="s">
        <v>42</v>
      </c>
      <c r="D316" s="874" t="s">
        <v>323</v>
      </c>
      <c r="E316" s="874" t="s">
        <v>322</v>
      </c>
      <c r="F316" s="874" t="s">
        <v>221</v>
      </c>
      <c r="G316" s="874" t="str">
        <f t="shared" si="35"/>
        <v>Euribor6M</v>
      </c>
      <c r="H316" s="873" t="str">
        <f t="shared" si="36"/>
        <v>EUR14F9Y_Quote</v>
      </c>
      <c r="I316" s="876">
        <v>0</v>
      </c>
      <c r="J316" s="43"/>
      <c r="L316" s="894" t="str">
        <f t="shared" si="33"/>
        <v>FwdSw</v>
      </c>
      <c r="M316" s="890" t="str">
        <f t="shared" si="34"/>
        <v>--</v>
      </c>
      <c r="N316" s="893" t="str">
        <f ca="1">IFERROR(_xll.qlRateHelperQuoteName(M316,Trigger),"--")</f>
        <v>--</v>
      </c>
      <c r="O316" s="892" t="str">
        <f ca="1">IFERROR(_xll.qlRateHelperQuoteValue($M316,Trigger),"--")</f>
        <v>--</v>
      </c>
      <c r="P316" s="969" t="b">
        <v>0</v>
      </c>
      <c r="Q316" s="890">
        <v>50</v>
      </c>
      <c r="R316" s="890">
        <v>1</v>
      </c>
      <c r="S316" s="889" t="str">
        <f ca="1">IFERROR(_xll.qlRateHelperEarliestDate(M316,Trigger),"--")</f>
        <v>--</v>
      </c>
      <c r="T316" s="889" t="str">
        <f ca="1">IFERROR(_xll.qlRateHelperPillarDate(M316,Trigger),"--")</f>
        <v>--</v>
      </c>
      <c r="V316" s="4" t="str">
        <f t="shared" ca="1" si="32"/>
        <v/>
      </c>
      <c r="W316" s="4" t="e">
        <f ca="1"/>
        <v>#NAME?</v>
      </c>
      <c r="X316" s="4" t="str">
        <f ca="1">IFERROR(_xll.qlRateHelperQuoteName(W316,Trigger),"")</f>
        <v/>
      </c>
      <c r="Y316" s="888" t="str">
        <f ca="1">IFERROR(_xll.qlRateHelperRate(W316,Trigger),"")</f>
        <v/>
      </c>
      <c r="Z316" s="887"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6" t="e">
        <f ca="1"/>
        <v>#NAME?</v>
      </c>
    </row>
    <row r="317" spans="1:29" x14ac:dyDescent="0.2">
      <c r="A317" s="873" t="s">
        <v>410</v>
      </c>
      <c r="B317" s="875" t="s">
        <v>46</v>
      </c>
      <c r="C317" s="874" t="s">
        <v>42</v>
      </c>
      <c r="D317" s="874" t="s">
        <v>323</v>
      </c>
      <c r="E317" s="874" t="s">
        <v>322</v>
      </c>
      <c r="F317" s="874" t="s">
        <v>221</v>
      </c>
      <c r="G317" s="874" t="str">
        <f t="shared" si="35"/>
        <v>Euribor6M</v>
      </c>
      <c r="H317" s="873" t="str">
        <f t="shared" si="36"/>
        <v>EUR14F10Y_Quote</v>
      </c>
      <c r="I317" s="876">
        <v>0</v>
      </c>
      <c r="J317" s="43"/>
      <c r="L317" s="894" t="str">
        <f t="shared" si="33"/>
        <v>FwdSw</v>
      </c>
      <c r="M317" s="890" t="str">
        <f t="shared" si="34"/>
        <v>--</v>
      </c>
      <c r="N317" s="893" t="str">
        <f ca="1">IFERROR(_xll.qlRateHelperQuoteName(M317,Trigger),"--")</f>
        <v>--</v>
      </c>
      <c r="O317" s="892" t="str">
        <f ca="1">IFERROR(_xll.qlRateHelperQuoteValue($M317,Trigger),"--")</f>
        <v>--</v>
      </c>
      <c r="P317" s="969" t="b">
        <v>0</v>
      </c>
      <c r="Q317" s="890">
        <v>50</v>
      </c>
      <c r="R317" s="890">
        <v>1</v>
      </c>
      <c r="S317" s="889" t="str">
        <f ca="1">IFERROR(_xll.qlRateHelperEarliestDate(M317,Trigger),"--")</f>
        <v>--</v>
      </c>
      <c r="T317" s="889" t="str">
        <f ca="1">IFERROR(_xll.qlRateHelperPillarDate(M317,Trigger),"--")</f>
        <v>--</v>
      </c>
      <c r="V317" s="4" t="str">
        <f t="shared" ca="1" si="32"/>
        <v/>
      </c>
      <c r="W317" s="4" t="e">
        <f ca="1"/>
        <v>#NAME?</v>
      </c>
      <c r="X317" s="4" t="str">
        <f ca="1">IFERROR(_xll.qlRateHelperQuoteName(W317,Trigger),"")</f>
        <v/>
      </c>
      <c r="Y317" s="888" t="str">
        <f ca="1">IFERROR(_xll.qlRateHelperRate(W317,Trigger),"")</f>
        <v/>
      </c>
      <c r="Z317" s="887"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6" t="e">
        <f ca="1"/>
        <v>#NAME?</v>
      </c>
    </row>
    <row r="318" spans="1:29" x14ac:dyDescent="0.2">
      <c r="A318" s="873" t="s">
        <v>410</v>
      </c>
      <c r="B318" s="875" t="s">
        <v>45</v>
      </c>
      <c r="C318" s="874" t="s">
        <v>42</v>
      </c>
      <c r="D318" s="874" t="s">
        <v>323</v>
      </c>
      <c r="E318" s="874" t="s">
        <v>322</v>
      </c>
      <c r="F318" s="874" t="s">
        <v>221</v>
      </c>
      <c r="G318" s="874" t="str">
        <f t="shared" si="35"/>
        <v>Euribor6M</v>
      </c>
      <c r="H318" s="873" t="str">
        <f t="shared" si="36"/>
        <v>EUR14F11Y_Quote</v>
      </c>
      <c r="I318" s="876">
        <v>0</v>
      </c>
      <c r="J318" s="43"/>
      <c r="L318" s="894" t="str">
        <f t="shared" si="33"/>
        <v>FwdSw</v>
      </c>
      <c r="M318" s="890" t="str">
        <f t="shared" si="34"/>
        <v>--</v>
      </c>
      <c r="N318" s="893" t="str">
        <f ca="1">IFERROR(_xll.qlRateHelperQuoteName(M318,Trigger),"--")</f>
        <v>--</v>
      </c>
      <c r="O318" s="892" t="str">
        <f ca="1">IFERROR(_xll.qlRateHelperQuoteValue($M318,Trigger),"--")</f>
        <v>--</v>
      </c>
      <c r="P318" s="969" t="b">
        <v>0</v>
      </c>
      <c r="Q318" s="890">
        <v>50</v>
      </c>
      <c r="R318" s="890">
        <v>1</v>
      </c>
      <c r="S318" s="889" t="str">
        <f ca="1">IFERROR(_xll.qlRateHelperEarliestDate(M318,Trigger),"--")</f>
        <v>--</v>
      </c>
      <c r="T318" s="889" t="str">
        <f ca="1">IFERROR(_xll.qlRateHelperPillarDate(M318,Trigger),"--")</f>
        <v>--</v>
      </c>
      <c r="V318" s="4" t="str">
        <f t="shared" ca="1" si="32"/>
        <v/>
      </c>
      <c r="W318" s="4" t="e">
        <f ca="1"/>
        <v>#NAME?</v>
      </c>
      <c r="X318" s="4" t="str">
        <f ca="1">IFERROR(_xll.qlRateHelperQuoteName(W318,Trigger),"")</f>
        <v/>
      </c>
      <c r="Y318" s="888" t="str">
        <f ca="1">IFERROR(_xll.qlRateHelperRate(W318,Trigger),"")</f>
        <v/>
      </c>
      <c r="Z318" s="887"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6" t="e">
        <f ca="1"/>
        <v>#NAME?</v>
      </c>
    </row>
    <row r="319" spans="1:29" x14ac:dyDescent="0.2">
      <c r="A319" s="873" t="s">
        <v>410</v>
      </c>
      <c r="B319" s="875" t="s">
        <v>44</v>
      </c>
      <c r="C319" s="874" t="s">
        <v>42</v>
      </c>
      <c r="D319" s="874" t="s">
        <v>323</v>
      </c>
      <c r="E319" s="874" t="s">
        <v>322</v>
      </c>
      <c r="F319" s="874" t="s">
        <v>221</v>
      </c>
      <c r="G319" s="874" t="str">
        <f t="shared" si="35"/>
        <v>Euribor6M</v>
      </c>
      <c r="H319" s="873" t="str">
        <f t="shared" si="36"/>
        <v>EUR14F12Y_Quote</v>
      </c>
      <c r="I319" s="876">
        <v>0</v>
      </c>
      <c r="J319" s="43"/>
      <c r="L319" s="894" t="str">
        <f t="shared" si="33"/>
        <v>FwdSw</v>
      </c>
      <c r="M319" s="890" t="str">
        <f t="shared" si="34"/>
        <v>--</v>
      </c>
      <c r="N319" s="893" t="str">
        <f ca="1">IFERROR(_xll.qlRateHelperQuoteName(M319,Trigger),"--")</f>
        <v>--</v>
      </c>
      <c r="O319" s="892" t="str">
        <f ca="1">IFERROR(_xll.qlRateHelperQuoteValue($M319,Trigger),"--")</f>
        <v>--</v>
      </c>
      <c r="P319" s="969" t="b">
        <v>0</v>
      </c>
      <c r="Q319" s="890">
        <v>50</v>
      </c>
      <c r="R319" s="890">
        <v>1</v>
      </c>
      <c r="S319" s="889" t="str">
        <f ca="1">IFERROR(_xll.qlRateHelperEarliestDate(M319,Trigger),"--")</f>
        <v>--</v>
      </c>
      <c r="T319" s="889" t="str">
        <f ca="1">IFERROR(_xll.qlRateHelperPillarDate(M319,Trigger),"--")</f>
        <v>--</v>
      </c>
      <c r="V319" s="4" t="str">
        <f t="shared" ca="1" si="32"/>
        <v/>
      </c>
      <c r="W319" s="4" t="e">
        <f ca="1"/>
        <v>#NAME?</v>
      </c>
      <c r="X319" s="4" t="str">
        <f ca="1">IFERROR(_xll.qlRateHelperQuoteName(W319,Trigger),"")</f>
        <v/>
      </c>
      <c r="Y319" s="888" t="str">
        <f ca="1">IFERROR(_xll.qlRateHelperRate(W319,Trigger),"")</f>
        <v/>
      </c>
      <c r="Z319" s="887"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6" t="e">
        <f ca="1"/>
        <v>#NAME?</v>
      </c>
    </row>
    <row r="320" spans="1:29" x14ac:dyDescent="0.2">
      <c r="A320" s="873" t="s">
        <v>410</v>
      </c>
      <c r="B320" s="875" t="s">
        <v>43</v>
      </c>
      <c r="C320" s="874" t="s">
        <v>42</v>
      </c>
      <c r="D320" s="874" t="s">
        <v>323</v>
      </c>
      <c r="E320" s="874" t="s">
        <v>322</v>
      </c>
      <c r="F320" s="874" t="s">
        <v>221</v>
      </c>
      <c r="G320" s="874" t="str">
        <f t="shared" si="35"/>
        <v>Euribor6M</v>
      </c>
      <c r="H320" s="873" t="str">
        <f t="shared" si="36"/>
        <v>EUR14F13Y_Quote</v>
      </c>
      <c r="I320" s="876">
        <v>0</v>
      </c>
      <c r="J320" s="43"/>
      <c r="L320" s="894" t="str">
        <f t="shared" si="33"/>
        <v>FwdSw</v>
      </c>
      <c r="M320" s="890" t="str">
        <f t="shared" si="34"/>
        <v>--</v>
      </c>
      <c r="N320" s="893" t="str">
        <f ca="1">IFERROR(_xll.qlRateHelperQuoteName(M320,Trigger),"--")</f>
        <v>--</v>
      </c>
      <c r="O320" s="892" t="str">
        <f ca="1">IFERROR(_xll.qlRateHelperQuoteValue($M320,Trigger),"--")</f>
        <v>--</v>
      </c>
      <c r="P320" s="969" t="b">
        <v>0</v>
      </c>
      <c r="Q320" s="890">
        <v>50</v>
      </c>
      <c r="R320" s="890">
        <v>1</v>
      </c>
      <c r="S320" s="889" t="str">
        <f ca="1">IFERROR(_xll.qlRateHelperEarliestDate(M320,Trigger),"--")</f>
        <v>--</v>
      </c>
      <c r="T320" s="889" t="str">
        <f ca="1">IFERROR(_xll.qlRateHelperPillarDate(M320,Trigger),"--")</f>
        <v>--</v>
      </c>
      <c r="V320" s="4" t="str">
        <f t="shared" ca="1" si="32"/>
        <v/>
      </c>
      <c r="W320" s="4" t="e">
        <f ca="1"/>
        <v>#NAME?</v>
      </c>
      <c r="X320" s="4" t="str">
        <f ca="1">IFERROR(_xll.qlRateHelperQuoteName(W320,Trigger),"")</f>
        <v/>
      </c>
      <c r="Y320" s="888" t="str">
        <f ca="1">IFERROR(_xll.qlRateHelperRate(W320,Trigger),"")</f>
        <v/>
      </c>
      <c r="Z320" s="887"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6" t="e">
        <f ca="1"/>
        <v>#NAME?</v>
      </c>
    </row>
    <row r="321" spans="1:29" x14ac:dyDescent="0.2">
      <c r="A321" s="873" t="s">
        <v>410</v>
      </c>
      <c r="B321" s="875" t="s">
        <v>42</v>
      </c>
      <c r="C321" s="874" t="s">
        <v>42</v>
      </c>
      <c r="D321" s="874" t="s">
        <v>323</v>
      </c>
      <c r="E321" s="874" t="s">
        <v>322</v>
      </c>
      <c r="F321" s="874" t="s">
        <v>221</v>
      </c>
      <c r="G321" s="874" t="str">
        <f t="shared" si="35"/>
        <v>Euribor6M</v>
      </c>
      <c r="H321" s="873" t="str">
        <f t="shared" si="36"/>
        <v>EUR14F14Y_Quote</v>
      </c>
      <c r="I321" s="876">
        <v>0</v>
      </c>
      <c r="J321" s="43"/>
      <c r="L321" s="894" t="str">
        <f t="shared" si="33"/>
        <v>FwdSw</v>
      </c>
      <c r="M321" s="890" t="str">
        <f t="shared" si="34"/>
        <v>--</v>
      </c>
      <c r="N321" s="893" t="str">
        <f ca="1">IFERROR(_xll.qlRateHelperQuoteName(M321,Trigger),"--")</f>
        <v>--</v>
      </c>
      <c r="O321" s="892" t="str">
        <f ca="1">IFERROR(_xll.qlRateHelperQuoteValue($M321,Trigger),"--")</f>
        <v>--</v>
      </c>
      <c r="P321" s="969" t="b">
        <v>0</v>
      </c>
      <c r="Q321" s="890">
        <v>50</v>
      </c>
      <c r="R321" s="890">
        <v>1</v>
      </c>
      <c r="S321" s="889" t="str">
        <f ca="1">IFERROR(_xll.qlRateHelperEarliestDate(M321,Trigger),"--")</f>
        <v>--</v>
      </c>
      <c r="T321" s="889" t="str">
        <f ca="1">IFERROR(_xll.qlRateHelperPillarDate(M321,Trigger),"--")</f>
        <v>--</v>
      </c>
      <c r="V321" s="4" t="str">
        <f t="shared" ca="1" si="32"/>
        <v/>
      </c>
      <c r="W321" s="4" t="e">
        <f ca="1"/>
        <v>#NAME?</v>
      </c>
      <c r="X321" s="4" t="str">
        <f ca="1">IFERROR(_xll.qlRateHelperQuoteName(W321,Trigger),"")</f>
        <v/>
      </c>
      <c r="Y321" s="888" t="str">
        <f ca="1">IFERROR(_xll.qlRateHelperRate(W321,Trigger),"")</f>
        <v/>
      </c>
      <c r="Z321" s="887"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6" t="e">
        <f ca="1"/>
        <v>#NAME?</v>
      </c>
    </row>
    <row r="322" spans="1:29" x14ac:dyDescent="0.2">
      <c r="A322" s="873" t="s">
        <v>410</v>
      </c>
      <c r="B322" s="875" t="s">
        <v>41</v>
      </c>
      <c r="C322" s="874" t="s">
        <v>42</v>
      </c>
      <c r="D322" s="874" t="s">
        <v>323</v>
      </c>
      <c r="E322" s="874" t="s">
        <v>322</v>
      </c>
      <c r="F322" s="874" t="s">
        <v>221</v>
      </c>
      <c r="G322" s="874" t="str">
        <f t="shared" si="35"/>
        <v>Euribor6M</v>
      </c>
      <c r="H322" s="873" t="str">
        <f t="shared" si="36"/>
        <v>EUR14F15Y_Quote</v>
      </c>
      <c r="I322" s="876">
        <v>0</v>
      </c>
      <c r="J322" s="43"/>
      <c r="L322" s="894" t="str">
        <f t="shared" si="33"/>
        <v>FwdSw</v>
      </c>
      <c r="M322" s="890" t="str">
        <f t="shared" si="34"/>
        <v>--</v>
      </c>
      <c r="N322" s="893" t="str">
        <f ca="1">IFERROR(_xll.qlRateHelperQuoteName(M322,Trigger),"--")</f>
        <v>--</v>
      </c>
      <c r="O322" s="892" t="str">
        <f ca="1">IFERROR(_xll.qlRateHelperQuoteValue($M322,Trigger),"--")</f>
        <v>--</v>
      </c>
      <c r="P322" s="969" t="b">
        <v>0</v>
      </c>
      <c r="Q322" s="890">
        <v>50</v>
      </c>
      <c r="R322" s="890">
        <v>1</v>
      </c>
      <c r="S322" s="889" t="str">
        <f ca="1">IFERROR(_xll.qlRateHelperEarliestDate(M322,Trigger),"--")</f>
        <v>--</v>
      </c>
      <c r="T322" s="889" t="str">
        <f ca="1">IFERROR(_xll.qlRateHelperPillarDate(M322,Trigger),"--")</f>
        <v>--</v>
      </c>
      <c r="V322" s="4" t="str">
        <f t="shared" ca="1" si="32"/>
        <v/>
      </c>
      <c r="W322" s="4" t="e">
        <f ca="1"/>
        <v>#NAME?</v>
      </c>
      <c r="X322" s="4" t="str">
        <f ca="1">IFERROR(_xll.qlRateHelperQuoteName(W322,Trigger),"")</f>
        <v/>
      </c>
      <c r="Y322" s="888" t="str">
        <f ca="1">IFERROR(_xll.qlRateHelperRate(W322,Trigger),"")</f>
        <v/>
      </c>
      <c r="Z322" s="887"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6" t="e">
        <f ca="1"/>
        <v>#NAME?</v>
      </c>
    </row>
    <row r="323" spans="1:29" x14ac:dyDescent="0.2">
      <c r="A323" s="873" t="s">
        <v>410</v>
      </c>
      <c r="B323" s="875" t="s">
        <v>36</v>
      </c>
      <c r="C323" s="874" t="s">
        <v>42</v>
      </c>
      <c r="D323" s="874" t="s">
        <v>323</v>
      </c>
      <c r="E323" s="874" t="s">
        <v>322</v>
      </c>
      <c r="F323" s="874" t="s">
        <v>221</v>
      </c>
      <c r="G323" s="874" t="str">
        <f t="shared" si="35"/>
        <v>Euribor6M</v>
      </c>
      <c r="H323" s="873" t="str">
        <f t="shared" si="36"/>
        <v>EUR14F20Y_Quote</v>
      </c>
      <c r="I323" s="876">
        <v>0</v>
      </c>
      <c r="J323" s="43"/>
      <c r="L323" s="894" t="str">
        <f t="shared" si="33"/>
        <v>FwdSw</v>
      </c>
      <c r="M323" s="890" t="str">
        <f t="shared" si="34"/>
        <v>--</v>
      </c>
      <c r="N323" s="893" t="str">
        <f ca="1">IFERROR(_xll.qlRateHelperQuoteName(M323,Trigger),"--")</f>
        <v>--</v>
      </c>
      <c r="O323" s="892" t="str">
        <f ca="1">IFERROR(_xll.qlRateHelperQuoteValue($M323,Trigger),"--")</f>
        <v>--</v>
      </c>
      <c r="P323" s="969" t="b">
        <v>0</v>
      </c>
      <c r="Q323" s="890">
        <v>50</v>
      </c>
      <c r="R323" s="890">
        <v>1</v>
      </c>
      <c r="S323" s="889" t="str">
        <f ca="1">IFERROR(_xll.qlRateHelperEarliestDate(M323,Trigger),"--")</f>
        <v>--</v>
      </c>
      <c r="T323" s="889" t="str">
        <f ca="1">IFERROR(_xll.qlRateHelperPillarDate(M323,Trigger),"--")</f>
        <v>--</v>
      </c>
      <c r="V323" s="4" t="str">
        <f t="shared" ref="V323:V391" ca="1" si="37">IFERROR(INDEX($L$3:$L$391,MATCH(X323,$N$3:$N$391,0),1),"")</f>
        <v/>
      </c>
      <c r="W323" s="4" t="e">
        <f ca="1"/>
        <v>#NAME?</v>
      </c>
      <c r="X323" s="4" t="str">
        <f ca="1">IFERROR(_xll.qlRateHelperQuoteName(W323,Trigger),"")</f>
        <v/>
      </c>
      <c r="Y323" s="888" t="str">
        <f ca="1">IFERROR(_xll.qlRateHelperRate(W323,Trigger),"")</f>
        <v/>
      </c>
      <c r="Z323" s="887"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6" t="e">
        <f ca="1"/>
        <v>#NAME?</v>
      </c>
    </row>
    <row r="324" spans="1:29" x14ac:dyDescent="0.2">
      <c r="A324" s="873" t="s">
        <v>410</v>
      </c>
      <c r="B324" s="875" t="s">
        <v>31</v>
      </c>
      <c r="C324" s="874" t="s">
        <v>42</v>
      </c>
      <c r="D324" s="874" t="s">
        <v>323</v>
      </c>
      <c r="E324" s="874" t="s">
        <v>322</v>
      </c>
      <c r="F324" s="874" t="s">
        <v>221</v>
      </c>
      <c r="G324" s="874" t="str">
        <f t="shared" si="35"/>
        <v>Euribor6M</v>
      </c>
      <c r="H324" s="873" t="str">
        <f t="shared" si="36"/>
        <v>EUR14F25Y_Quote</v>
      </c>
      <c r="I324" s="876">
        <v>0</v>
      </c>
      <c r="J324" s="43"/>
      <c r="L324" s="894" t="str">
        <f t="shared" ref="L324:L387" si="38">A330</f>
        <v>FwdSw</v>
      </c>
      <c r="M324" s="890" t="str">
        <f t="shared" ref="M324:M387" si="39">IF(ISBLANK(J330),"--",J330)</f>
        <v>--</v>
      </c>
      <c r="N324" s="893" t="str">
        <f ca="1">IFERROR(_xll.qlRateHelperQuoteName(M324,Trigger),"--")</f>
        <v>--</v>
      </c>
      <c r="O324" s="892" t="str">
        <f ca="1">IFERROR(_xll.qlRateHelperQuoteValue($M324,Trigger),"--")</f>
        <v>--</v>
      </c>
      <c r="P324" s="969" t="b">
        <v>0</v>
      </c>
      <c r="Q324" s="890">
        <v>50</v>
      </c>
      <c r="R324" s="890">
        <v>1</v>
      </c>
      <c r="S324" s="889" t="str">
        <f ca="1">IFERROR(_xll.qlRateHelperEarliestDate(M324,Trigger),"--")</f>
        <v>--</v>
      </c>
      <c r="T324" s="889" t="str">
        <f ca="1">IFERROR(_xll.qlRateHelperPillarDate(M324,Trigger),"--")</f>
        <v>--</v>
      </c>
      <c r="V324" s="4" t="str">
        <f t="shared" ca="1" si="37"/>
        <v/>
      </c>
      <c r="W324" s="4" t="e">
        <f ca="1"/>
        <v>#NAME?</v>
      </c>
      <c r="X324" s="4" t="str">
        <f ca="1">IFERROR(_xll.qlRateHelperQuoteName(W324,Trigger),"")</f>
        <v/>
      </c>
      <c r="Y324" s="888" t="str">
        <f ca="1">IFERROR(_xll.qlRateHelperRate(W324,Trigger),"")</f>
        <v/>
      </c>
      <c r="Z324" s="887"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6" t="e">
        <f ca="1"/>
        <v>#NAME?</v>
      </c>
    </row>
    <row r="325" spans="1:29" x14ac:dyDescent="0.2">
      <c r="A325" s="869" t="s">
        <v>410</v>
      </c>
      <c r="B325" s="871" t="s">
        <v>26</v>
      </c>
      <c r="C325" s="870" t="s">
        <v>42</v>
      </c>
      <c r="D325" s="870" t="s">
        <v>323</v>
      </c>
      <c r="E325" s="870" t="s">
        <v>322</v>
      </c>
      <c r="F325" s="870" t="s">
        <v>221</v>
      </c>
      <c r="G325" s="870" t="str">
        <f t="shared" si="35"/>
        <v>Euribor6M</v>
      </c>
      <c r="H325" s="869" t="str">
        <f t="shared" si="36"/>
        <v>EUR14F30Y_Quote</v>
      </c>
      <c r="I325" s="984">
        <v>0</v>
      </c>
      <c r="J325" s="38"/>
      <c r="L325" s="894" t="str">
        <f t="shared" si="38"/>
        <v>FwdSw</v>
      </c>
      <c r="M325" s="890" t="str">
        <f t="shared" si="39"/>
        <v>--</v>
      </c>
      <c r="N325" s="893" t="str">
        <f ca="1">IFERROR(_xll.qlRateHelperQuoteName(M325,Trigger),"--")</f>
        <v>--</v>
      </c>
      <c r="O325" s="892" t="str">
        <f ca="1">IFERROR(_xll.qlRateHelperQuoteValue($M325,Trigger),"--")</f>
        <v>--</v>
      </c>
      <c r="P325" s="969" t="b">
        <v>0</v>
      </c>
      <c r="Q325" s="890">
        <v>50</v>
      </c>
      <c r="R325" s="890">
        <v>1</v>
      </c>
      <c r="S325" s="889" t="str">
        <f ca="1">IFERROR(_xll.qlRateHelperEarliestDate(M325,Trigger),"--")</f>
        <v>--</v>
      </c>
      <c r="T325" s="889" t="str">
        <f ca="1">IFERROR(_xll.qlRateHelperPillarDate(M325,Trigger),"--")</f>
        <v>--</v>
      </c>
      <c r="V325" s="4" t="str">
        <f t="shared" ca="1" si="37"/>
        <v/>
      </c>
      <c r="W325" s="4" t="e">
        <f ca="1"/>
        <v>#NAME?</v>
      </c>
      <c r="X325" s="4" t="str">
        <f ca="1">IFERROR(_xll.qlRateHelperQuoteName(W325,Trigger),"")</f>
        <v/>
      </c>
      <c r="Y325" s="888" t="str">
        <f ca="1">IFERROR(_xll.qlRateHelperRate(W325,Trigger),"")</f>
        <v/>
      </c>
      <c r="Z325" s="887"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6" t="e">
        <f ca="1"/>
        <v>#NAME?</v>
      </c>
    </row>
    <row r="326" spans="1:29" x14ac:dyDescent="0.2">
      <c r="A326" s="873" t="s">
        <v>410</v>
      </c>
      <c r="B326" s="875" t="s">
        <v>58</v>
      </c>
      <c r="C326" s="874" t="s">
        <v>41</v>
      </c>
      <c r="D326" s="874" t="s">
        <v>323</v>
      </c>
      <c r="E326" s="874" t="s">
        <v>322</v>
      </c>
      <c r="F326" s="874" t="s">
        <v>221</v>
      </c>
      <c r="G326" s="874" t="str">
        <f t="shared" si="35"/>
        <v>Euribor6M</v>
      </c>
      <c r="H326" s="873" t="str">
        <f t="shared" si="36"/>
        <v>EUR15F1Y_Quote</v>
      </c>
      <c r="I326" s="876">
        <v>0</v>
      </c>
      <c r="J326" s="43"/>
      <c r="L326" s="894" t="str">
        <f t="shared" si="38"/>
        <v>FwdSw</v>
      </c>
      <c r="M326" s="890" t="str">
        <f t="shared" si="39"/>
        <v>--</v>
      </c>
      <c r="N326" s="893" t="str">
        <f ca="1">IFERROR(_xll.qlRateHelperQuoteName(M326,Trigger),"--")</f>
        <v>--</v>
      </c>
      <c r="O326" s="892" t="str">
        <f ca="1">IFERROR(_xll.qlRateHelperQuoteValue($M326,Trigger),"--")</f>
        <v>--</v>
      </c>
      <c r="P326" s="969" t="b">
        <v>0</v>
      </c>
      <c r="Q326" s="890">
        <v>50</v>
      </c>
      <c r="R326" s="890">
        <v>1</v>
      </c>
      <c r="S326" s="889" t="str">
        <f ca="1">IFERROR(_xll.qlRateHelperEarliestDate(M326,Trigger),"--")</f>
        <v>--</v>
      </c>
      <c r="T326" s="889" t="str">
        <f ca="1">IFERROR(_xll.qlRateHelperPillarDate(M326,Trigger),"--")</f>
        <v>--</v>
      </c>
      <c r="V326" s="4" t="str">
        <f t="shared" ca="1" si="37"/>
        <v/>
      </c>
      <c r="W326" s="4" t="e">
        <f ca="1"/>
        <v>#NAME?</v>
      </c>
      <c r="X326" s="4" t="str">
        <f ca="1">IFERROR(_xll.qlRateHelperQuoteName(W326,Trigger),"")</f>
        <v/>
      </c>
      <c r="Y326" s="888" t="str">
        <f ca="1">IFERROR(_xll.qlRateHelperRate(W326,Trigger),"")</f>
        <v/>
      </c>
      <c r="Z326" s="887"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6" t="e">
        <f ca="1"/>
        <v>#NAME?</v>
      </c>
    </row>
    <row r="327" spans="1:29" x14ac:dyDescent="0.2">
      <c r="A327" s="873" t="s">
        <v>410</v>
      </c>
      <c r="B327" s="875" t="s">
        <v>54</v>
      </c>
      <c r="C327" s="874" t="s">
        <v>41</v>
      </c>
      <c r="D327" s="874" t="s">
        <v>323</v>
      </c>
      <c r="E327" s="874" t="s">
        <v>322</v>
      </c>
      <c r="F327" s="874" t="s">
        <v>221</v>
      </c>
      <c r="G327" s="874" t="str">
        <f t="shared" si="35"/>
        <v>Euribor6M</v>
      </c>
      <c r="H327" s="873" t="str">
        <f t="shared" si="36"/>
        <v>EUR15F2Y_Quote</v>
      </c>
      <c r="I327" s="876">
        <v>0</v>
      </c>
      <c r="J327" s="43"/>
      <c r="L327" s="894" t="str">
        <f t="shared" si="38"/>
        <v>FwdSw</v>
      </c>
      <c r="M327" s="890" t="str">
        <f t="shared" si="39"/>
        <v>--</v>
      </c>
      <c r="N327" s="893" t="str">
        <f ca="1">IFERROR(_xll.qlRateHelperQuoteName(M327,Trigger),"--")</f>
        <v>--</v>
      </c>
      <c r="O327" s="892" t="str">
        <f ca="1">IFERROR(_xll.qlRateHelperQuoteValue($M327,Trigger),"--")</f>
        <v>--</v>
      </c>
      <c r="P327" s="969" t="b">
        <v>0</v>
      </c>
      <c r="Q327" s="890">
        <v>50</v>
      </c>
      <c r="R327" s="890">
        <v>1</v>
      </c>
      <c r="S327" s="889" t="str">
        <f ca="1">IFERROR(_xll.qlRateHelperEarliestDate(M327,Trigger),"--")</f>
        <v>--</v>
      </c>
      <c r="T327" s="889" t="str">
        <f ca="1">IFERROR(_xll.qlRateHelperPillarDate(M327,Trigger),"--")</f>
        <v>--</v>
      </c>
      <c r="V327" s="4" t="str">
        <f t="shared" ca="1" si="37"/>
        <v/>
      </c>
      <c r="W327" s="4" t="e">
        <f ca="1"/>
        <v>#NAME?</v>
      </c>
      <c r="X327" s="4" t="str">
        <f ca="1">IFERROR(_xll.qlRateHelperQuoteName(W327,Trigger),"")</f>
        <v/>
      </c>
      <c r="Y327" s="888" t="str">
        <f ca="1">IFERROR(_xll.qlRateHelperRate(W327,Trigger),"")</f>
        <v/>
      </c>
      <c r="Z327" s="887"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6" t="e">
        <f ca="1"/>
        <v>#NAME?</v>
      </c>
    </row>
    <row r="328" spans="1:29" x14ac:dyDescent="0.2">
      <c r="A328" s="873" t="s">
        <v>410</v>
      </c>
      <c r="B328" s="875" t="s">
        <v>53</v>
      </c>
      <c r="C328" s="874" t="s">
        <v>41</v>
      </c>
      <c r="D328" s="874" t="s">
        <v>323</v>
      </c>
      <c r="E328" s="874" t="s">
        <v>322</v>
      </c>
      <c r="F328" s="874" t="s">
        <v>221</v>
      </c>
      <c r="G328" s="874" t="str">
        <f t="shared" si="35"/>
        <v>Euribor6M</v>
      </c>
      <c r="H328" s="873" t="str">
        <f t="shared" si="36"/>
        <v>EUR15F3Y_Quote</v>
      </c>
      <c r="I328" s="876">
        <v>0</v>
      </c>
      <c r="J328" s="43"/>
      <c r="L328" s="894" t="str">
        <f t="shared" si="38"/>
        <v>FwdSw</v>
      </c>
      <c r="M328" s="890" t="str">
        <f t="shared" si="39"/>
        <v>--</v>
      </c>
      <c r="N328" s="893" t="str">
        <f ca="1">IFERROR(_xll.qlRateHelperQuoteName(M328,Trigger),"--")</f>
        <v>--</v>
      </c>
      <c r="O328" s="892" t="str">
        <f ca="1">IFERROR(_xll.qlRateHelperQuoteValue($M328,Trigger),"--")</f>
        <v>--</v>
      </c>
      <c r="P328" s="969" t="b">
        <v>0</v>
      </c>
      <c r="Q328" s="890">
        <v>50</v>
      </c>
      <c r="R328" s="890">
        <v>1</v>
      </c>
      <c r="S328" s="889" t="str">
        <f ca="1">IFERROR(_xll.qlRateHelperEarliestDate(M328,Trigger),"--")</f>
        <v>--</v>
      </c>
      <c r="T328" s="889" t="str">
        <f ca="1">IFERROR(_xll.qlRateHelperPillarDate(M328,Trigger),"--")</f>
        <v>--</v>
      </c>
      <c r="V328" s="4" t="str">
        <f t="shared" ca="1" si="37"/>
        <v/>
      </c>
      <c r="W328" s="4" t="e">
        <f ca="1"/>
        <v>#NAME?</v>
      </c>
      <c r="X328" s="4" t="str">
        <f ca="1">IFERROR(_xll.qlRateHelperQuoteName(W328,Trigger),"")</f>
        <v/>
      </c>
      <c r="Y328" s="888" t="str">
        <f ca="1">IFERROR(_xll.qlRateHelperRate(W328,Trigger),"")</f>
        <v/>
      </c>
      <c r="Z328" s="887"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6" t="e">
        <f ca="1"/>
        <v>#NAME?</v>
      </c>
    </row>
    <row r="329" spans="1:29" x14ac:dyDescent="0.2">
      <c r="A329" s="873" t="s">
        <v>410</v>
      </c>
      <c r="B329" s="875" t="s">
        <v>52</v>
      </c>
      <c r="C329" s="874" t="s">
        <v>41</v>
      </c>
      <c r="D329" s="874" t="s">
        <v>323</v>
      </c>
      <c r="E329" s="874" t="s">
        <v>322</v>
      </c>
      <c r="F329" s="874" t="s">
        <v>221</v>
      </c>
      <c r="G329" s="874" t="str">
        <f t="shared" si="35"/>
        <v>Euribor6M</v>
      </c>
      <c r="H329" s="873" t="str">
        <f t="shared" si="36"/>
        <v>EUR15F4Y_Quote</v>
      </c>
      <c r="I329" s="876">
        <v>0</v>
      </c>
      <c r="J329" s="43"/>
      <c r="L329" s="894" t="str">
        <f t="shared" si="38"/>
        <v>FwdSw</v>
      </c>
      <c r="M329" s="890" t="str">
        <f t="shared" si="39"/>
        <v>--</v>
      </c>
      <c r="N329" s="893" t="str">
        <f ca="1">IFERROR(_xll.qlRateHelperQuoteName(M329,Trigger),"--")</f>
        <v>--</v>
      </c>
      <c r="O329" s="892" t="str">
        <f ca="1">IFERROR(_xll.qlRateHelperQuoteValue($M329,Trigger),"--")</f>
        <v>--</v>
      </c>
      <c r="P329" s="969" t="b">
        <v>0</v>
      </c>
      <c r="Q329" s="890">
        <v>50</v>
      </c>
      <c r="R329" s="890">
        <v>1</v>
      </c>
      <c r="S329" s="889" t="str">
        <f ca="1">IFERROR(_xll.qlRateHelperEarliestDate(M329,Trigger),"--")</f>
        <v>--</v>
      </c>
      <c r="T329" s="889" t="str">
        <f ca="1">IFERROR(_xll.qlRateHelperPillarDate(M329,Trigger),"--")</f>
        <v>--</v>
      </c>
      <c r="V329" s="4" t="str">
        <f t="shared" ca="1" si="37"/>
        <v/>
      </c>
      <c r="W329" s="4" t="e">
        <f ca="1"/>
        <v>#NAME?</v>
      </c>
      <c r="X329" s="4" t="str">
        <f ca="1">IFERROR(_xll.qlRateHelperQuoteName(W329,Trigger),"")</f>
        <v/>
      </c>
      <c r="Y329" s="888" t="str">
        <f ca="1">IFERROR(_xll.qlRateHelperRate(W329,Trigger),"")</f>
        <v/>
      </c>
      <c r="Z329" s="887"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6" t="e">
        <f ca="1"/>
        <v>#NAME?</v>
      </c>
    </row>
    <row r="330" spans="1:29" x14ac:dyDescent="0.2">
      <c r="A330" s="873" t="s">
        <v>410</v>
      </c>
      <c r="B330" s="875" t="s">
        <v>51</v>
      </c>
      <c r="C330" s="874" t="s">
        <v>41</v>
      </c>
      <c r="D330" s="874" t="s">
        <v>323</v>
      </c>
      <c r="E330" s="874" t="s">
        <v>322</v>
      </c>
      <c r="F330" s="874" t="s">
        <v>221</v>
      </c>
      <c r="G330" s="874" t="str">
        <f t="shared" ref="G330:G397" si="40">PROPER(Currency)&amp;FamilyName&amp;Tenor</f>
        <v>Euribor6M</v>
      </c>
      <c r="H330" s="873" t="str">
        <f t="shared" ref="H330:H397" si="41">Currency&amp;SUBSTITUTE(C330,"Y","F")&amp;B330&amp;QuoteSuffix</f>
        <v>EUR15F5Y_Quote</v>
      </c>
      <c r="I330" s="876">
        <v>0</v>
      </c>
      <c r="J330" s="43"/>
      <c r="L330" s="894" t="str">
        <f t="shared" si="38"/>
        <v>FwdSw</v>
      </c>
      <c r="M330" s="890" t="str">
        <f t="shared" si="39"/>
        <v>--</v>
      </c>
      <c r="N330" s="893" t="str">
        <f ca="1">IFERROR(_xll.qlRateHelperQuoteName(M330,Trigger),"--")</f>
        <v>--</v>
      </c>
      <c r="O330" s="892" t="str">
        <f ca="1">IFERROR(_xll.qlRateHelperQuoteValue($M330,Trigger),"--")</f>
        <v>--</v>
      </c>
      <c r="P330" s="969" t="b">
        <v>0</v>
      </c>
      <c r="Q330" s="890">
        <v>50</v>
      </c>
      <c r="R330" s="890">
        <v>1</v>
      </c>
      <c r="S330" s="889" t="str">
        <f ca="1">IFERROR(_xll.qlRateHelperEarliestDate(M330,Trigger),"--")</f>
        <v>--</v>
      </c>
      <c r="T330" s="889" t="str">
        <f ca="1">IFERROR(_xll.qlRateHelperPillarDate(M330,Trigger),"--")</f>
        <v>--</v>
      </c>
      <c r="V330" s="4" t="str">
        <f t="shared" ca="1" si="37"/>
        <v/>
      </c>
      <c r="W330" s="4" t="e">
        <f ca="1"/>
        <v>#NAME?</v>
      </c>
      <c r="X330" s="4" t="str">
        <f ca="1">IFERROR(_xll.qlRateHelperQuoteName(W330,Trigger),"")</f>
        <v/>
      </c>
      <c r="Y330" s="888" t="str">
        <f ca="1">IFERROR(_xll.qlRateHelperRate(W330,Trigger),"")</f>
        <v/>
      </c>
      <c r="Z330" s="887"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6" t="e">
        <f ca="1"/>
        <v>#NAME?</v>
      </c>
    </row>
    <row r="331" spans="1:29" x14ac:dyDescent="0.2">
      <c r="A331" s="873" t="s">
        <v>410</v>
      </c>
      <c r="B331" s="875" t="s">
        <v>50</v>
      </c>
      <c r="C331" s="874" t="s">
        <v>41</v>
      </c>
      <c r="D331" s="874" t="s">
        <v>323</v>
      </c>
      <c r="E331" s="874" t="s">
        <v>322</v>
      </c>
      <c r="F331" s="874" t="s">
        <v>221</v>
      </c>
      <c r="G331" s="874" t="str">
        <f t="shared" si="40"/>
        <v>Euribor6M</v>
      </c>
      <c r="H331" s="873" t="str">
        <f t="shared" si="41"/>
        <v>EUR15F6Y_Quote</v>
      </c>
      <c r="I331" s="876">
        <v>0</v>
      </c>
      <c r="J331" s="43"/>
      <c r="L331" s="894" t="str">
        <f t="shared" si="38"/>
        <v>FwdSw</v>
      </c>
      <c r="M331" s="890" t="str">
        <f t="shared" si="39"/>
        <v>--</v>
      </c>
      <c r="N331" s="893" t="str">
        <f ca="1">IFERROR(_xll.qlRateHelperQuoteName(M331,Trigger),"--")</f>
        <v>--</v>
      </c>
      <c r="O331" s="892" t="str">
        <f ca="1">IFERROR(_xll.qlRateHelperQuoteValue($M331,Trigger),"--")</f>
        <v>--</v>
      </c>
      <c r="P331" s="969" t="b">
        <v>0</v>
      </c>
      <c r="Q331" s="890">
        <v>50</v>
      </c>
      <c r="R331" s="890">
        <v>1</v>
      </c>
      <c r="S331" s="889" t="str">
        <f ca="1">IFERROR(_xll.qlRateHelperEarliestDate(M331,Trigger),"--")</f>
        <v>--</v>
      </c>
      <c r="T331" s="889" t="str">
        <f ca="1">IFERROR(_xll.qlRateHelperPillarDate(M331,Trigger),"--")</f>
        <v>--</v>
      </c>
      <c r="V331" s="4" t="str">
        <f t="shared" ca="1" si="37"/>
        <v/>
      </c>
      <c r="W331" s="4" t="e">
        <f ca="1"/>
        <v>#NAME?</v>
      </c>
      <c r="X331" s="4" t="str">
        <f ca="1">IFERROR(_xll.qlRateHelperQuoteName(W331,Trigger),"")</f>
        <v/>
      </c>
      <c r="Y331" s="888" t="str">
        <f ca="1">IFERROR(_xll.qlRateHelperRate(W331,Trigger),"")</f>
        <v/>
      </c>
      <c r="Z331" s="887"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6" t="e">
        <f ca="1"/>
        <v>#NAME?</v>
      </c>
    </row>
    <row r="332" spans="1:29" x14ac:dyDescent="0.2">
      <c r="A332" s="873" t="s">
        <v>410</v>
      </c>
      <c r="B332" s="875" t="s">
        <v>49</v>
      </c>
      <c r="C332" s="874" t="s">
        <v>41</v>
      </c>
      <c r="D332" s="874" t="s">
        <v>323</v>
      </c>
      <c r="E332" s="874" t="s">
        <v>322</v>
      </c>
      <c r="F332" s="874" t="s">
        <v>221</v>
      </c>
      <c r="G332" s="874" t="str">
        <f t="shared" si="40"/>
        <v>Euribor6M</v>
      </c>
      <c r="H332" s="873" t="str">
        <f t="shared" si="41"/>
        <v>EUR15F7Y_Quote</v>
      </c>
      <c r="I332" s="876">
        <v>0</v>
      </c>
      <c r="J332" s="43"/>
      <c r="L332" s="894" t="str">
        <f t="shared" si="38"/>
        <v>FwdSw</v>
      </c>
      <c r="M332" s="890" t="str">
        <f t="shared" si="39"/>
        <v>--</v>
      </c>
      <c r="N332" s="893" t="str">
        <f ca="1">IFERROR(_xll.qlRateHelperQuoteName(M332,Trigger),"--")</f>
        <v>--</v>
      </c>
      <c r="O332" s="892" t="str">
        <f ca="1">IFERROR(_xll.qlRateHelperQuoteValue($M332,Trigger),"--")</f>
        <v>--</v>
      </c>
      <c r="P332" s="969" t="b">
        <v>0</v>
      </c>
      <c r="Q332" s="890">
        <v>50</v>
      </c>
      <c r="R332" s="890">
        <v>1</v>
      </c>
      <c r="S332" s="889" t="str">
        <f ca="1">IFERROR(_xll.qlRateHelperEarliestDate(M332,Trigger),"--")</f>
        <v>--</v>
      </c>
      <c r="T332" s="889" t="str">
        <f ca="1">IFERROR(_xll.qlRateHelperPillarDate(M332,Trigger),"--")</f>
        <v>--</v>
      </c>
      <c r="V332" s="4" t="str">
        <f t="shared" ca="1" si="37"/>
        <v/>
      </c>
      <c r="W332" s="4" t="e">
        <f ca="1"/>
        <v>#NAME?</v>
      </c>
      <c r="X332" s="4" t="str">
        <f ca="1">IFERROR(_xll.qlRateHelperQuoteName(W332,Trigger),"")</f>
        <v/>
      </c>
      <c r="Y332" s="888" t="str">
        <f ca="1">IFERROR(_xll.qlRateHelperRate(W332,Trigger),"")</f>
        <v/>
      </c>
      <c r="Z332" s="887"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6" t="e">
        <f ca="1"/>
        <v>#NAME?</v>
      </c>
    </row>
    <row r="333" spans="1:29" x14ac:dyDescent="0.2">
      <c r="A333" s="873" t="s">
        <v>410</v>
      </c>
      <c r="B333" s="875" t="s">
        <v>48</v>
      </c>
      <c r="C333" s="874" t="s">
        <v>41</v>
      </c>
      <c r="D333" s="874" t="s">
        <v>323</v>
      </c>
      <c r="E333" s="874" t="s">
        <v>322</v>
      </c>
      <c r="F333" s="874" t="s">
        <v>221</v>
      </c>
      <c r="G333" s="874" t="str">
        <f t="shared" si="40"/>
        <v>Euribor6M</v>
      </c>
      <c r="H333" s="873" t="str">
        <f t="shared" si="41"/>
        <v>EUR15F8Y_Quote</v>
      </c>
      <c r="I333" s="876">
        <v>0</v>
      </c>
      <c r="J333" s="43"/>
      <c r="L333" s="894" t="str">
        <f t="shared" si="38"/>
        <v>FwdSw</v>
      </c>
      <c r="M333" s="890" t="str">
        <f t="shared" si="39"/>
        <v>--</v>
      </c>
      <c r="N333" s="893" t="str">
        <f ca="1">IFERROR(_xll.qlRateHelperQuoteName(M333,Trigger),"--")</f>
        <v>--</v>
      </c>
      <c r="O333" s="892" t="str">
        <f ca="1">IFERROR(_xll.qlRateHelperQuoteValue($M333,Trigger),"--")</f>
        <v>--</v>
      </c>
      <c r="P333" s="969" t="b">
        <v>0</v>
      </c>
      <c r="Q333" s="890">
        <v>50</v>
      </c>
      <c r="R333" s="890">
        <v>1</v>
      </c>
      <c r="S333" s="889" t="str">
        <f ca="1">IFERROR(_xll.qlRateHelperEarliestDate(M333,Trigger),"--")</f>
        <v>--</v>
      </c>
      <c r="T333" s="889" t="str">
        <f ca="1">IFERROR(_xll.qlRateHelperPillarDate(M333,Trigger),"--")</f>
        <v>--</v>
      </c>
      <c r="V333" s="4" t="str">
        <f t="shared" ca="1" si="37"/>
        <v/>
      </c>
      <c r="W333" s="4" t="e">
        <f ca="1"/>
        <v>#NAME?</v>
      </c>
      <c r="X333" s="4" t="str">
        <f ca="1">IFERROR(_xll.qlRateHelperQuoteName(W333,Trigger),"")</f>
        <v/>
      </c>
      <c r="Y333" s="888" t="str">
        <f ca="1">IFERROR(_xll.qlRateHelperRate(W333,Trigger),"")</f>
        <v/>
      </c>
      <c r="Z333" s="887"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6" t="e">
        <f ca="1"/>
        <v>#NAME?</v>
      </c>
    </row>
    <row r="334" spans="1:29" x14ac:dyDescent="0.2">
      <c r="A334" s="873" t="s">
        <v>410</v>
      </c>
      <c r="B334" s="875" t="s">
        <v>47</v>
      </c>
      <c r="C334" s="874" t="s">
        <v>41</v>
      </c>
      <c r="D334" s="874" t="s">
        <v>323</v>
      </c>
      <c r="E334" s="874" t="s">
        <v>322</v>
      </c>
      <c r="F334" s="874" t="s">
        <v>221</v>
      </c>
      <c r="G334" s="874" t="str">
        <f t="shared" si="40"/>
        <v>Euribor6M</v>
      </c>
      <c r="H334" s="873" t="str">
        <f t="shared" si="41"/>
        <v>EUR15F9Y_Quote</v>
      </c>
      <c r="I334" s="876">
        <v>0</v>
      </c>
      <c r="J334" s="43"/>
      <c r="L334" s="894" t="str">
        <f t="shared" si="38"/>
        <v>FwdSw</v>
      </c>
      <c r="M334" s="890" t="str">
        <f t="shared" si="39"/>
        <v>--</v>
      </c>
      <c r="N334" s="893" t="str">
        <f ca="1">IFERROR(_xll.qlRateHelperQuoteName(M334,Trigger),"--")</f>
        <v>--</v>
      </c>
      <c r="O334" s="892" t="str">
        <f ca="1">IFERROR(_xll.qlRateHelperQuoteValue($M334,Trigger),"--")</f>
        <v>--</v>
      </c>
      <c r="P334" s="969" t="b">
        <v>0</v>
      </c>
      <c r="Q334" s="890">
        <v>50</v>
      </c>
      <c r="R334" s="890">
        <v>1</v>
      </c>
      <c r="S334" s="889" t="str">
        <f ca="1">IFERROR(_xll.qlRateHelperEarliestDate(M334,Trigger),"--")</f>
        <v>--</v>
      </c>
      <c r="T334" s="889" t="str">
        <f ca="1">IFERROR(_xll.qlRateHelperPillarDate(M334,Trigger),"--")</f>
        <v>--</v>
      </c>
      <c r="V334" s="4" t="str">
        <f t="shared" ca="1" si="37"/>
        <v/>
      </c>
      <c r="W334" s="4" t="e">
        <f ca="1"/>
        <v>#NAME?</v>
      </c>
      <c r="X334" s="4" t="str">
        <f ca="1">IFERROR(_xll.qlRateHelperQuoteName(W334,Trigger),"")</f>
        <v/>
      </c>
      <c r="Y334" s="888" t="str">
        <f ca="1">IFERROR(_xll.qlRateHelperRate(W334,Trigger),"")</f>
        <v/>
      </c>
      <c r="Z334" s="887"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6" t="e">
        <f ca="1"/>
        <v>#NAME?</v>
      </c>
    </row>
    <row r="335" spans="1:29" x14ac:dyDescent="0.2">
      <c r="A335" s="873" t="s">
        <v>410</v>
      </c>
      <c r="B335" s="875" t="s">
        <v>46</v>
      </c>
      <c r="C335" s="874" t="s">
        <v>41</v>
      </c>
      <c r="D335" s="874" t="s">
        <v>323</v>
      </c>
      <c r="E335" s="874" t="s">
        <v>322</v>
      </c>
      <c r="F335" s="874" t="s">
        <v>221</v>
      </c>
      <c r="G335" s="874" t="str">
        <f t="shared" si="40"/>
        <v>Euribor6M</v>
      </c>
      <c r="H335" s="873" t="str">
        <f t="shared" si="41"/>
        <v>EUR15F10Y_Quote</v>
      </c>
      <c r="I335" s="876">
        <v>0</v>
      </c>
      <c r="J335" s="43"/>
      <c r="L335" s="894" t="str">
        <f t="shared" si="38"/>
        <v>FwdSw</v>
      </c>
      <c r="M335" s="890" t="str">
        <f t="shared" si="39"/>
        <v>--</v>
      </c>
      <c r="N335" s="893" t="str">
        <f ca="1">IFERROR(_xll.qlRateHelperQuoteName(M335,Trigger),"--")</f>
        <v>--</v>
      </c>
      <c r="O335" s="892" t="str">
        <f ca="1">IFERROR(_xll.qlRateHelperQuoteValue($M335,Trigger),"--")</f>
        <v>--</v>
      </c>
      <c r="P335" s="969" t="b">
        <v>0</v>
      </c>
      <c r="Q335" s="890">
        <v>50</v>
      </c>
      <c r="R335" s="890">
        <v>1</v>
      </c>
      <c r="S335" s="889" t="str">
        <f ca="1">IFERROR(_xll.qlRateHelperEarliestDate(M335,Trigger),"--")</f>
        <v>--</v>
      </c>
      <c r="T335" s="889" t="str">
        <f ca="1">IFERROR(_xll.qlRateHelperPillarDate(M335,Trigger),"--")</f>
        <v>--</v>
      </c>
      <c r="V335" s="4" t="str">
        <f t="shared" ca="1" si="37"/>
        <v/>
      </c>
      <c r="W335" s="4" t="e">
        <f ca="1"/>
        <v>#NAME?</v>
      </c>
      <c r="X335" s="4" t="str">
        <f ca="1">IFERROR(_xll.qlRateHelperQuoteName(W335,Trigger),"")</f>
        <v/>
      </c>
      <c r="Y335" s="888" t="str">
        <f ca="1">IFERROR(_xll.qlRateHelperRate(W335,Trigger),"")</f>
        <v/>
      </c>
      <c r="Z335" s="887"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6" t="e">
        <f ca="1"/>
        <v>#NAME?</v>
      </c>
    </row>
    <row r="336" spans="1:29" x14ac:dyDescent="0.2">
      <c r="A336" s="873" t="s">
        <v>410</v>
      </c>
      <c r="B336" s="875" t="s">
        <v>45</v>
      </c>
      <c r="C336" s="874" t="s">
        <v>41</v>
      </c>
      <c r="D336" s="874" t="s">
        <v>323</v>
      </c>
      <c r="E336" s="874" t="s">
        <v>322</v>
      </c>
      <c r="F336" s="874" t="s">
        <v>221</v>
      </c>
      <c r="G336" s="874" t="str">
        <f t="shared" si="40"/>
        <v>Euribor6M</v>
      </c>
      <c r="H336" s="873" t="str">
        <f t="shared" si="41"/>
        <v>EUR15F11Y_Quote</v>
      </c>
      <c r="I336" s="876">
        <v>0</v>
      </c>
      <c r="J336" s="43"/>
      <c r="L336" s="894" t="str">
        <f t="shared" si="38"/>
        <v>FwdSw</v>
      </c>
      <c r="M336" s="890" t="str">
        <f t="shared" si="39"/>
        <v>--</v>
      </c>
      <c r="N336" s="893" t="str">
        <f ca="1">IFERROR(_xll.qlRateHelperQuoteName(M336,Trigger),"--")</f>
        <v>--</v>
      </c>
      <c r="O336" s="892" t="str">
        <f ca="1">IFERROR(_xll.qlRateHelperQuoteValue($M336,Trigger),"--")</f>
        <v>--</v>
      </c>
      <c r="P336" s="969" t="b">
        <v>0</v>
      </c>
      <c r="Q336" s="890">
        <v>50</v>
      </c>
      <c r="R336" s="890">
        <v>1</v>
      </c>
      <c r="S336" s="889" t="str">
        <f ca="1">IFERROR(_xll.qlRateHelperEarliestDate(M336,Trigger),"--")</f>
        <v>--</v>
      </c>
      <c r="T336" s="889" t="str">
        <f ca="1">IFERROR(_xll.qlRateHelperPillarDate(M336,Trigger),"--")</f>
        <v>--</v>
      </c>
      <c r="V336" s="4" t="str">
        <f t="shared" ca="1" si="37"/>
        <v/>
      </c>
      <c r="W336" s="4" t="e">
        <f ca="1"/>
        <v>#NAME?</v>
      </c>
      <c r="X336" s="4" t="str">
        <f ca="1">IFERROR(_xll.qlRateHelperQuoteName(W336,Trigger),"")</f>
        <v/>
      </c>
      <c r="Y336" s="888" t="str">
        <f ca="1">IFERROR(_xll.qlRateHelperRate(W336,Trigger),"")</f>
        <v/>
      </c>
      <c r="Z336" s="887"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6" t="e">
        <f ca="1"/>
        <v>#NAME?</v>
      </c>
    </row>
    <row r="337" spans="1:29" x14ac:dyDescent="0.2">
      <c r="A337" s="873" t="s">
        <v>410</v>
      </c>
      <c r="B337" s="875" t="s">
        <v>44</v>
      </c>
      <c r="C337" s="874" t="s">
        <v>41</v>
      </c>
      <c r="D337" s="874" t="s">
        <v>323</v>
      </c>
      <c r="E337" s="874" t="s">
        <v>322</v>
      </c>
      <c r="F337" s="874" t="s">
        <v>221</v>
      </c>
      <c r="G337" s="874" t="str">
        <f t="shared" si="40"/>
        <v>Euribor6M</v>
      </c>
      <c r="H337" s="873" t="str">
        <f t="shared" si="41"/>
        <v>EUR15F12Y_Quote</v>
      </c>
      <c r="I337" s="876">
        <v>0</v>
      </c>
      <c r="J337" s="43"/>
      <c r="L337" s="894" t="str">
        <f t="shared" si="38"/>
        <v>FwdSw</v>
      </c>
      <c r="M337" s="890" t="e">
        <f t="shared" ca="1" si="39"/>
        <v>#NAME?</v>
      </c>
      <c r="N337" s="893" t="str">
        <f ca="1">IFERROR(_xll.qlRateHelperQuoteName(M337,Trigger),"--")</f>
        <v>--</v>
      </c>
      <c r="O337" s="892" t="str">
        <f ca="1">IFERROR(_xll.qlRateHelperQuoteValue($M337,Trigger),"--")</f>
        <v>--</v>
      </c>
      <c r="P337" s="969" t="b">
        <v>1</v>
      </c>
      <c r="Q337" s="890">
        <v>50</v>
      </c>
      <c r="R337" s="890">
        <v>1</v>
      </c>
      <c r="S337" s="889" t="str">
        <f ca="1">IFERROR(_xll.qlRateHelperEarliestDate(M337,Trigger),"--")</f>
        <v>--</v>
      </c>
      <c r="T337" s="889" t="str">
        <f ca="1">IFERROR(_xll.qlRateHelperPillarDate(M337,Trigger),"--")</f>
        <v>--</v>
      </c>
      <c r="V337" s="4" t="str">
        <f t="shared" ca="1" si="37"/>
        <v/>
      </c>
      <c r="W337" s="4" t="e">
        <f ca="1"/>
        <v>#NAME?</v>
      </c>
      <c r="X337" s="4" t="str">
        <f ca="1">IFERROR(_xll.qlRateHelperQuoteName(W337,Trigger),"")</f>
        <v/>
      </c>
      <c r="Y337" s="888" t="str">
        <f ca="1">IFERROR(_xll.qlRateHelperRate(W337,Trigger),"")</f>
        <v/>
      </c>
      <c r="Z337" s="887"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6" t="e">
        <f ca="1"/>
        <v>#NAME?</v>
      </c>
    </row>
    <row r="338" spans="1:29" x14ac:dyDescent="0.2">
      <c r="A338" s="873" t="s">
        <v>410</v>
      </c>
      <c r="B338" s="875" t="s">
        <v>43</v>
      </c>
      <c r="C338" s="874" t="s">
        <v>41</v>
      </c>
      <c r="D338" s="874" t="s">
        <v>323</v>
      </c>
      <c r="E338" s="874" t="s">
        <v>322</v>
      </c>
      <c r="F338" s="874" t="s">
        <v>221</v>
      </c>
      <c r="G338" s="874" t="str">
        <f t="shared" si="40"/>
        <v>Euribor6M</v>
      </c>
      <c r="H338" s="873" t="str">
        <f t="shared" si="41"/>
        <v>EUR15F13Y_Quote</v>
      </c>
      <c r="I338" s="876">
        <v>0</v>
      </c>
      <c r="J338" s="43"/>
      <c r="L338" s="894" t="str">
        <f t="shared" si="38"/>
        <v>FwdSw</v>
      </c>
      <c r="M338" s="890" t="str">
        <f t="shared" si="39"/>
        <v>--</v>
      </c>
      <c r="N338" s="893" t="str">
        <f ca="1">IFERROR(_xll.qlRateHelperQuoteName(M338,Trigger),"--")</f>
        <v>--</v>
      </c>
      <c r="O338" s="892" t="str">
        <f ca="1">IFERROR(_xll.qlRateHelperQuoteValue($M338,Trigger),"--")</f>
        <v>--</v>
      </c>
      <c r="P338" s="969" t="b">
        <v>0</v>
      </c>
      <c r="Q338" s="890">
        <v>50</v>
      </c>
      <c r="R338" s="890">
        <v>1</v>
      </c>
      <c r="S338" s="889" t="str">
        <f ca="1">IFERROR(_xll.qlRateHelperEarliestDate(M338,Trigger),"--")</f>
        <v>--</v>
      </c>
      <c r="T338" s="889" t="str">
        <f ca="1">IFERROR(_xll.qlRateHelperPillarDate(M338,Trigger),"--")</f>
        <v>--</v>
      </c>
      <c r="V338" s="4" t="str">
        <f t="shared" ca="1" si="37"/>
        <v/>
      </c>
      <c r="W338" s="4" t="e">
        <f ca="1"/>
        <v>#NAME?</v>
      </c>
      <c r="X338" s="4" t="str">
        <f ca="1">IFERROR(_xll.qlRateHelperQuoteName(W338,Trigger),"")</f>
        <v/>
      </c>
      <c r="Y338" s="888" t="str">
        <f ca="1">IFERROR(_xll.qlRateHelperRate(W338,Trigger),"")</f>
        <v/>
      </c>
      <c r="Z338" s="887"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6" t="e">
        <f ca="1"/>
        <v>#NAME?</v>
      </c>
    </row>
    <row r="339" spans="1:29" x14ac:dyDescent="0.2">
      <c r="A339" s="873" t="s">
        <v>410</v>
      </c>
      <c r="B339" s="875" t="s">
        <v>42</v>
      </c>
      <c r="C339" s="874" t="s">
        <v>41</v>
      </c>
      <c r="D339" s="874" t="s">
        <v>323</v>
      </c>
      <c r="E339" s="874" t="s">
        <v>322</v>
      </c>
      <c r="F339" s="874" t="s">
        <v>221</v>
      </c>
      <c r="G339" s="874" t="str">
        <f t="shared" si="40"/>
        <v>Euribor6M</v>
      </c>
      <c r="H339" s="873" t="str">
        <f t="shared" si="41"/>
        <v>EUR15F14Y_Quote</v>
      </c>
      <c r="I339" s="876">
        <v>0</v>
      </c>
      <c r="J339" s="43"/>
      <c r="L339" s="894" t="str">
        <f t="shared" si="38"/>
        <v>FwdSw</v>
      </c>
      <c r="M339" s="890" t="str">
        <f t="shared" si="39"/>
        <v>--</v>
      </c>
      <c r="N339" s="893" t="str">
        <f ca="1">IFERROR(_xll.qlRateHelperQuoteName(M339,Trigger),"--")</f>
        <v>--</v>
      </c>
      <c r="O339" s="892" t="str">
        <f ca="1">IFERROR(_xll.qlRateHelperQuoteValue($M339,Trigger),"--")</f>
        <v>--</v>
      </c>
      <c r="P339" s="969" t="b">
        <v>0</v>
      </c>
      <c r="Q339" s="890">
        <v>50</v>
      </c>
      <c r="R339" s="890">
        <v>1</v>
      </c>
      <c r="S339" s="889" t="str">
        <f ca="1">IFERROR(_xll.qlRateHelperEarliestDate(M339,Trigger),"--")</f>
        <v>--</v>
      </c>
      <c r="T339" s="889" t="str">
        <f ca="1">IFERROR(_xll.qlRateHelperPillarDate(M339,Trigger),"--")</f>
        <v>--</v>
      </c>
      <c r="V339" s="4" t="str">
        <f t="shared" ca="1" si="37"/>
        <v/>
      </c>
      <c r="W339" s="4" t="e">
        <f ca="1"/>
        <v>#NAME?</v>
      </c>
      <c r="X339" s="4" t="str">
        <f ca="1">IFERROR(_xll.qlRateHelperQuoteName(W339,Trigger),"")</f>
        <v/>
      </c>
      <c r="Y339" s="888" t="str">
        <f ca="1">IFERROR(_xll.qlRateHelperRate(W339,Trigger),"")</f>
        <v/>
      </c>
      <c r="Z339" s="887"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6" t="e">
        <f ca="1"/>
        <v>#NAME?</v>
      </c>
    </row>
    <row r="340" spans="1:29" x14ac:dyDescent="0.2">
      <c r="A340" s="873" t="s">
        <v>410</v>
      </c>
      <c r="B340" s="875" t="s">
        <v>41</v>
      </c>
      <c r="C340" s="874" t="s">
        <v>41</v>
      </c>
      <c r="D340" s="874" t="s">
        <v>323</v>
      </c>
      <c r="E340" s="874" t="s">
        <v>322</v>
      </c>
      <c r="F340" s="874" t="s">
        <v>221</v>
      </c>
      <c r="G340" s="874" t="str">
        <f t="shared" si="40"/>
        <v>Euribor6M</v>
      </c>
      <c r="H340" s="873" t="str">
        <f t="shared" si="41"/>
        <v>EUR15F15Y_Quote</v>
      </c>
      <c r="I340" s="876">
        <v>0</v>
      </c>
      <c r="J340" s="43"/>
      <c r="L340" s="894" t="str">
        <f t="shared" si="38"/>
        <v>FwdSw</v>
      </c>
      <c r="M340" s="890" t="str">
        <f t="shared" si="39"/>
        <v>--</v>
      </c>
      <c r="N340" s="893" t="str">
        <f ca="1">IFERROR(_xll.qlRateHelperQuoteName(M340,Trigger),"--")</f>
        <v>--</v>
      </c>
      <c r="O340" s="892" t="str">
        <f ca="1">IFERROR(_xll.qlRateHelperQuoteValue($M340,Trigger),"--")</f>
        <v>--</v>
      </c>
      <c r="P340" s="969" t="b">
        <v>0</v>
      </c>
      <c r="Q340" s="890">
        <v>50</v>
      </c>
      <c r="R340" s="890">
        <v>1</v>
      </c>
      <c r="S340" s="889" t="str">
        <f ca="1">IFERROR(_xll.qlRateHelperEarliestDate(M340,Trigger),"--")</f>
        <v>--</v>
      </c>
      <c r="T340" s="889" t="str">
        <f ca="1">IFERROR(_xll.qlRateHelperPillarDate(M340,Trigger),"--")</f>
        <v>--</v>
      </c>
      <c r="V340" s="4" t="str">
        <f t="shared" ca="1" si="37"/>
        <v/>
      </c>
      <c r="W340" s="4" t="e">
        <f ca="1"/>
        <v>#NAME?</v>
      </c>
      <c r="X340" s="4" t="str">
        <f ca="1">IFERROR(_xll.qlRateHelperQuoteName(W340,Trigger),"")</f>
        <v/>
      </c>
      <c r="Y340" s="888" t="str">
        <f ca="1">IFERROR(_xll.qlRateHelperRate(W340,Trigger),"")</f>
        <v/>
      </c>
      <c r="Z340" s="887"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6" t="e">
        <f ca="1"/>
        <v>#NAME?</v>
      </c>
    </row>
    <row r="341" spans="1:29" x14ac:dyDescent="0.2">
      <c r="A341" s="873" t="s">
        <v>410</v>
      </c>
      <c r="B341" s="875" t="s">
        <v>36</v>
      </c>
      <c r="C341" s="874" t="s">
        <v>41</v>
      </c>
      <c r="D341" s="874" t="s">
        <v>323</v>
      </c>
      <c r="E341" s="874" t="s">
        <v>322</v>
      </c>
      <c r="F341" s="874" t="s">
        <v>221</v>
      </c>
      <c r="G341" s="874" t="str">
        <f t="shared" si="40"/>
        <v>Euribor6M</v>
      </c>
      <c r="H341" s="873" t="str">
        <f t="shared" si="41"/>
        <v>EUR15F20Y_Quote</v>
      </c>
      <c r="I341" s="876">
        <v>0</v>
      </c>
      <c r="J341" s="43"/>
      <c r="L341" s="894" t="str">
        <f t="shared" si="38"/>
        <v>FwdSw</v>
      </c>
      <c r="M341" s="890" t="str">
        <f t="shared" si="39"/>
        <v>--</v>
      </c>
      <c r="N341" s="893" t="str">
        <f ca="1">IFERROR(_xll.qlRateHelperQuoteName(M341,Trigger),"--")</f>
        <v>--</v>
      </c>
      <c r="O341" s="892" t="str">
        <f ca="1">IFERROR(_xll.qlRateHelperQuoteValue($M341,Trigger),"--")</f>
        <v>--</v>
      </c>
      <c r="P341" s="969" t="b">
        <v>0</v>
      </c>
      <c r="Q341" s="890">
        <v>50</v>
      </c>
      <c r="R341" s="890">
        <v>1</v>
      </c>
      <c r="S341" s="889" t="str">
        <f ca="1">IFERROR(_xll.qlRateHelperEarliestDate(M341,Trigger),"--")</f>
        <v>--</v>
      </c>
      <c r="T341" s="889" t="str">
        <f ca="1">IFERROR(_xll.qlRateHelperPillarDate(M341,Trigger),"--")</f>
        <v>--</v>
      </c>
      <c r="V341" s="4" t="str">
        <f t="shared" ca="1" si="37"/>
        <v/>
      </c>
      <c r="W341" s="4" t="e">
        <f ca="1"/>
        <v>#NAME?</v>
      </c>
      <c r="X341" s="4" t="str">
        <f ca="1">IFERROR(_xll.qlRateHelperQuoteName(W341,Trigger),"")</f>
        <v/>
      </c>
      <c r="Y341" s="888" t="str">
        <f ca="1">IFERROR(_xll.qlRateHelperRate(W341,Trigger),"")</f>
        <v/>
      </c>
      <c r="Z341" s="887"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6" t="e">
        <f ca="1"/>
        <v>#NAME?</v>
      </c>
    </row>
    <row r="342" spans="1:29" x14ac:dyDescent="0.2">
      <c r="A342" s="873" t="s">
        <v>410</v>
      </c>
      <c r="B342" s="875" t="s">
        <v>31</v>
      </c>
      <c r="C342" s="874" t="s">
        <v>41</v>
      </c>
      <c r="D342" s="874" t="s">
        <v>323</v>
      </c>
      <c r="E342" s="874" t="s">
        <v>322</v>
      </c>
      <c r="F342" s="874" t="s">
        <v>221</v>
      </c>
      <c r="G342" s="874" t="str">
        <f t="shared" si="40"/>
        <v>Euribor6M</v>
      </c>
      <c r="H342" s="873" t="str">
        <f t="shared" si="41"/>
        <v>EUR15F25Y_Quote</v>
      </c>
      <c r="I342" s="876">
        <v>0</v>
      </c>
      <c r="J342" s="43"/>
      <c r="L342" s="894" t="str">
        <f t="shared" si="38"/>
        <v>FwdSw</v>
      </c>
      <c r="M342" s="890" t="str">
        <f t="shared" si="39"/>
        <v>--</v>
      </c>
      <c r="N342" s="893" t="str">
        <f ca="1">IFERROR(_xll.qlRateHelperQuoteName(M342,Trigger),"--")</f>
        <v>--</v>
      </c>
      <c r="O342" s="892" t="str">
        <f ca="1">IFERROR(_xll.qlRateHelperQuoteValue($M342,Trigger),"--")</f>
        <v>--</v>
      </c>
      <c r="P342" s="969" t="b">
        <v>0</v>
      </c>
      <c r="Q342" s="890">
        <v>50</v>
      </c>
      <c r="R342" s="890">
        <v>1</v>
      </c>
      <c r="S342" s="889" t="str">
        <f ca="1">IFERROR(_xll.qlRateHelperEarliestDate(M342,Trigger),"--")</f>
        <v>--</v>
      </c>
      <c r="T342" s="889" t="str">
        <f ca="1">IFERROR(_xll.qlRateHelperPillarDate(M342,Trigger),"--")</f>
        <v>--</v>
      </c>
      <c r="V342" s="4" t="str">
        <f t="shared" ca="1" si="37"/>
        <v/>
      </c>
      <c r="W342" s="4" t="e">
        <f ca="1"/>
        <v>#NAME?</v>
      </c>
      <c r="X342" s="4" t="str">
        <f ca="1">IFERROR(_xll.qlRateHelperQuoteName(W342,Trigger),"")</f>
        <v/>
      </c>
      <c r="Y342" s="888" t="str">
        <f ca="1">IFERROR(_xll.qlRateHelperRate(W342,Trigger),"")</f>
        <v/>
      </c>
      <c r="Z342" s="887"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6" t="e">
        <f ca="1"/>
        <v>#NAME?</v>
      </c>
    </row>
    <row r="343" spans="1:29" x14ac:dyDescent="0.2">
      <c r="A343" s="873" t="s">
        <v>410</v>
      </c>
      <c r="B343" s="875" t="s">
        <v>26</v>
      </c>
      <c r="C343" s="874" t="s">
        <v>41</v>
      </c>
      <c r="D343" s="874" t="s">
        <v>323</v>
      </c>
      <c r="E343" s="874" t="s">
        <v>322</v>
      </c>
      <c r="F343" s="874" t="s">
        <v>221</v>
      </c>
      <c r="G343" s="874" t="str">
        <f t="shared" si="40"/>
        <v>Euribor6M</v>
      </c>
      <c r="H343" s="873" t="str">
        <f t="shared" si="41"/>
        <v>EUR15F30Y_Quote</v>
      </c>
      <c r="I343" s="876">
        <v>0</v>
      </c>
      <c r="J343" s="43" t="e">
        <f ca="1">_xll.qlSwapRateHelper2(,H343,2,B343,Calendar,D343,E343,F343,G343,I343,C343,Discounting,PillarDate,,Permanent,Trigger,ObjectOverwrite)</f>
        <v>#NAME?</v>
      </c>
      <c r="L343" s="894" t="str">
        <f t="shared" si="38"/>
        <v>FwdSw</v>
      </c>
      <c r="M343" s="890" t="str">
        <f t="shared" si="39"/>
        <v>--</v>
      </c>
      <c r="N343" s="893" t="str">
        <f ca="1">IFERROR(_xll.qlRateHelperQuoteName(M343,Trigger),"--")</f>
        <v>--</v>
      </c>
      <c r="O343" s="892" t="str">
        <f ca="1">IFERROR(_xll.qlRateHelperQuoteValue($M343,Trigger),"--")</f>
        <v>--</v>
      </c>
      <c r="P343" s="969" t="b">
        <v>0</v>
      </c>
      <c r="Q343" s="890">
        <v>50</v>
      </c>
      <c r="R343" s="890">
        <v>1</v>
      </c>
      <c r="S343" s="889" t="str">
        <f ca="1">IFERROR(_xll.qlRateHelperEarliestDate(M343,Trigger),"--")</f>
        <v>--</v>
      </c>
      <c r="T343" s="889" t="str">
        <f ca="1">IFERROR(_xll.qlRateHelperPillarDate(M343,Trigger),"--")</f>
        <v>--</v>
      </c>
      <c r="V343" s="4" t="str">
        <f t="shared" ca="1" si="37"/>
        <v/>
      </c>
      <c r="W343" s="4" t="e">
        <f ca="1"/>
        <v>#NAME?</v>
      </c>
      <c r="X343" s="4" t="str">
        <f ca="1">IFERROR(_xll.qlRateHelperQuoteName(W343,Trigger),"")</f>
        <v/>
      </c>
      <c r="Y343" s="888" t="str">
        <f ca="1">IFERROR(_xll.qlRateHelperRate(W343,Trigger),"")</f>
        <v/>
      </c>
      <c r="Z343" s="887"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6" t="e">
        <f ca="1"/>
        <v>#NAME?</v>
      </c>
    </row>
    <row r="344" spans="1:29" x14ac:dyDescent="0.2">
      <c r="A344" s="896" t="s">
        <v>410</v>
      </c>
      <c r="B344" s="898" t="s">
        <v>58</v>
      </c>
      <c r="C344" s="897" t="s">
        <v>36</v>
      </c>
      <c r="D344" s="897" t="s">
        <v>323</v>
      </c>
      <c r="E344" s="897" t="s">
        <v>322</v>
      </c>
      <c r="F344" s="897" t="s">
        <v>221</v>
      </c>
      <c r="G344" s="897" t="str">
        <f t="shared" si="40"/>
        <v>Euribor6M</v>
      </c>
      <c r="H344" s="896" t="str">
        <f t="shared" si="41"/>
        <v>EUR20F1Y_Quote</v>
      </c>
      <c r="I344" s="895">
        <v>0</v>
      </c>
      <c r="J344" s="47"/>
      <c r="L344" s="894" t="str">
        <f t="shared" si="38"/>
        <v>FwdSw</v>
      </c>
      <c r="M344" s="890" t="str">
        <f t="shared" si="39"/>
        <v>--</v>
      </c>
      <c r="N344" s="893" t="str">
        <f ca="1">IFERROR(_xll.qlRateHelperQuoteName(M344,Trigger),"--")</f>
        <v>--</v>
      </c>
      <c r="O344" s="892" t="str">
        <f ca="1">IFERROR(_xll.qlRateHelperQuoteValue($M344,Trigger),"--")</f>
        <v>--</v>
      </c>
      <c r="P344" s="969" t="b">
        <v>0</v>
      </c>
      <c r="Q344" s="890">
        <v>50</v>
      </c>
      <c r="R344" s="890">
        <v>1</v>
      </c>
      <c r="S344" s="889" t="str">
        <f ca="1">IFERROR(_xll.qlRateHelperEarliestDate(M344,Trigger),"--")</f>
        <v>--</v>
      </c>
      <c r="T344" s="889" t="str">
        <f ca="1">IFERROR(_xll.qlRateHelperPillarDate(M344,Trigger),"--")</f>
        <v>--</v>
      </c>
      <c r="V344" s="4" t="str">
        <f t="shared" ca="1" si="37"/>
        <v/>
      </c>
      <c r="W344" s="4" t="e">
        <f ca="1"/>
        <v>#NAME?</v>
      </c>
      <c r="X344" s="4" t="str">
        <f ca="1">IFERROR(_xll.qlRateHelperQuoteName(W344,Trigger),"")</f>
        <v/>
      </c>
      <c r="Y344" s="888" t="str">
        <f ca="1">IFERROR(_xll.qlRateHelperRate(W344,Trigger),"")</f>
        <v/>
      </c>
      <c r="Z344" s="887"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6" t="e">
        <f ca="1"/>
        <v>#NAME?</v>
      </c>
    </row>
    <row r="345" spans="1:29" x14ac:dyDescent="0.2">
      <c r="A345" s="873" t="s">
        <v>410</v>
      </c>
      <c r="B345" s="875" t="s">
        <v>54</v>
      </c>
      <c r="C345" s="874" t="s">
        <v>36</v>
      </c>
      <c r="D345" s="874" t="s">
        <v>323</v>
      </c>
      <c r="E345" s="874" t="s">
        <v>322</v>
      </c>
      <c r="F345" s="874" t="s">
        <v>221</v>
      </c>
      <c r="G345" s="874" t="str">
        <f t="shared" si="40"/>
        <v>Euribor6M</v>
      </c>
      <c r="H345" s="873" t="str">
        <f t="shared" si="41"/>
        <v>EUR20F2Y_Quote</v>
      </c>
      <c r="I345" s="876">
        <v>0</v>
      </c>
      <c r="J345" s="43"/>
      <c r="L345" s="894" t="str">
        <f t="shared" si="38"/>
        <v>FwdSw</v>
      </c>
      <c r="M345" s="890" t="str">
        <f t="shared" si="39"/>
        <v>--</v>
      </c>
      <c r="N345" s="893" t="str">
        <f ca="1">IFERROR(_xll.qlRateHelperQuoteName(M345,Trigger),"--")</f>
        <v>--</v>
      </c>
      <c r="O345" s="892" t="str">
        <f ca="1">IFERROR(_xll.qlRateHelperQuoteValue($M345,Trigger),"--")</f>
        <v>--</v>
      </c>
      <c r="P345" s="969" t="b">
        <v>0</v>
      </c>
      <c r="Q345" s="890">
        <v>50</v>
      </c>
      <c r="R345" s="890">
        <v>1</v>
      </c>
      <c r="S345" s="889" t="str">
        <f ca="1">IFERROR(_xll.qlRateHelperEarliestDate(M345,Trigger),"--")</f>
        <v>--</v>
      </c>
      <c r="T345" s="889" t="str">
        <f ca="1">IFERROR(_xll.qlRateHelperPillarDate(M345,Trigger),"--")</f>
        <v>--</v>
      </c>
      <c r="V345" s="4" t="str">
        <f t="shared" ca="1" si="37"/>
        <v/>
      </c>
      <c r="W345" s="4" t="e">
        <f ca="1"/>
        <v>#NAME?</v>
      </c>
      <c r="X345" s="4" t="str">
        <f ca="1">IFERROR(_xll.qlRateHelperQuoteName(W345,Trigger),"")</f>
        <v/>
      </c>
      <c r="Y345" s="888" t="str">
        <f ca="1">IFERROR(_xll.qlRateHelperRate(W345,Trigger),"")</f>
        <v/>
      </c>
      <c r="Z345" s="887"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6" t="e">
        <f ca="1"/>
        <v>#NAME?</v>
      </c>
    </row>
    <row r="346" spans="1:29" x14ac:dyDescent="0.2">
      <c r="A346" s="873" t="s">
        <v>410</v>
      </c>
      <c r="B346" s="875" t="s">
        <v>53</v>
      </c>
      <c r="C346" s="874" t="s">
        <v>36</v>
      </c>
      <c r="D346" s="874" t="s">
        <v>323</v>
      </c>
      <c r="E346" s="874" t="s">
        <v>322</v>
      </c>
      <c r="F346" s="874" t="s">
        <v>221</v>
      </c>
      <c r="G346" s="874" t="str">
        <f t="shared" si="40"/>
        <v>Euribor6M</v>
      </c>
      <c r="H346" s="873" t="str">
        <f t="shared" si="41"/>
        <v>EUR20F3Y_Quote</v>
      </c>
      <c r="I346" s="876">
        <v>0</v>
      </c>
      <c r="J346" s="43"/>
      <c r="L346" s="894" t="str">
        <f t="shared" si="38"/>
        <v>FwdSw</v>
      </c>
      <c r="M346" s="890" t="str">
        <f t="shared" si="39"/>
        <v>--</v>
      </c>
      <c r="N346" s="893" t="str">
        <f ca="1">IFERROR(_xll.qlRateHelperQuoteName(M346,Trigger),"--")</f>
        <v>--</v>
      </c>
      <c r="O346" s="892" t="str">
        <f ca="1">IFERROR(_xll.qlRateHelperQuoteValue($M346,Trigger),"--")</f>
        <v>--</v>
      </c>
      <c r="P346" s="969" t="b">
        <v>0</v>
      </c>
      <c r="Q346" s="890">
        <v>50</v>
      </c>
      <c r="R346" s="890">
        <v>1</v>
      </c>
      <c r="S346" s="889" t="str">
        <f ca="1">IFERROR(_xll.qlRateHelperEarliestDate(M346,Trigger),"--")</f>
        <v>--</v>
      </c>
      <c r="T346" s="889" t="str">
        <f ca="1">IFERROR(_xll.qlRateHelperPillarDate(M346,Trigger),"--")</f>
        <v>--</v>
      </c>
      <c r="V346" s="4" t="str">
        <f t="shared" ca="1" si="37"/>
        <v/>
      </c>
      <c r="W346" s="4" t="e">
        <f ca="1"/>
        <v>#NAME?</v>
      </c>
      <c r="X346" s="4" t="str">
        <f ca="1">IFERROR(_xll.qlRateHelperQuoteName(W346,Trigger),"")</f>
        <v/>
      </c>
      <c r="Y346" s="888" t="str">
        <f ca="1">IFERROR(_xll.qlRateHelperRate(W346,Trigger),"")</f>
        <v/>
      </c>
      <c r="Z346" s="887"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6" t="e">
        <f ca="1"/>
        <v>#NAME?</v>
      </c>
    </row>
    <row r="347" spans="1:29" x14ac:dyDescent="0.2">
      <c r="A347" s="873" t="s">
        <v>410</v>
      </c>
      <c r="B347" s="875" t="s">
        <v>52</v>
      </c>
      <c r="C347" s="874" t="s">
        <v>36</v>
      </c>
      <c r="D347" s="874" t="s">
        <v>323</v>
      </c>
      <c r="E347" s="874" t="s">
        <v>322</v>
      </c>
      <c r="F347" s="874" t="s">
        <v>221</v>
      </c>
      <c r="G347" s="874" t="str">
        <f t="shared" si="40"/>
        <v>Euribor6M</v>
      </c>
      <c r="H347" s="873" t="str">
        <f t="shared" si="41"/>
        <v>EUR20F4Y_Quote</v>
      </c>
      <c r="I347" s="876">
        <v>0</v>
      </c>
      <c r="J347" s="43"/>
      <c r="L347" s="894" t="str">
        <f t="shared" si="38"/>
        <v>FwdSw</v>
      </c>
      <c r="M347" s="890" t="str">
        <f t="shared" si="39"/>
        <v>--</v>
      </c>
      <c r="N347" s="893" t="str">
        <f ca="1">IFERROR(_xll.qlRateHelperQuoteName(M347,Trigger),"--")</f>
        <v>--</v>
      </c>
      <c r="O347" s="892" t="str">
        <f ca="1">IFERROR(_xll.qlRateHelperQuoteValue($M347,Trigger),"--")</f>
        <v>--</v>
      </c>
      <c r="P347" s="969" t="b">
        <v>0</v>
      </c>
      <c r="Q347" s="890">
        <v>50</v>
      </c>
      <c r="R347" s="890">
        <v>1</v>
      </c>
      <c r="S347" s="889" t="str">
        <f ca="1">IFERROR(_xll.qlRateHelperEarliestDate(M347,Trigger),"--")</f>
        <v>--</v>
      </c>
      <c r="T347" s="889" t="str">
        <f ca="1">IFERROR(_xll.qlRateHelperPillarDate(M347,Trigger),"--")</f>
        <v>--</v>
      </c>
      <c r="V347" s="4" t="str">
        <f t="shared" ca="1" si="37"/>
        <v/>
      </c>
      <c r="W347" s="4" t="e">
        <f ca="1"/>
        <v>#NAME?</v>
      </c>
      <c r="X347" s="4" t="str">
        <f ca="1">IFERROR(_xll.qlRateHelperQuoteName(W347,Trigger),"")</f>
        <v/>
      </c>
      <c r="Y347" s="888" t="str">
        <f ca="1">IFERROR(_xll.qlRateHelperRate(W347,Trigger),"")</f>
        <v/>
      </c>
      <c r="Z347" s="887"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6" t="e">
        <f ca="1"/>
        <v>#NAME?</v>
      </c>
    </row>
    <row r="348" spans="1:29" x14ac:dyDescent="0.2">
      <c r="A348" s="873" t="s">
        <v>410</v>
      </c>
      <c r="B348" s="875" t="s">
        <v>51</v>
      </c>
      <c r="C348" s="874" t="s">
        <v>36</v>
      </c>
      <c r="D348" s="874" t="s">
        <v>323</v>
      </c>
      <c r="E348" s="874" t="s">
        <v>322</v>
      </c>
      <c r="F348" s="874" t="s">
        <v>221</v>
      </c>
      <c r="G348" s="874" t="str">
        <f t="shared" si="40"/>
        <v>Euribor6M</v>
      </c>
      <c r="H348" s="873" t="str">
        <f t="shared" si="41"/>
        <v>EUR20F5Y_Quote</v>
      </c>
      <c r="I348" s="876">
        <v>0</v>
      </c>
      <c r="J348" s="43"/>
      <c r="L348" s="894" t="str">
        <f t="shared" si="38"/>
        <v>FwdSw</v>
      </c>
      <c r="M348" s="890" t="str">
        <f t="shared" si="39"/>
        <v>--</v>
      </c>
      <c r="N348" s="893" t="str">
        <f ca="1">IFERROR(_xll.qlRateHelperQuoteName(M348,Trigger),"--")</f>
        <v>--</v>
      </c>
      <c r="O348" s="892" t="str">
        <f ca="1">IFERROR(_xll.qlRateHelperQuoteValue($M348,Trigger),"--")</f>
        <v>--</v>
      </c>
      <c r="P348" s="969" t="b">
        <v>0</v>
      </c>
      <c r="Q348" s="890">
        <v>50</v>
      </c>
      <c r="R348" s="890">
        <v>1</v>
      </c>
      <c r="S348" s="889" t="str">
        <f ca="1">IFERROR(_xll.qlRateHelperEarliestDate(M348,Trigger),"--")</f>
        <v>--</v>
      </c>
      <c r="T348" s="889" t="str">
        <f ca="1">IFERROR(_xll.qlRateHelperPillarDate(M348,Trigger),"--")</f>
        <v>--</v>
      </c>
      <c r="V348" s="4" t="str">
        <f t="shared" ca="1" si="37"/>
        <v/>
      </c>
      <c r="W348" s="4" t="e">
        <f ca="1"/>
        <v>#NAME?</v>
      </c>
      <c r="X348" s="4" t="str">
        <f ca="1">IFERROR(_xll.qlRateHelperQuoteName(W348,Trigger),"")</f>
        <v/>
      </c>
      <c r="Y348" s="888" t="str">
        <f ca="1">IFERROR(_xll.qlRateHelperRate(W348,Trigger),"")</f>
        <v/>
      </c>
      <c r="Z348" s="887"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6" t="e">
        <f ca="1"/>
        <v>#NAME?</v>
      </c>
    </row>
    <row r="349" spans="1:29" x14ac:dyDescent="0.2">
      <c r="A349" s="873" t="s">
        <v>410</v>
      </c>
      <c r="B349" s="875" t="s">
        <v>50</v>
      </c>
      <c r="C349" s="874" t="s">
        <v>36</v>
      </c>
      <c r="D349" s="874" t="s">
        <v>323</v>
      </c>
      <c r="E349" s="874" t="s">
        <v>322</v>
      </c>
      <c r="F349" s="874" t="s">
        <v>221</v>
      </c>
      <c r="G349" s="874" t="str">
        <f t="shared" si="40"/>
        <v>Euribor6M</v>
      </c>
      <c r="H349" s="873" t="str">
        <f t="shared" si="41"/>
        <v>EUR20F6Y_Quote</v>
      </c>
      <c r="I349" s="876">
        <v>0</v>
      </c>
      <c r="J349" s="43"/>
      <c r="L349" s="894" t="str">
        <f t="shared" si="38"/>
        <v>FwdSw</v>
      </c>
      <c r="M349" s="890" t="str">
        <f t="shared" si="39"/>
        <v>--</v>
      </c>
      <c r="N349" s="893" t="str">
        <f ca="1">IFERROR(_xll.qlRateHelperQuoteName(M349,Trigger),"--")</f>
        <v>--</v>
      </c>
      <c r="O349" s="892" t="str">
        <f ca="1">IFERROR(_xll.qlRateHelperQuoteValue($M349,Trigger),"--")</f>
        <v>--</v>
      </c>
      <c r="P349" s="969" t="b">
        <v>0</v>
      </c>
      <c r="Q349" s="890">
        <v>50</v>
      </c>
      <c r="R349" s="890">
        <v>1</v>
      </c>
      <c r="S349" s="889" t="str">
        <f ca="1">IFERROR(_xll.qlRateHelperEarliestDate(M349,Trigger),"--")</f>
        <v>--</v>
      </c>
      <c r="T349" s="889" t="str">
        <f ca="1">IFERROR(_xll.qlRateHelperPillarDate(M349,Trigger),"--")</f>
        <v>--</v>
      </c>
      <c r="V349" s="4" t="str">
        <f t="shared" ca="1" si="37"/>
        <v/>
      </c>
      <c r="W349" s="4" t="e">
        <f ca="1"/>
        <v>#NAME?</v>
      </c>
      <c r="X349" s="4" t="str">
        <f ca="1">IFERROR(_xll.qlRateHelperQuoteName(W349,Trigger),"")</f>
        <v/>
      </c>
      <c r="Y349" s="888" t="str">
        <f ca="1">IFERROR(_xll.qlRateHelperRate(W349,Trigger),"")</f>
        <v/>
      </c>
      <c r="Z349" s="887"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6" t="e">
        <f ca="1"/>
        <v>#NAME?</v>
      </c>
    </row>
    <row r="350" spans="1:29" x14ac:dyDescent="0.2">
      <c r="A350" s="873" t="s">
        <v>410</v>
      </c>
      <c r="B350" s="875" t="s">
        <v>49</v>
      </c>
      <c r="C350" s="874" t="s">
        <v>36</v>
      </c>
      <c r="D350" s="874" t="s">
        <v>323</v>
      </c>
      <c r="E350" s="874" t="s">
        <v>322</v>
      </c>
      <c r="F350" s="874" t="s">
        <v>221</v>
      </c>
      <c r="G350" s="874" t="str">
        <f t="shared" si="40"/>
        <v>Euribor6M</v>
      </c>
      <c r="H350" s="873" t="str">
        <f t="shared" si="41"/>
        <v>EUR20F7Y_Quote</v>
      </c>
      <c r="I350" s="876">
        <v>0</v>
      </c>
      <c r="J350" s="43"/>
      <c r="L350" s="894" t="str">
        <f t="shared" si="38"/>
        <v>FwdSw</v>
      </c>
      <c r="M350" s="890" t="str">
        <f t="shared" si="39"/>
        <v>--</v>
      </c>
      <c r="N350" s="893" t="str">
        <f ca="1">IFERROR(_xll.qlRateHelperQuoteName(M350,Trigger),"--")</f>
        <v>--</v>
      </c>
      <c r="O350" s="892" t="str">
        <f ca="1">IFERROR(_xll.qlRateHelperQuoteValue($M350,Trigger),"--")</f>
        <v>--</v>
      </c>
      <c r="P350" s="969" t="b">
        <v>0</v>
      </c>
      <c r="Q350" s="890">
        <v>50</v>
      </c>
      <c r="R350" s="890">
        <v>1</v>
      </c>
      <c r="S350" s="889" t="str">
        <f ca="1">IFERROR(_xll.qlRateHelperEarliestDate(M350,Trigger),"--")</f>
        <v>--</v>
      </c>
      <c r="T350" s="889" t="str">
        <f ca="1">IFERROR(_xll.qlRateHelperPillarDate(M350,Trigger),"--")</f>
        <v>--</v>
      </c>
      <c r="V350" s="4" t="str">
        <f t="shared" ca="1" si="37"/>
        <v/>
      </c>
      <c r="W350" s="4" t="e">
        <f ca="1"/>
        <v>#NAME?</v>
      </c>
      <c r="X350" s="4" t="str">
        <f ca="1">IFERROR(_xll.qlRateHelperQuoteName(W350,Trigger),"")</f>
        <v/>
      </c>
      <c r="Y350" s="888" t="str">
        <f ca="1">IFERROR(_xll.qlRateHelperRate(W350,Trigger),"")</f>
        <v/>
      </c>
      <c r="Z350" s="887"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6" t="e">
        <f ca="1"/>
        <v>#NAME?</v>
      </c>
    </row>
    <row r="351" spans="1:29" x14ac:dyDescent="0.2">
      <c r="A351" s="873" t="s">
        <v>410</v>
      </c>
      <c r="B351" s="875" t="s">
        <v>48</v>
      </c>
      <c r="C351" s="874" t="s">
        <v>36</v>
      </c>
      <c r="D351" s="874" t="s">
        <v>323</v>
      </c>
      <c r="E351" s="874" t="s">
        <v>322</v>
      </c>
      <c r="F351" s="874" t="s">
        <v>221</v>
      </c>
      <c r="G351" s="874" t="str">
        <f t="shared" si="40"/>
        <v>Euribor6M</v>
      </c>
      <c r="H351" s="873" t="str">
        <f t="shared" si="41"/>
        <v>EUR20F8Y_Quote</v>
      </c>
      <c r="I351" s="876">
        <v>0</v>
      </c>
      <c r="J351" s="43"/>
      <c r="L351" s="894" t="str">
        <f t="shared" si="38"/>
        <v>FwdSw</v>
      </c>
      <c r="M351" s="890" t="str">
        <f t="shared" si="39"/>
        <v>--</v>
      </c>
      <c r="N351" s="893" t="str">
        <f ca="1">IFERROR(_xll.qlRateHelperQuoteName(M351,Trigger),"--")</f>
        <v>--</v>
      </c>
      <c r="O351" s="892" t="str">
        <f ca="1">IFERROR(_xll.qlRateHelperQuoteValue($M351,Trigger),"--")</f>
        <v>--</v>
      </c>
      <c r="P351" s="969" t="b">
        <v>0</v>
      </c>
      <c r="Q351" s="890">
        <v>50</v>
      </c>
      <c r="R351" s="890">
        <v>1</v>
      </c>
      <c r="S351" s="889" t="str">
        <f ca="1">IFERROR(_xll.qlRateHelperEarliestDate(M351,Trigger),"--")</f>
        <v>--</v>
      </c>
      <c r="T351" s="889" t="str">
        <f ca="1">IFERROR(_xll.qlRateHelperPillarDate(M351,Trigger),"--")</f>
        <v>--</v>
      </c>
      <c r="V351" s="4" t="str">
        <f t="shared" ca="1" si="37"/>
        <v/>
      </c>
      <c r="W351" s="4" t="e">
        <f ca="1"/>
        <v>#NAME?</v>
      </c>
      <c r="X351" s="4" t="str">
        <f ca="1">IFERROR(_xll.qlRateHelperQuoteName(W351,Trigger),"")</f>
        <v/>
      </c>
      <c r="Y351" s="888" t="str">
        <f ca="1">IFERROR(_xll.qlRateHelperRate(W351,Trigger),"")</f>
        <v/>
      </c>
      <c r="Z351" s="887"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6" t="e">
        <f ca="1"/>
        <v>#NAME?</v>
      </c>
    </row>
    <row r="352" spans="1:29" x14ac:dyDescent="0.2">
      <c r="A352" s="873" t="s">
        <v>410</v>
      </c>
      <c r="B352" s="875" t="s">
        <v>47</v>
      </c>
      <c r="C352" s="874" t="s">
        <v>36</v>
      </c>
      <c r="D352" s="874" t="s">
        <v>323</v>
      </c>
      <c r="E352" s="874" t="s">
        <v>322</v>
      </c>
      <c r="F352" s="874" t="s">
        <v>221</v>
      </c>
      <c r="G352" s="874" t="str">
        <f t="shared" si="40"/>
        <v>Euribor6M</v>
      </c>
      <c r="H352" s="873" t="str">
        <f t="shared" si="41"/>
        <v>EUR20F9Y_Quote</v>
      </c>
      <c r="I352" s="876">
        <v>0</v>
      </c>
      <c r="J352" s="43"/>
      <c r="L352" s="894" t="str">
        <f t="shared" si="38"/>
        <v>FwdSw</v>
      </c>
      <c r="M352" s="890" t="str">
        <f t="shared" si="39"/>
        <v>--</v>
      </c>
      <c r="N352" s="893" t="str">
        <f ca="1">IFERROR(_xll.qlRateHelperQuoteName(M352,Trigger),"--")</f>
        <v>--</v>
      </c>
      <c r="O352" s="892" t="str">
        <f ca="1">IFERROR(_xll.qlRateHelperQuoteValue($M352,Trigger),"--")</f>
        <v>--</v>
      </c>
      <c r="P352" s="969" t="b">
        <v>0</v>
      </c>
      <c r="Q352" s="890">
        <v>50</v>
      </c>
      <c r="R352" s="890">
        <v>1</v>
      </c>
      <c r="S352" s="889" t="str">
        <f ca="1">IFERROR(_xll.qlRateHelperEarliestDate(M352,Trigger),"--")</f>
        <v>--</v>
      </c>
      <c r="T352" s="889" t="str">
        <f ca="1">IFERROR(_xll.qlRateHelperPillarDate(M352,Trigger),"--")</f>
        <v>--</v>
      </c>
      <c r="V352" s="4" t="str">
        <f t="shared" ca="1" si="37"/>
        <v/>
      </c>
      <c r="W352" s="4" t="e">
        <f ca="1"/>
        <v>#NAME?</v>
      </c>
      <c r="X352" s="4" t="str">
        <f ca="1">IFERROR(_xll.qlRateHelperQuoteName(W352,Trigger),"")</f>
        <v/>
      </c>
      <c r="Y352" s="888" t="str">
        <f ca="1">IFERROR(_xll.qlRateHelperRate(W352,Trigger),"")</f>
        <v/>
      </c>
      <c r="Z352" s="887"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6" t="e">
        <f ca="1"/>
        <v>#NAME?</v>
      </c>
    </row>
    <row r="353" spans="1:29" x14ac:dyDescent="0.2">
      <c r="A353" s="873" t="s">
        <v>410</v>
      </c>
      <c r="B353" s="875" t="s">
        <v>46</v>
      </c>
      <c r="C353" s="874" t="s">
        <v>36</v>
      </c>
      <c r="D353" s="874" t="s">
        <v>323</v>
      </c>
      <c r="E353" s="874" t="s">
        <v>322</v>
      </c>
      <c r="F353" s="874" t="s">
        <v>221</v>
      </c>
      <c r="G353" s="874" t="str">
        <f t="shared" si="40"/>
        <v>Euribor6M</v>
      </c>
      <c r="H353" s="873" t="str">
        <f t="shared" si="41"/>
        <v>EUR20F10Y_Quote</v>
      </c>
      <c r="I353" s="876">
        <v>0</v>
      </c>
      <c r="J353" s="43"/>
      <c r="L353" s="894" t="str">
        <f t="shared" si="38"/>
        <v>FwdSw</v>
      </c>
      <c r="M353" s="890" t="str">
        <f t="shared" si="39"/>
        <v>--</v>
      </c>
      <c r="N353" s="893" t="str">
        <f ca="1">IFERROR(_xll.qlRateHelperQuoteName(M353,Trigger),"--")</f>
        <v>--</v>
      </c>
      <c r="O353" s="892" t="str">
        <f ca="1">IFERROR(_xll.qlRateHelperQuoteValue($M353,Trigger),"--")</f>
        <v>--</v>
      </c>
      <c r="P353" s="969" t="b">
        <v>0</v>
      </c>
      <c r="Q353" s="890">
        <v>50</v>
      </c>
      <c r="R353" s="890">
        <v>1</v>
      </c>
      <c r="S353" s="889" t="str">
        <f ca="1">IFERROR(_xll.qlRateHelperEarliestDate(M353,Trigger),"--")</f>
        <v>--</v>
      </c>
      <c r="T353" s="889" t="str">
        <f ca="1">IFERROR(_xll.qlRateHelperPillarDate(M353,Trigger),"--")</f>
        <v>--</v>
      </c>
      <c r="V353" s="4" t="str">
        <f t="shared" ca="1" si="37"/>
        <v/>
      </c>
      <c r="W353" s="4" t="e">
        <f ca="1"/>
        <v>#NAME?</v>
      </c>
      <c r="X353" s="4" t="str">
        <f ca="1">IFERROR(_xll.qlRateHelperQuoteName(W353,Trigger),"")</f>
        <v/>
      </c>
      <c r="Y353" s="888" t="str">
        <f ca="1">IFERROR(_xll.qlRateHelperRate(W353,Trigger),"")</f>
        <v/>
      </c>
      <c r="Z353" s="887"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6" t="e">
        <f ca="1"/>
        <v>#NAME?</v>
      </c>
    </row>
    <row r="354" spans="1:29" x14ac:dyDescent="0.2">
      <c r="A354" s="873" t="s">
        <v>410</v>
      </c>
      <c r="B354" s="875" t="s">
        <v>45</v>
      </c>
      <c r="C354" s="874" t="s">
        <v>36</v>
      </c>
      <c r="D354" s="874" t="s">
        <v>323</v>
      </c>
      <c r="E354" s="874" t="s">
        <v>322</v>
      </c>
      <c r="F354" s="874" t="s">
        <v>221</v>
      </c>
      <c r="G354" s="874" t="str">
        <f t="shared" si="40"/>
        <v>Euribor6M</v>
      </c>
      <c r="H354" s="873" t="str">
        <f t="shared" si="41"/>
        <v>EUR20F11Y_Quote</v>
      </c>
      <c r="I354" s="876">
        <v>0</v>
      </c>
      <c r="J354" s="43"/>
      <c r="L354" s="894" t="str">
        <f t="shared" si="38"/>
        <v>FwdSw</v>
      </c>
      <c r="M354" s="890" t="str">
        <f t="shared" si="39"/>
        <v>--</v>
      </c>
      <c r="N354" s="893" t="str">
        <f ca="1">IFERROR(_xll.qlRateHelperQuoteName(M354,Trigger),"--")</f>
        <v>--</v>
      </c>
      <c r="O354" s="892" t="str">
        <f ca="1">IFERROR(_xll.qlRateHelperQuoteValue($M354,Trigger),"--")</f>
        <v>--</v>
      </c>
      <c r="P354" s="969" t="b">
        <v>0</v>
      </c>
      <c r="Q354" s="890">
        <v>50</v>
      </c>
      <c r="R354" s="890">
        <v>1</v>
      </c>
      <c r="S354" s="889" t="str">
        <f ca="1">IFERROR(_xll.qlRateHelperEarliestDate(M354,Trigger),"--")</f>
        <v>--</v>
      </c>
      <c r="T354" s="889" t="str">
        <f ca="1">IFERROR(_xll.qlRateHelperPillarDate(M354,Trigger),"--")</f>
        <v>--</v>
      </c>
      <c r="V354" s="4" t="str">
        <f t="shared" ca="1" si="37"/>
        <v/>
      </c>
      <c r="W354" s="4" t="e">
        <f ca="1"/>
        <v>#NAME?</v>
      </c>
      <c r="X354" s="4" t="str">
        <f ca="1">IFERROR(_xll.qlRateHelperQuoteName(W354,Trigger),"")</f>
        <v/>
      </c>
      <c r="Y354" s="888" t="str">
        <f ca="1">IFERROR(_xll.qlRateHelperRate(W354,Trigger),"")</f>
        <v/>
      </c>
      <c r="Z354" s="887"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6" t="e">
        <f ca="1"/>
        <v>#NAME?</v>
      </c>
    </row>
    <row r="355" spans="1:29" x14ac:dyDescent="0.2">
      <c r="A355" s="873" t="s">
        <v>410</v>
      </c>
      <c r="B355" s="875" t="s">
        <v>44</v>
      </c>
      <c r="C355" s="874" t="s">
        <v>36</v>
      </c>
      <c r="D355" s="874" t="s">
        <v>323</v>
      </c>
      <c r="E355" s="874" t="s">
        <v>322</v>
      </c>
      <c r="F355" s="874" t="s">
        <v>221</v>
      </c>
      <c r="G355" s="874" t="str">
        <f t="shared" si="40"/>
        <v>Euribor6M</v>
      </c>
      <c r="H355" s="873" t="str">
        <f t="shared" si="41"/>
        <v>EUR20F12Y_Quote</v>
      </c>
      <c r="I355" s="876">
        <v>0</v>
      </c>
      <c r="J355" s="43"/>
      <c r="L355" s="894" t="str">
        <f t="shared" si="38"/>
        <v>FwdSw</v>
      </c>
      <c r="M355" s="890" t="str">
        <f t="shared" si="39"/>
        <v>--</v>
      </c>
      <c r="N355" s="893" t="str">
        <f ca="1">IFERROR(_xll.qlRateHelperQuoteName(M355,Trigger),"--")</f>
        <v>--</v>
      </c>
      <c r="O355" s="892" t="str">
        <f ca="1">IFERROR(_xll.qlRateHelperQuoteValue($M355,Trigger),"--")</f>
        <v>--</v>
      </c>
      <c r="P355" s="969" t="b">
        <v>0</v>
      </c>
      <c r="Q355" s="890">
        <v>50</v>
      </c>
      <c r="R355" s="890">
        <v>1</v>
      </c>
      <c r="S355" s="889" t="str">
        <f ca="1">IFERROR(_xll.qlRateHelperEarliestDate(M355,Trigger),"--")</f>
        <v>--</v>
      </c>
      <c r="T355" s="889" t="str">
        <f ca="1">IFERROR(_xll.qlRateHelperPillarDate(M355,Trigger),"--")</f>
        <v>--</v>
      </c>
      <c r="V355" s="4" t="str">
        <f t="shared" ca="1" si="37"/>
        <v/>
      </c>
      <c r="W355" s="4" t="e">
        <f ca="1"/>
        <v>#NAME?</v>
      </c>
      <c r="X355" s="4" t="str">
        <f ca="1">IFERROR(_xll.qlRateHelperQuoteName(W355,Trigger),"")</f>
        <v/>
      </c>
      <c r="Y355" s="888" t="str">
        <f ca="1">IFERROR(_xll.qlRateHelperRate(W355,Trigger),"")</f>
        <v/>
      </c>
      <c r="Z355" s="887"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6" t="e">
        <f ca="1"/>
        <v>#NAME?</v>
      </c>
    </row>
    <row r="356" spans="1:29" x14ac:dyDescent="0.2">
      <c r="A356" s="873" t="s">
        <v>410</v>
      </c>
      <c r="B356" s="875" t="s">
        <v>43</v>
      </c>
      <c r="C356" s="874" t="s">
        <v>36</v>
      </c>
      <c r="D356" s="874" t="s">
        <v>323</v>
      </c>
      <c r="E356" s="874" t="s">
        <v>322</v>
      </c>
      <c r="F356" s="874" t="s">
        <v>221</v>
      </c>
      <c r="G356" s="874" t="str">
        <f t="shared" si="40"/>
        <v>Euribor6M</v>
      </c>
      <c r="H356" s="873" t="str">
        <f t="shared" si="41"/>
        <v>EUR20F13Y_Quote</v>
      </c>
      <c r="I356" s="876">
        <v>0</v>
      </c>
      <c r="J356" s="43"/>
      <c r="L356" s="894" t="str">
        <f t="shared" si="38"/>
        <v>FwdSw</v>
      </c>
      <c r="M356" s="890" t="str">
        <f t="shared" si="39"/>
        <v>--</v>
      </c>
      <c r="N356" s="893" t="str">
        <f ca="1">IFERROR(_xll.qlRateHelperQuoteName(M356,Trigger),"--")</f>
        <v>--</v>
      </c>
      <c r="O356" s="892" t="str">
        <f ca="1">IFERROR(_xll.qlRateHelperQuoteValue($M356,Trigger),"--")</f>
        <v>--</v>
      </c>
      <c r="P356" s="969" t="b">
        <v>0</v>
      </c>
      <c r="Q356" s="890">
        <v>50</v>
      </c>
      <c r="R356" s="890">
        <v>1</v>
      </c>
      <c r="S356" s="889" t="str">
        <f ca="1">IFERROR(_xll.qlRateHelperEarliestDate(M356,Trigger),"--")</f>
        <v>--</v>
      </c>
      <c r="T356" s="889" t="str">
        <f ca="1">IFERROR(_xll.qlRateHelperPillarDate(M356,Trigger),"--")</f>
        <v>--</v>
      </c>
      <c r="V356" s="4" t="str">
        <f t="shared" ca="1" si="37"/>
        <v/>
      </c>
      <c r="W356" s="4" t="e">
        <f ca="1"/>
        <v>#NAME?</v>
      </c>
      <c r="X356" s="4" t="str">
        <f ca="1">IFERROR(_xll.qlRateHelperQuoteName(W356,Trigger),"")</f>
        <v/>
      </c>
      <c r="Y356" s="888" t="str">
        <f ca="1">IFERROR(_xll.qlRateHelperRate(W356,Trigger),"")</f>
        <v/>
      </c>
      <c r="Z356" s="887"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6" t="e">
        <f ca="1"/>
        <v>#NAME?</v>
      </c>
    </row>
    <row r="357" spans="1:29" x14ac:dyDescent="0.2">
      <c r="A357" s="873" t="s">
        <v>410</v>
      </c>
      <c r="B357" s="875" t="s">
        <v>42</v>
      </c>
      <c r="C357" s="874" t="s">
        <v>36</v>
      </c>
      <c r="D357" s="874" t="s">
        <v>323</v>
      </c>
      <c r="E357" s="874" t="s">
        <v>322</v>
      </c>
      <c r="F357" s="874" t="s">
        <v>221</v>
      </c>
      <c r="G357" s="874" t="str">
        <f t="shared" si="40"/>
        <v>Euribor6M</v>
      </c>
      <c r="H357" s="873" t="str">
        <f t="shared" si="41"/>
        <v>EUR20F14Y_Quote</v>
      </c>
      <c r="I357" s="876">
        <v>0</v>
      </c>
      <c r="J357" s="43"/>
      <c r="L357" s="894" t="str">
        <f t="shared" si="38"/>
        <v>FwdSw</v>
      </c>
      <c r="M357" s="890" t="str">
        <f t="shared" si="39"/>
        <v>--</v>
      </c>
      <c r="N357" s="893" t="str">
        <f ca="1">IFERROR(_xll.qlRateHelperQuoteName(M357,Trigger),"--")</f>
        <v>--</v>
      </c>
      <c r="O357" s="892" t="str">
        <f ca="1">IFERROR(_xll.qlRateHelperQuoteValue($M357,Trigger),"--")</f>
        <v>--</v>
      </c>
      <c r="P357" s="969" t="b">
        <v>0</v>
      </c>
      <c r="Q357" s="890">
        <v>50</v>
      </c>
      <c r="R357" s="890">
        <v>1</v>
      </c>
      <c r="S357" s="889" t="str">
        <f ca="1">IFERROR(_xll.qlRateHelperEarliestDate(M357,Trigger),"--")</f>
        <v>--</v>
      </c>
      <c r="T357" s="889" t="str">
        <f ca="1">IFERROR(_xll.qlRateHelperPillarDate(M357,Trigger),"--")</f>
        <v>--</v>
      </c>
      <c r="V357" s="4" t="str">
        <f t="shared" ca="1" si="37"/>
        <v/>
      </c>
      <c r="W357" s="4" t="e">
        <f ca="1"/>
        <v>#NAME?</v>
      </c>
      <c r="X357" s="4" t="str">
        <f ca="1">IFERROR(_xll.qlRateHelperQuoteName(W357,Trigger),"")</f>
        <v/>
      </c>
      <c r="Y357" s="888" t="str">
        <f ca="1">IFERROR(_xll.qlRateHelperRate(W357,Trigger),"")</f>
        <v/>
      </c>
      <c r="Z357" s="887"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6" t="e">
        <f ca="1"/>
        <v>#NAME?</v>
      </c>
    </row>
    <row r="358" spans="1:29" x14ac:dyDescent="0.2">
      <c r="A358" s="873" t="s">
        <v>410</v>
      </c>
      <c r="B358" s="875" t="s">
        <v>41</v>
      </c>
      <c r="C358" s="874" t="s">
        <v>36</v>
      </c>
      <c r="D358" s="874" t="s">
        <v>323</v>
      </c>
      <c r="E358" s="874" t="s">
        <v>322</v>
      </c>
      <c r="F358" s="874" t="s">
        <v>221</v>
      </c>
      <c r="G358" s="874" t="str">
        <f t="shared" si="40"/>
        <v>Euribor6M</v>
      </c>
      <c r="H358" s="873" t="str">
        <f t="shared" si="41"/>
        <v>EUR20F15Y_Quote</v>
      </c>
      <c r="I358" s="876">
        <v>0</v>
      </c>
      <c r="J358" s="43"/>
      <c r="L358" s="894" t="str">
        <f t="shared" si="38"/>
        <v>FwdSw</v>
      </c>
      <c r="M358" s="890" t="str">
        <f t="shared" si="39"/>
        <v>--</v>
      </c>
      <c r="N358" s="893" t="str">
        <f ca="1">IFERROR(_xll.qlRateHelperQuoteName(M358,Trigger),"--")</f>
        <v>--</v>
      </c>
      <c r="O358" s="892" t="str">
        <f ca="1">IFERROR(_xll.qlRateHelperQuoteValue($M358,Trigger),"--")</f>
        <v>--</v>
      </c>
      <c r="P358" s="969" t="b">
        <v>0</v>
      </c>
      <c r="Q358" s="890">
        <v>50</v>
      </c>
      <c r="R358" s="890">
        <v>1</v>
      </c>
      <c r="S358" s="889" t="str">
        <f ca="1">IFERROR(_xll.qlRateHelperEarliestDate(M358,Trigger),"--")</f>
        <v>--</v>
      </c>
      <c r="T358" s="889" t="str">
        <f ca="1">IFERROR(_xll.qlRateHelperPillarDate(M358,Trigger),"--")</f>
        <v>--</v>
      </c>
      <c r="V358" s="4" t="str">
        <f t="shared" ca="1" si="37"/>
        <v/>
      </c>
      <c r="W358" s="4" t="e">
        <f ca="1"/>
        <v>#NAME?</v>
      </c>
      <c r="X358" s="4" t="str">
        <f ca="1">IFERROR(_xll.qlRateHelperQuoteName(W358,Trigger),"")</f>
        <v/>
      </c>
      <c r="Y358" s="888" t="str">
        <f ca="1">IFERROR(_xll.qlRateHelperRate(W358,Trigger),"")</f>
        <v/>
      </c>
      <c r="Z358" s="887"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6" t="e">
        <f ca="1"/>
        <v>#NAME?</v>
      </c>
    </row>
    <row r="359" spans="1:29" x14ac:dyDescent="0.2">
      <c r="A359" s="873" t="s">
        <v>410</v>
      </c>
      <c r="B359" s="875" t="s">
        <v>36</v>
      </c>
      <c r="C359" s="874" t="s">
        <v>36</v>
      </c>
      <c r="D359" s="874" t="s">
        <v>323</v>
      </c>
      <c r="E359" s="874" t="s">
        <v>322</v>
      </c>
      <c r="F359" s="874" t="s">
        <v>221</v>
      </c>
      <c r="G359" s="874" t="str">
        <f t="shared" si="40"/>
        <v>Euribor6M</v>
      </c>
      <c r="H359" s="873" t="str">
        <f t="shared" si="41"/>
        <v>EUR20F20Y_Quote</v>
      </c>
      <c r="I359" s="876">
        <v>0</v>
      </c>
      <c r="J359" s="43"/>
      <c r="L359" s="894" t="str">
        <f t="shared" si="38"/>
        <v>FwdSw</v>
      </c>
      <c r="M359" s="890" t="str">
        <f t="shared" si="39"/>
        <v>--</v>
      </c>
      <c r="N359" s="893" t="str">
        <f ca="1">IFERROR(_xll.qlRateHelperQuoteName(M359,Trigger),"--")</f>
        <v>--</v>
      </c>
      <c r="O359" s="892" t="str">
        <f ca="1">IFERROR(_xll.qlRateHelperQuoteValue($M359,Trigger),"--")</f>
        <v>--</v>
      </c>
      <c r="P359" s="969" t="b">
        <v>0</v>
      </c>
      <c r="Q359" s="890">
        <v>50</v>
      </c>
      <c r="R359" s="890">
        <v>1</v>
      </c>
      <c r="S359" s="889" t="str">
        <f ca="1">IFERROR(_xll.qlRateHelperEarliestDate(M359,Trigger),"--")</f>
        <v>--</v>
      </c>
      <c r="T359" s="889" t="str">
        <f ca="1">IFERROR(_xll.qlRateHelperPillarDate(M359,Trigger),"--")</f>
        <v>--</v>
      </c>
      <c r="V359" s="4" t="str">
        <f t="shared" ca="1" si="37"/>
        <v/>
      </c>
      <c r="W359" s="4" t="e">
        <f ca="1"/>
        <v>#NAME?</v>
      </c>
      <c r="X359" s="4" t="str">
        <f ca="1">IFERROR(_xll.qlRateHelperQuoteName(W359,Trigger),"")</f>
        <v/>
      </c>
      <c r="Y359" s="888" t="str">
        <f ca="1">IFERROR(_xll.qlRateHelperRate(W359,Trigger),"")</f>
        <v/>
      </c>
      <c r="Z359" s="887"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6" t="e">
        <f ca="1"/>
        <v>#NAME?</v>
      </c>
    </row>
    <row r="360" spans="1:29" x14ac:dyDescent="0.2">
      <c r="A360" s="873" t="s">
        <v>410</v>
      </c>
      <c r="B360" s="875" t="s">
        <v>31</v>
      </c>
      <c r="C360" s="874" t="s">
        <v>36</v>
      </c>
      <c r="D360" s="874" t="s">
        <v>323</v>
      </c>
      <c r="E360" s="874" t="s">
        <v>322</v>
      </c>
      <c r="F360" s="874" t="s">
        <v>221</v>
      </c>
      <c r="G360" s="874" t="str">
        <f t="shared" si="40"/>
        <v>Euribor6M</v>
      </c>
      <c r="H360" s="873" t="str">
        <f t="shared" si="41"/>
        <v>EUR20F25Y_Quote</v>
      </c>
      <c r="I360" s="876">
        <v>0</v>
      </c>
      <c r="J360" s="43"/>
      <c r="L360" s="894" t="str">
        <f t="shared" si="38"/>
        <v>FwdSw</v>
      </c>
      <c r="M360" s="890" t="str">
        <f t="shared" si="39"/>
        <v>--</v>
      </c>
      <c r="N360" s="893" t="str">
        <f ca="1">IFERROR(_xll.qlRateHelperQuoteName(M360,Trigger),"--")</f>
        <v>--</v>
      </c>
      <c r="O360" s="892" t="str">
        <f ca="1">IFERROR(_xll.qlRateHelperQuoteValue($M360,Trigger),"--")</f>
        <v>--</v>
      </c>
      <c r="P360" s="969" t="b">
        <v>0</v>
      </c>
      <c r="Q360" s="890">
        <v>50</v>
      </c>
      <c r="R360" s="890">
        <v>1</v>
      </c>
      <c r="S360" s="889" t="str">
        <f ca="1">IFERROR(_xll.qlRateHelperEarliestDate(M360,Trigger),"--")</f>
        <v>--</v>
      </c>
      <c r="T360" s="889" t="str">
        <f ca="1">IFERROR(_xll.qlRateHelperPillarDate(M360,Trigger),"--")</f>
        <v>--</v>
      </c>
      <c r="V360" s="4" t="str">
        <f t="shared" ca="1" si="37"/>
        <v/>
      </c>
      <c r="W360" s="4" t="e">
        <f ca="1"/>
        <v>#NAME?</v>
      </c>
      <c r="X360" s="4" t="str">
        <f ca="1">IFERROR(_xll.qlRateHelperQuoteName(W360,Trigger),"")</f>
        <v/>
      </c>
      <c r="Y360" s="888" t="str">
        <f ca="1">IFERROR(_xll.qlRateHelperRate(W360,Trigger),"")</f>
        <v/>
      </c>
      <c r="Z360" s="887"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6" t="e">
        <f ca="1"/>
        <v>#NAME?</v>
      </c>
    </row>
    <row r="361" spans="1:29" x14ac:dyDescent="0.2">
      <c r="A361" s="869" t="s">
        <v>410</v>
      </c>
      <c r="B361" s="871" t="s">
        <v>26</v>
      </c>
      <c r="C361" s="870" t="s">
        <v>36</v>
      </c>
      <c r="D361" s="870" t="s">
        <v>323</v>
      </c>
      <c r="E361" s="870" t="s">
        <v>322</v>
      </c>
      <c r="F361" s="870" t="s">
        <v>221</v>
      </c>
      <c r="G361" s="870" t="str">
        <f t="shared" si="40"/>
        <v>Euribor6M</v>
      </c>
      <c r="H361" s="869" t="str">
        <f t="shared" si="41"/>
        <v>EUR20F30Y_Quote</v>
      </c>
      <c r="I361" s="984">
        <v>0</v>
      </c>
      <c r="J361" s="38"/>
      <c r="L361" s="894" t="str">
        <f t="shared" si="38"/>
        <v>FwdSw</v>
      </c>
      <c r="M361" s="890" t="str">
        <f t="shared" si="39"/>
        <v>--</v>
      </c>
      <c r="N361" s="893" t="str">
        <f ca="1">IFERROR(_xll.qlRateHelperQuoteName(M361,Trigger),"--")</f>
        <v>--</v>
      </c>
      <c r="O361" s="892" t="str">
        <f ca="1">IFERROR(_xll.qlRateHelperQuoteValue($M361,Trigger),"--")</f>
        <v>--</v>
      </c>
      <c r="P361" s="969" t="b">
        <v>0</v>
      </c>
      <c r="Q361" s="890">
        <v>50</v>
      </c>
      <c r="R361" s="890">
        <v>1</v>
      </c>
      <c r="S361" s="889" t="str">
        <f ca="1">IFERROR(_xll.qlRateHelperEarliestDate(M361,Trigger),"--")</f>
        <v>--</v>
      </c>
      <c r="T361" s="889" t="str">
        <f ca="1">IFERROR(_xll.qlRateHelperPillarDate(M361,Trigger),"--")</f>
        <v>--</v>
      </c>
      <c r="V361" s="4" t="str">
        <f t="shared" ca="1" si="37"/>
        <v/>
      </c>
      <c r="W361" s="4" t="e">
        <f ca="1"/>
        <v>#NAME?</v>
      </c>
      <c r="X361" s="4" t="str">
        <f ca="1">IFERROR(_xll.qlRateHelperQuoteName(W361,Trigger),"")</f>
        <v/>
      </c>
      <c r="Y361" s="888" t="str">
        <f ca="1">IFERROR(_xll.qlRateHelperRate(W361,Trigger),"")</f>
        <v/>
      </c>
      <c r="Z361" s="887"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6" t="e">
        <f ca="1"/>
        <v>#NAME?</v>
      </c>
    </row>
    <row r="362" spans="1:29" x14ac:dyDescent="0.2">
      <c r="A362" s="873" t="s">
        <v>410</v>
      </c>
      <c r="B362" s="875" t="s">
        <v>58</v>
      </c>
      <c r="C362" s="874" t="s">
        <v>31</v>
      </c>
      <c r="D362" s="874" t="s">
        <v>323</v>
      </c>
      <c r="E362" s="874" t="s">
        <v>322</v>
      </c>
      <c r="F362" s="874" t="s">
        <v>221</v>
      </c>
      <c r="G362" s="874" t="str">
        <f t="shared" si="40"/>
        <v>Euribor6M</v>
      </c>
      <c r="H362" s="873" t="str">
        <f t="shared" si="41"/>
        <v>EUR25F1Y_Quote</v>
      </c>
      <c r="I362" s="876">
        <v>0</v>
      </c>
      <c r="J362" s="43"/>
      <c r="L362" s="894" t="str">
        <f t="shared" si="38"/>
        <v>FwdSw</v>
      </c>
      <c r="M362" s="890" t="str">
        <f t="shared" si="39"/>
        <v>--</v>
      </c>
      <c r="N362" s="893" t="str">
        <f ca="1">IFERROR(_xll.qlRateHelperQuoteName(M362,Trigger),"--")</f>
        <v>--</v>
      </c>
      <c r="O362" s="892" t="str">
        <f ca="1">IFERROR(_xll.qlRateHelperQuoteValue($M362,Trigger),"--")</f>
        <v>--</v>
      </c>
      <c r="P362" s="969" t="b">
        <v>0</v>
      </c>
      <c r="Q362" s="890">
        <v>50</v>
      </c>
      <c r="R362" s="890">
        <v>1</v>
      </c>
      <c r="S362" s="889" t="str">
        <f ca="1">IFERROR(_xll.qlRateHelperEarliestDate(M362,Trigger),"--")</f>
        <v>--</v>
      </c>
      <c r="T362" s="889" t="str">
        <f ca="1">IFERROR(_xll.qlRateHelperPillarDate(M362,Trigger),"--")</f>
        <v>--</v>
      </c>
      <c r="V362" s="4" t="str">
        <f t="shared" ca="1" si="37"/>
        <v/>
      </c>
      <c r="W362" s="4" t="e">
        <f ca="1"/>
        <v>#NAME?</v>
      </c>
      <c r="X362" s="4" t="str">
        <f ca="1">IFERROR(_xll.qlRateHelperQuoteName(W362,Trigger),"")</f>
        <v/>
      </c>
      <c r="Y362" s="888" t="str">
        <f ca="1">IFERROR(_xll.qlRateHelperRate(W362,Trigger),"")</f>
        <v/>
      </c>
      <c r="Z362" s="887"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6" t="e">
        <f ca="1"/>
        <v>#NAME?</v>
      </c>
    </row>
    <row r="363" spans="1:29" x14ac:dyDescent="0.2">
      <c r="A363" s="873" t="s">
        <v>410</v>
      </c>
      <c r="B363" s="875" t="s">
        <v>54</v>
      </c>
      <c r="C363" s="874" t="s">
        <v>31</v>
      </c>
      <c r="D363" s="874" t="s">
        <v>323</v>
      </c>
      <c r="E363" s="874" t="s">
        <v>322</v>
      </c>
      <c r="F363" s="874" t="s">
        <v>221</v>
      </c>
      <c r="G363" s="874" t="str">
        <f t="shared" si="40"/>
        <v>Euribor6M</v>
      </c>
      <c r="H363" s="873" t="str">
        <f t="shared" si="41"/>
        <v>EUR25F2Y_Quote</v>
      </c>
      <c r="I363" s="876">
        <v>0</v>
      </c>
      <c r="J363" s="43"/>
      <c r="L363" s="894" t="str">
        <f t="shared" si="38"/>
        <v>FwdSw</v>
      </c>
      <c r="M363" s="890" t="str">
        <f t="shared" si="39"/>
        <v>--</v>
      </c>
      <c r="N363" s="893" t="str">
        <f ca="1">IFERROR(_xll.qlRateHelperQuoteName(M363,Trigger),"--")</f>
        <v>--</v>
      </c>
      <c r="O363" s="892" t="str">
        <f ca="1">IFERROR(_xll.qlRateHelperQuoteValue($M363,Trigger),"--")</f>
        <v>--</v>
      </c>
      <c r="P363" s="969" t="b">
        <v>0</v>
      </c>
      <c r="Q363" s="890">
        <v>50</v>
      </c>
      <c r="R363" s="890">
        <v>1</v>
      </c>
      <c r="S363" s="889" t="str">
        <f ca="1">IFERROR(_xll.qlRateHelperEarliestDate(M363,Trigger),"--")</f>
        <v>--</v>
      </c>
      <c r="T363" s="889" t="str">
        <f ca="1">IFERROR(_xll.qlRateHelperPillarDate(M363,Trigger),"--")</f>
        <v>--</v>
      </c>
      <c r="V363" s="4" t="str">
        <f t="shared" ca="1" si="37"/>
        <v/>
      </c>
      <c r="W363" s="4" t="e">
        <f ca="1"/>
        <v>#NAME?</v>
      </c>
      <c r="X363" s="4" t="str">
        <f ca="1">IFERROR(_xll.qlRateHelperQuoteName(W363,Trigger),"")</f>
        <v/>
      </c>
      <c r="Y363" s="888" t="str">
        <f ca="1">IFERROR(_xll.qlRateHelperRate(W363,Trigger),"")</f>
        <v/>
      </c>
      <c r="Z363" s="887"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6" t="e">
        <f ca="1"/>
        <v>#NAME?</v>
      </c>
    </row>
    <row r="364" spans="1:29" x14ac:dyDescent="0.2">
      <c r="A364" s="873" t="s">
        <v>410</v>
      </c>
      <c r="B364" s="875" t="s">
        <v>53</v>
      </c>
      <c r="C364" s="874" t="s">
        <v>31</v>
      </c>
      <c r="D364" s="874" t="s">
        <v>323</v>
      </c>
      <c r="E364" s="874" t="s">
        <v>322</v>
      </c>
      <c r="F364" s="874" t="s">
        <v>221</v>
      </c>
      <c r="G364" s="874" t="str">
        <f t="shared" si="40"/>
        <v>Euribor6M</v>
      </c>
      <c r="H364" s="873" t="str">
        <f t="shared" si="41"/>
        <v>EUR25F3Y_Quote</v>
      </c>
      <c r="I364" s="876">
        <v>0</v>
      </c>
      <c r="J364" s="43"/>
      <c r="L364" s="894" t="str">
        <f t="shared" si="38"/>
        <v>FwdSw</v>
      </c>
      <c r="M364" s="890" t="str">
        <f t="shared" si="39"/>
        <v>--</v>
      </c>
      <c r="N364" s="893" t="str">
        <f ca="1">IFERROR(_xll.qlRateHelperQuoteName(M364,Trigger),"--")</f>
        <v>--</v>
      </c>
      <c r="O364" s="892" t="str">
        <f ca="1">IFERROR(_xll.qlRateHelperQuoteValue($M364,Trigger),"--")</f>
        <v>--</v>
      </c>
      <c r="P364" s="969" t="b">
        <v>0</v>
      </c>
      <c r="Q364" s="890">
        <v>50</v>
      </c>
      <c r="R364" s="890">
        <v>1</v>
      </c>
      <c r="S364" s="889" t="str">
        <f ca="1">IFERROR(_xll.qlRateHelperEarliestDate(M364,Trigger),"--")</f>
        <v>--</v>
      </c>
      <c r="T364" s="889" t="str">
        <f ca="1">IFERROR(_xll.qlRateHelperPillarDate(M364,Trigger),"--")</f>
        <v>--</v>
      </c>
      <c r="V364" s="4" t="str">
        <f t="shared" ca="1" si="37"/>
        <v/>
      </c>
      <c r="W364" s="4" t="e">
        <f ca="1"/>
        <v>#NAME?</v>
      </c>
      <c r="X364" s="4" t="str">
        <f ca="1">IFERROR(_xll.qlRateHelperQuoteName(W364,Trigger),"")</f>
        <v/>
      </c>
      <c r="Y364" s="888" t="str">
        <f ca="1">IFERROR(_xll.qlRateHelperRate(W364,Trigger),"")</f>
        <v/>
      </c>
      <c r="Z364" s="887"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6" t="e">
        <f ca="1"/>
        <v>#NAME?</v>
      </c>
    </row>
    <row r="365" spans="1:29" x14ac:dyDescent="0.2">
      <c r="A365" s="873" t="s">
        <v>410</v>
      </c>
      <c r="B365" s="875" t="s">
        <v>52</v>
      </c>
      <c r="C365" s="874" t="s">
        <v>31</v>
      </c>
      <c r="D365" s="874" t="s">
        <v>323</v>
      </c>
      <c r="E365" s="874" t="s">
        <v>322</v>
      </c>
      <c r="F365" s="874" t="s">
        <v>221</v>
      </c>
      <c r="G365" s="874" t="str">
        <f t="shared" si="40"/>
        <v>Euribor6M</v>
      </c>
      <c r="H365" s="873" t="str">
        <f t="shared" si="41"/>
        <v>EUR25F4Y_Quote</v>
      </c>
      <c r="I365" s="876">
        <v>0</v>
      </c>
      <c r="J365" s="43"/>
      <c r="L365" s="894" t="str">
        <f t="shared" si="38"/>
        <v>FwdSw</v>
      </c>
      <c r="M365" s="890" t="str">
        <f t="shared" si="39"/>
        <v>--</v>
      </c>
      <c r="N365" s="893" t="str">
        <f ca="1">IFERROR(_xll.qlRateHelperQuoteName(M365,Trigger),"--")</f>
        <v>--</v>
      </c>
      <c r="O365" s="892" t="str">
        <f ca="1">IFERROR(_xll.qlRateHelperQuoteValue($M365,Trigger),"--")</f>
        <v>--</v>
      </c>
      <c r="P365" s="969" t="b">
        <v>0</v>
      </c>
      <c r="Q365" s="890">
        <v>50</v>
      </c>
      <c r="R365" s="890">
        <v>1</v>
      </c>
      <c r="S365" s="889" t="str">
        <f ca="1">IFERROR(_xll.qlRateHelperEarliestDate(M365,Trigger),"--")</f>
        <v>--</v>
      </c>
      <c r="T365" s="889" t="str">
        <f ca="1">IFERROR(_xll.qlRateHelperPillarDate(M365,Trigger),"--")</f>
        <v>--</v>
      </c>
      <c r="V365" s="4" t="str">
        <f t="shared" ca="1" si="37"/>
        <v/>
      </c>
      <c r="W365" s="4" t="e">
        <f ca="1"/>
        <v>#NAME?</v>
      </c>
      <c r="X365" s="4" t="str">
        <f ca="1">IFERROR(_xll.qlRateHelperQuoteName(W365,Trigger),"")</f>
        <v/>
      </c>
      <c r="Y365" s="888" t="str">
        <f ca="1">IFERROR(_xll.qlRateHelperRate(W365,Trigger),"")</f>
        <v/>
      </c>
      <c r="Z365" s="887"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6" t="e">
        <f ca="1"/>
        <v>#NAME?</v>
      </c>
    </row>
    <row r="366" spans="1:29" x14ac:dyDescent="0.2">
      <c r="A366" s="873" t="s">
        <v>410</v>
      </c>
      <c r="B366" s="875" t="s">
        <v>51</v>
      </c>
      <c r="C366" s="874" t="s">
        <v>31</v>
      </c>
      <c r="D366" s="874" t="s">
        <v>323</v>
      </c>
      <c r="E366" s="874" t="s">
        <v>322</v>
      </c>
      <c r="F366" s="874" t="s">
        <v>221</v>
      </c>
      <c r="G366" s="874" t="str">
        <f t="shared" si="40"/>
        <v>Euribor6M</v>
      </c>
      <c r="H366" s="873" t="str">
        <f t="shared" si="41"/>
        <v>EUR25F5Y_Quote</v>
      </c>
      <c r="I366" s="876">
        <v>0</v>
      </c>
      <c r="J366" s="43"/>
      <c r="L366" s="894" t="str">
        <f t="shared" si="38"/>
        <v>FwdSw</v>
      </c>
      <c r="M366" s="890" t="str">
        <f t="shared" si="39"/>
        <v>--</v>
      </c>
      <c r="N366" s="893" t="str">
        <f ca="1">IFERROR(_xll.qlRateHelperQuoteName(M366,Trigger),"--")</f>
        <v>--</v>
      </c>
      <c r="O366" s="892" t="str">
        <f ca="1">IFERROR(_xll.qlRateHelperQuoteValue($M366,Trigger),"--")</f>
        <v>--</v>
      </c>
      <c r="P366" s="969" t="b">
        <v>0</v>
      </c>
      <c r="Q366" s="890">
        <v>50</v>
      </c>
      <c r="R366" s="890">
        <v>1</v>
      </c>
      <c r="S366" s="889" t="str">
        <f ca="1">IFERROR(_xll.qlRateHelperEarliestDate(M366,Trigger),"--")</f>
        <v>--</v>
      </c>
      <c r="T366" s="889" t="str">
        <f ca="1">IFERROR(_xll.qlRateHelperPillarDate(M366,Trigger),"--")</f>
        <v>--</v>
      </c>
      <c r="V366" s="4" t="str">
        <f t="shared" ca="1" si="37"/>
        <v/>
      </c>
      <c r="W366" s="4" t="e">
        <f ca="1"/>
        <v>#NAME?</v>
      </c>
      <c r="X366" s="4" t="str">
        <f ca="1">IFERROR(_xll.qlRateHelperQuoteName(W366,Trigger),"")</f>
        <v/>
      </c>
      <c r="Y366" s="888" t="str">
        <f ca="1">IFERROR(_xll.qlRateHelperRate(W366,Trigger),"")</f>
        <v/>
      </c>
      <c r="Z366" s="887"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6" t="e">
        <f ca="1"/>
        <v>#NAME?</v>
      </c>
    </row>
    <row r="367" spans="1:29" x14ac:dyDescent="0.2">
      <c r="A367" s="873" t="s">
        <v>410</v>
      </c>
      <c r="B367" s="875" t="s">
        <v>50</v>
      </c>
      <c r="C367" s="874" t="s">
        <v>31</v>
      </c>
      <c r="D367" s="874" t="s">
        <v>323</v>
      </c>
      <c r="E367" s="874" t="s">
        <v>322</v>
      </c>
      <c r="F367" s="874" t="s">
        <v>221</v>
      </c>
      <c r="G367" s="874" t="str">
        <f t="shared" si="40"/>
        <v>Euribor6M</v>
      </c>
      <c r="H367" s="873" t="str">
        <f t="shared" si="41"/>
        <v>EUR25F6Y_Quote</v>
      </c>
      <c r="I367" s="876">
        <v>0</v>
      </c>
      <c r="J367" s="43"/>
      <c r="L367" s="894" t="str">
        <f t="shared" si="38"/>
        <v>FwdSw</v>
      </c>
      <c r="M367" s="890" t="str">
        <f t="shared" si="39"/>
        <v>--</v>
      </c>
      <c r="N367" s="893" t="str">
        <f ca="1">IFERROR(_xll.qlRateHelperQuoteName(M367,Trigger),"--")</f>
        <v>--</v>
      </c>
      <c r="O367" s="892" t="str">
        <f ca="1">IFERROR(_xll.qlRateHelperQuoteValue($M367,Trigger),"--")</f>
        <v>--</v>
      </c>
      <c r="P367" s="969" t="b">
        <v>0</v>
      </c>
      <c r="Q367" s="890">
        <v>50</v>
      </c>
      <c r="R367" s="890">
        <v>1</v>
      </c>
      <c r="S367" s="889" t="str">
        <f ca="1">IFERROR(_xll.qlRateHelperEarliestDate(M367,Trigger),"--")</f>
        <v>--</v>
      </c>
      <c r="T367" s="889" t="str">
        <f ca="1">IFERROR(_xll.qlRateHelperPillarDate(M367,Trigger),"--")</f>
        <v>--</v>
      </c>
      <c r="V367" s="4" t="str">
        <f t="shared" ca="1" si="37"/>
        <v/>
      </c>
      <c r="W367" s="4" t="e">
        <f ca="1"/>
        <v>#NAME?</v>
      </c>
      <c r="X367" s="4" t="str">
        <f ca="1">IFERROR(_xll.qlRateHelperQuoteName(W367,Trigger),"")</f>
        <v/>
      </c>
      <c r="Y367" s="888" t="str">
        <f ca="1">IFERROR(_xll.qlRateHelperRate(W367,Trigger),"")</f>
        <v/>
      </c>
      <c r="Z367" s="887"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6" t="e">
        <f ca="1"/>
        <v>#NAME?</v>
      </c>
    </row>
    <row r="368" spans="1:29" x14ac:dyDescent="0.2">
      <c r="A368" s="873" t="s">
        <v>410</v>
      </c>
      <c r="B368" s="875" t="s">
        <v>49</v>
      </c>
      <c r="C368" s="874" t="s">
        <v>31</v>
      </c>
      <c r="D368" s="874" t="s">
        <v>323</v>
      </c>
      <c r="E368" s="874" t="s">
        <v>322</v>
      </c>
      <c r="F368" s="874" t="s">
        <v>221</v>
      </c>
      <c r="G368" s="874" t="str">
        <f t="shared" si="40"/>
        <v>Euribor6M</v>
      </c>
      <c r="H368" s="873" t="str">
        <f t="shared" si="41"/>
        <v>EUR25F7Y_Quote</v>
      </c>
      <c r="I368" s="876">
        <v>0</v>
      </c>
      <c r="J368" s="43"/>
      <c r="L368" s="894" t="str">
        <f t="shared" si="38"/>
        <v>FwdSw</v>
      </c>
      <c r="M368" s="890" t="str">
        <f t="shared" si="39"/>
        <v>--</v>
      </c>
      <c r="N368" s="893" t="str">
        <f ca="1">IFERROR(_xll.qlRateHelperQuoteName(M368,Trigger),"--")</f>
        <v>--</v>
      </c>
      <c r="O368" s="892" t="str">
        <f ca="1">IFERROR(_xll.qlRateHelperQuoteValue($M368,Trigger),"--")</f>
        <v>--</v>
      </c>
      <c r="P368" s="969" t="b">
        <v>0</v>
      </c>
      <c r="Q368" s="890">
        <v>50</v>
      </c>
      <c r="R368" s="890">
        <v>1</v>
      </c>
      <c r="S368" s="889" t="str">
        <f ca="1">IFERROR(_xll.qlRateHelperEarliestDate(M368,Trigger),"--")</f>
        <v>--</v>
      </c>
      <c r="T368" s="889" t="str">
        <f ca="1">IFERROR(_xll.qlRateHelperPillarDate(M368,Trigger),"--")</f>
        <v>--</v>
      </c>
      <c r="V368" s="4" t="str">
        <f t="shared" ca="1" si="37"/>
        <v/>
      </c>
      <c r="W368" s="4" t="e">
        <f ca="1"/>
        <v>#NAME?</v>
      </c>
      <c r="X368" s="4" t="str">
        <f ca="1">IFERROR(_xll.qlRateHelperQuoteName(W368,Trigger),"")</f>
        <v/>
      </c>
      <c r="Y368" s="888" t="str">
        <f ca="1">IFERROR(_xll.qlRateHelperRate(W368,Trigger),"")</f>
        <v/>
      </c>
      <c r="Z368" s="887"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6" t="e">
        <f ca="1"/>
        <v>#NAME?</v>
      </c>
    </row>
    <row r="369" spans="1:29" x14ac:dyDescent="0.2">
      <c r="A369" s="873" t="s">
        <v>410</v>
      </c>
      <c r="B369" s="875" t="s">
        <v>48</v>
      </c>
      <c r="C369" s="874" t="s">
        <v>31</v>
      </c>
      <c r="D369" s="874" t="s">
        <v>323</v>
      </c>
      <c r="E369" s="874" t="s">
        <v>322</v>
      </c>
      <c r="F369" s="874" t="s">
        <v>221</v>
      </c>
      <c r="G369" s="874" t="str">
        <f t="shared" si="40"/>
        <v>Euribor6M</v>
      </c>
      <c r="H369" s="873" t="str">
        <f t="shared" si="41"/>
        <v>EUR25F8Y_Quote</v>
      </c>
      <c r="I369" s="876">
        <v>0</v>
      </c>
      <c r="J369" s="43"/>
      <c r="L369" s="894" t="str">
        <f t="shared" si="38"/>
        <v>FwdSw</v>
      </c>
      <c r="M369" s="890" t="str">
        <f t="shared" si="39"/>
        <v>--</v>
      </c>
      <c r="N369" s="893" t="str">
        <f ca="1">IFERROR(_xll.qlRateHelperQuoteName(M369,Trigger),"--")</f>
        <v>--</v>
      </c>
      <c r="O369" s="892" t="str">
        <f ca="1">IFERROR(_xll.qlRateHelperQuoteValue($M369,Trigger),"--")</f>
        <v>--</v>
      </c>
      <c r="P369" s="969" t="b">
        <v>0</v>
      </c>
      <c r="Q369" s="890">
        <v>50</v>
      </c>
      <c r="R369" s="890">
        <v>1</v>
      </c>
      <c r="S369" s="889" t="str">
        <f ca="1">IFERROR(_xll.qlRateHelperEarliestDate(M369,Trigger),"--")</f>
        <v>--</v>
      </c>
      <c r="T369" s="889" t="str">
        <f ca="1">IFERROR(_xll.qlRateHelperPillarDate(M369,Trigger),"--")</f>
        <v>--</v>
      </c>
      <c r="V369" s="4" t="str">
        <f t="shared" ca="1" si="37"/>
        <v/>
      </c>
      <c r="W369" s="4" t="e">
        <f ca="1"/>
        <v>#NAME?</v>
      </c>
      <c r="X369" s="4" t="str">
        <f ca="1">IFERROR(_xll.qlRateHelperQuoteName(W369,Trigger),"")</f>
        <v/>
      </c>
      <c r="Y369" s="888" t="str">
        <f ca="1">IFERROR(_xll.qlRateHelperRate(W369,Trigger),"")</f>
        <v/>
      </c>
      <c r="Z369" s="887"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6" t="e">
        <f ca="1"/>
        <v>#NAME?</v>
      </c>
    </row>
    <row r="370" spans="1:29" x14ac:dyDescent="0.2">
      <c r="A370" s="873" t="s">
        <v>410</v>
      </c>
      <c r="B370" s="875" t="s">
        <v>47</v>
      </c>
      <c r="C370" s="874" t="s">
        <v>31</v>
      </c>
      <c r="D370" s="874" t="s">
        <v>323</v>
      </c>
      <c r="E370" s="874" t="s">
        <v>322</v>
      </c>
      <c r="F370" s="874" t="s">
        <v>221</v>
      </c>
      <c r="G370" s="874" t="str">
        <f t="shared" si="40"/>
        <v>Euribor6M</v>
      </c>
      <c r="H370" s="873" t="str">
        <f t="shared" si="41"/>
        <v>EUR25F9Y_Quote</v>
      </c>
      <c r="I370" s="876">
        <v>0</v>
      </c>
      <c r="J370" s="43"/>
      <c r="L370" s="894" t="str">
        <f t="shared" si="38"/>
        <v>FwdSw</v>
      </c>
      <c r="M370" s="890" t="str">
        <f t="shared" si="39"/>
        <v>--</v>
      </c>
      <c r="N370" s="893" t="str">
        <f ca="1">IFERROR(_xll.qlRateHelperQuoteName(M370,Trigger),"--")</f>
        <v>--</v>
      </c>
      <c r="O370" s="892" t="str">
        <f ca="1">IFERROR(_xll.qlRateHelperQuoteValue($M370,Trigger),"--")</f>
        <v>--</v>
      </c>
      <c r="P370" s="969" t="b">
        <v>0</v>
      </c>
      <c r="Q370" s="890">
        <v>50</v>
      </c>
      <c r="R370" s="890">
        <v>1</v>
      </c>
      <c r="S370" s="889" t="str">
        <f ca="1">IFERROR(_xll.qlRateHelperEarliestDate(M370,Trigger),"--")</f>
        <v>--</v>
      </c>
      <c r="T370" s="889" t="str">
        <f ca="1">IFERROR(_xll.qlRateHelperPillarDate(M370,Trigger),"--")</f>
        <v>--</v>
      </c>
      <c r="V370" s="4" t="str">
        <f t="shared" ca="1" si="37"/>
        <v/>
      </c>
      <c r="W370" s="4" t="e">
        <f ca="1"/>
        <v>#NAME?</v>
      </c>
      <c r="X370" s="4" t="str">
        <f ca="1">IFERROR(_xll.qlRateHelperQuoteName(W370,Trigger),"")</f>
        <v/>
      </c>
      <c r="Y370" s="888" t="str">
        <f ca="1">IFERROR(_xll.qlRateHelperRate(W370,Trigger),"")</f>
        <v/>
      </c>
      <c r="Z370" s="887"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6" t="e">
        <f ca="1"/>
        <v>#NAME?</v>
      </c>
    </row>
    <row r="371" spans="1:29" x14ac:dyDescent="0.2">
      <c r="A371" s="873" t="s">
        <v>410</v>
      </c>
      <c r="B371" s="875" t="s">
        <v>46</v>
      </c>
      <c r="C371" s="874" t="s">
        <v>31</v>
      </c>
      <c r="D371" s="874" t="s">
        <v>323</v>
      </c>
      <c r="E371" s="874" t="s">
        <v>322</v>
      </c>
      <c r="F371" s="874" t="s">
        <v>221</v>
      </c>
      <c r="G371" s="874" t="str">
        <f t="shared" si="40"/>
        <v>Euribor6M</v>
      </c>
      <c r="H371" s="873" t="str">
        <f t="shared" si="41"/>
        <v>EUR25F10Y_Quote</v>
      </c>
      <c r="I371" s="876">
        <v>0</v>
      </c>
      <c r="J371" s="43"/>
      <c r="L371" s="894" t="str">
        <f t="shared" si="38"/>
        <v>FwdSw</v>
      </c>
      <c r="M371" s="890" t="str">
        <f t="shared" si="39"/>
        <v>--</v>
      </c>
      <c r="N371" s="893" t="str">
        <f ca="1">IFERROR(_xll.qlRateHelperQuoteName(M371,Trigger),"--")</f>
        <v>--</v>
      </c>
      <c r="O371" s="892" t="str">
        <f ca="1">IFERROR(_xll.qlRateHelperQuoteValue($M371,Trigger),"--")</f>
        <v>--</v>
      </c>
      <c r="P371" s="969" t="b">
        <v>0</v>
      </c>
      <c r="Q371" s="890">
        <v>50</v>
      </c>
      <c r="R371" s="890">
        <v>1</v>
      </c>
      <c r="S371" s="889" t="str">
        <f ca="1">IFERROR(_xll.qlRateHelperEarliestDate(M371,Trigger),"--")</f>
        <v>--</v>
      </c>
      <c r="T371" s="889" t="str">
        <f ca="1">IFERROR(_xll.qlRateHelperPillarDate(M371,Trigger),"--")</f>
        <v>--</v>
      </c>
      <c r="V371" s="4" t="str">
        <f t="shared" ca="1" si="37"/>
        <v/>
      </c>
      <c r="W371" s="4" t="e">
        <f ca="1"/>
        <v>#NAME?</v>
      </c>
      <c r="X371" s="4" t="str">
        <f ca="1">IFERROR(_xll.qlRateHelperQuoteName(W371,Trigger),"")</f>
        <v/>
      </c>
      <c r="Y371" s="888" t="str">
        <f ca="1">IFERROR(_xll.qlRateHelperRate(W371,Trigger),"")</f>
        <v/>
      </c>
      <c r="Z371" s="887"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6" t="e">
        <f ca="1"/>
        <v>#NAME?</v>
      </c>
    </row>
    <row r="372" spans="1:29" x14ac:dyDescent="0.2">
      <c r="A372" s="873" t="s">
        <v>410</v>
      </c>
      <c r="B372" s="875" t="s">
        <v>45</v>
      </c>
      <c r="C372" s="874" t="s">
        <v>31</v>
      </c>
      <c r="D372" s="874" t="s">
        <v>323</v>
      </c>
      <c r="E372" s="874" t="s">
        <v>322</v>
      </c>
      <c r="F372" s="874" t="s">
        <v>221</v>
      </c>
      <c r="G372" s="874" t="str">
        <f t="shared" si="40"/>
        <v>Euribor6M</v>
      </c>
      <c r="H372" s="873" t="str">
        <f t="shared" si="41"/>
        <v>EUR25F11Y_Quote</v>
      </c>
      <c r="I372" s="876">
        <v>0</v>
      </c>
      <c r="J372" s="43"/>
      <c r="L372" s="894" t="str">
        <f t="shared" si="38"/>
        <v>FwdSw</v>
      </c>
      <c r="M372" s="890" t="str">
        <f t="shared" si="39"/>
        <v>--</v>
      </c>
      <c r="N372" s="893" t="str">
        <f ca="1">IFERROR(_xll.qlRateHelperQuoteName(M372,Trigger),"--")</f>
        <v>--</v>
      </c>
      <c r="O372" s="892" t="str">
        <f ca="1">IFERROR(_xll.qlRateHelperQuoteValue($M372,Trigger),"--")</f>
        <v>--</v>
      </c>
      <c r="P372" s="969" t="b">
        <v>0</v>
      </c>
      <c r="Q372" s="890">
        <v>50</v>
      </c>
      <c r="R372" s="890">
        <v>1</v>
      </c>
      <c r="S372" s="889" t="str">
        <f ca="1">IFERROR(_xll.qlRateHelperEarliestDate(M372,Trigger),"--")</f>
        <v>--</v>
      </c>
      <c r="T372" s="889" t="str">
        <f ca="1">IFERROR(_xll.qlRateHelperPillarDate(M372,Trigger),"--")</f>
        <v>--</v>
      </c>
      <c r="V372" s="4" t="str">
        <f t="shared" ca="1" si="37"/>
        <v/>
      </c>
      <c r="W372" s="4" t="e">
        <f ca="1"/>
        <v>#NAME?</v>
      </c>
      <c r="X372" s="4" t="str">
        <f ca="1">IFERROR(_xll.qlRateHelperQuoteName(W372,Trigger),"")</f>
        <v/>
      </c>
      <c r="Y372" s="888" t="str">
        <f ca="1">IFERROR(_xll.qlRateHelperRate(W372,Trigger),"")</f>
        <v/>
      </c>
      <c r="Z372" s="887"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6" t="e">
        <f ca="1"/>
        <v>#NAME?</v>
      </c>
    </row>
    <row r="373" spans="1:29" x14ac:dyDescent="0.2">
      <c r="A373" s="873" t="s">
        <v>410</v>
      </c>
      <c r="B373" s="875" t="s">
        <v>44</v>
      </c>
      <c r="C373" s="874" t="s">
        <v>31</v>
      </c>
      <c r="D373" s="874" t="s">
        <v>323</v>
      </c>
      <c r="E373" s="874" t="s">
        <v>322</v>
      </c>
      <c r="F373" s="874" t="s">
        <v>221</v>
      </c>
      <c r="G373" s="874" t="str">
        <f t="shared" si="40"/>
        <v>Euribor6M</v>
      </c>
      <c r="H373" s="873" t="str">
        <f t="shared" si="41"/>
        <v>EUR25F12Y_Quote</v>
      </c>
      <c r="I373" s="876">
        <v>0</v>
      </c>
      <c r="J373" s="43"/>
      <c r="L373" s="894" t="str">
        <f t="shared" si="38"/>
        <v>FwdSw</v>
      </c>
      <c r="M373" s="890" t="e">
        <f t="shared" ca="1" si="39"/>
        <v>#NAME?</v>
      </c>
      <c r="N373" s="893" t="str">
        <f ca="1">IFERROR(_xll.qlRateHelperQuoteName(M373,Trigger),"--")</f>
        <v>--</v>
      </c>
      <c r="O373" s="892" t="str">
        <f ca="1">IFERROR(_xll.qlRateHelperQuoteValue($M373,Trigger),"--")</f>
        <v>--</v>
      </c>
      <c r="P373" s="969" t="b">
        <v>1</v>
      </c>
      <c r="Q373" s="890">
        <v>50</v>
      </c>
      <c r="R373" s="890">
        <v>1</v>
      </c>
      <c r="S373" s="889" t="str">
        <f ca="1">IFERROR(_xll.qlRateHelperEarliestDate(M373,Trigger),"--")</f>
        <v>--</v>
      </c>
      <c r="T373" s="889" t="str">
        <f ca="1">IFERROR(_xll.qlRateHelperPillarDate(M373,Trigger),"--")</f>
        <v>--</v>
      </c>
      <c r="V373" s="4" t="str">
        <f t="shared" ca="1" si="37"/>
        <v/>
      </c>
      <c r="W373" s="4" t="e">
        <f ca="1"/>
        <v>#NAME?</v>
      </c>
      <c r="X373" s="4" t="str">
        <f ca="1">IFERROR(_xll.qlRateHelperQuoteName(W373,Trigger),"")</f>
        <v/>
      </c>
      <c r="Y373" s="888" t="str">
        <f ca="1">IFERROR(_xll.qlRateHelperRate(W373,Trigger),"")</f>
        <v/>
      </c>
      <c r="Z373" s="887"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6" t="e">
        <f ca="1"/>
        <v>#NAME?</v>
      </c>
    </row>
    <row r="374" spans="1:29" x14ac:dyDescent="0.2">
      <c r="A374" s="873" t="s">
        <v>410</v>
      </c>
      <c r="B374" s="875" t="s">
        <v>43</v>
      </c>
      <c r="C374" s="874" t="s">
        <v>31</v>
      </c>
      <c r="D374" s="874" t="s">
        <v>323</v>
      </c>
      <c r="E374" s="874" t="s">
        <v>322</v>
      </c>
      <c r="F374" s="874" t="s">
        <v>221</v>
      </c>
      <c r="G374" s="874" t="str">
        <f t="shared" si="40"/>
        <v>Euribor6M</v>
      </c>
      <c r="H374" s="873" t="str">
        <f t="shared" si="41"/>
        <v>EUR25F13Y_Quote</v>
      </c>
      <c r="I374" s="876">
        <v>0</v>
      </c>
      <c r="J374" s="43"/>
      <c r="L374" s="894" t="str">
        <f t="shared" si="38"/>
        <v>FwdSw</v>
      </c>
      <c r="M374" s="890" t="str">
        <f t="shared" si="39"/>
        <v>--</v>
      </c>
      <c r="N374" s="893" t="str">
        <f ca="1">IFERROR(_xll.qlRateHelperQuoteName(M374,Trigger),"--")</f>
        <v>--</v>
      </c>
      <c r="O374" s="892" t="str">
        <f ca="1">IFERROR(_xll.qlRateHelperQuoteValue($M374,Trigger),"--")</f>
        <v>--</v>
      </c>
      <c r="P374" s="969" t="b">
        <v>0</v>
      </c>
      <c r="Q374" s="890">
        <v>50</v>
      </c>
      <c r="R374" s="890">
        <v>1</v>
      </c>
      <c r="S374" s="889" t="str">
        <f ca="1">IFERROR(_xll.qlRateHelperEarliestDate(M374,Trigger),"--")</f>
        <v>--</v>
      </c>
      <c r="T374" s="889" t="str">
        <f ca="1">IFERROR(_xll.qlRateHelperPillarDate(M374,Trigger),"--")</f>
        <v>--</v>
      </c>
      <c r="V374" s="4" t="str">
        <f t="shared" ca="1" si="37"/>
        <v/>
      </c>
      <c r="W374" s="4" t="e">
        <f ca="1"/>
        <v>#NAME?</v>
      </c>
      <c r="X374" s="4" t="str">
        <f ca="1">IFERROR(_xll.qlRateHelperQuoteName(W374,Trigger),"")</f>
        <v/>
      </c>
      <c r="Y374" s="888" t="str">
        <f ca="1">IFERROR(_xll.qlRateHelperRate(W374,Trigger),"")</f>
        <v/>
      </c>
      <c r="Z374" s="887"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6" t="e">
        <f ca="1"/>
        <v>#NAME?</v>
      </c>
    </row>
    <row r="375" spans="1:29" x14ac:dyDescent="0.2">
      <c r="A375" s="873" t="s">
        <v>410</v>
      </c>
      <c r="B375" s="875" t="s">
        <v>42</v>
      </c>
      <c r="C375" s="874" t="s">
        <v>31</v>
      </c>
      <c r="D375" s="874" t="s">
        <v>323</v>
      </c>
      <c r="E375" s="874" t="s">
        <v>322</v>
      </c>
      <c r="F375" s="874" t="s">
        <v>221</v>
      </c>
      <c r="G375" s="874" t="str">
        <f t="shared" si="40"/>
        <v>Euribor6M</v>
      </c>
      <c r="H375" s="873" t="str">
        <f t="shared" si="41"/>
        <v>EUR25F14Y_Quote</v>
      </c>
      <c r="I375" s="876">
        <v>0</v>
      </c>
      <c r="J375" s="43"/>
      <c r="L375" s="894" t="str">
        <f t="shared" si="38"/>
        <v>FwdSw</v>
      </c>
      <c r="M375" s="890" t="str">
        <f t="shared" si="39"/>
        <v>--</v>
      </c>
      <c r="N375" s="893" t="str">
        <f ca="1">IFERROR(_xll.qlRateHelperQuoteName(M375,Trigger),"--")</f>
        <v>--</v>
      </c>
      <c r="O375" s="892" t="str">
        <f ca="1">IFERROR(_xll.qlRateHelperQuoteValue($M375,Trigger),"--")</f>
        <v>--</v>
      </c>
      <c r="P375" s="969" t="b">
        <v>0</v>
      </c>
      <c r="Q375" s="890">
        <v>50</v>
      </c>
      <c r="R375" s="890">
        <v>1</v>
      </c>
      <c r="S375" s="889" t="str">
        <f ca="1">IFERROR(_xll.qlRateHelperEarliestDate(M375,Trigger),"--")</f>
        <v>--</v>
      </c>
      <c r="T375" s="889" t="str">
        <f ca="1">IFERROR(_xll.qlRateHelperPillarDate(M375,Trigger),"--")</f>
        <v>--</v>
      </c>
      <c r="V375" s="4" t="str">
        <f t="shared" ca="1" si="37"/>
        <v/>
      </c>
      <c r="W375" s="4" t="e">
        <f ca="1"/>
        <v>#NAME?</v>
      </c>
      <c r="X375" s="4" t="str">
        <f ca="1">IFERROR(_xll.qlRateHelperQuoteName(W375,Trigger),"")</f>
        <v/>
      </c>
      <c r="Y375" s="888" t="str">
        <f ca="1">IFERROR(_xll.qlRateHelperRate(W375,Trigger),"")</f>
        <v/>
      </c>
      <c r="Z375" s="887"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6" t="e">
        <f ca="1"/>
        <v>#NAME?</v>
      </c>
    </row>
    <row r="376" spans="1:29" x14ac:dyDescent="0.2">
      <c r="A376" s="873" t="s">
        <v>410</v>
      </c>
      <c r="B376" s="875" t="s">
        <v>41</v>
      </c>
      <c r="C376" s="874" t="s">
        <v>31</v>
      </c>
      <c r="D376" s="874" t="s">
        <v>323</v>
      </c>
      <c r="E376" s="874" t="s">
        <v>322</v>
      </c>
      <c r="F376" s="874" t="s">
        <v>221</v>
      </c>
      <c r="G376" s="874" t="str">
        <f t="shared" si="40"/>
        <v>Euribor6M</v>
      </c>
      <c r="H376" s="873" t="str">
        <f t="shared" si="41"/>
        <v>EUR25F15Y_Quote</v>
      </c>
      <c r="I376" s="876">
        <v>0</v>
      </c>
      <c r="J376" s="43"/>
      <c r="L376" s="894" t="str">
        <f t="shared" si="38"/>
        <v>FwdSw</v>
      </c>
      <c r="M376" s="890" t="str">
        <f t="shared" si="39"/>
        <v>--</v>
      </c>
      <c r="N376" s="893" t="str">
        <f ca="1">IFERROR(_xll.qlRateHelperQuoteName(M376,Trigger),"--")</f>
        <v>--</v>
      </c>
      <c r="O376" s="892" t="str">
        <f ca="1">IFERROR(_xll.qlRateHelperQuoteValue($M376,Trigger),"--")</f>
        <v>--</v>
      </c>
      <c r="P376" s="969" t="b">
        <v>0</v>
      </c>
      <c r="Q376" s="890">
        <v>50</v>
      </c>
      <c r="R376" s="890">
        <v>1</v>
      </c>
      <c r="S376" s="889" t="str">
        <f ca="1">IFERROR(_xll.qlRateHelperEarliestDate(M376,Trigger),"--")</f>
        <v>--</v>
      </c>
      <c r="T376" s="889" t="str">
        <f ca="1">IFERROR(_xll.qlRateHelperPillarDate(M376,Trigger),"--")</f>
        <v>--</v>
      </c>
      <c r="V376" s="4" t="str">
        <f t="shared" ca="1" si="37"/>
        <v/>
      </c>
      <c r="W376" s="4" t="e">
        <f ca="1"/>
        <v>#NAME?</v>
      </c>
      <c r="X376" s="4" t="str">
        <f ca="1">IFERROR(_xll.qlRateHelperQuoteName(W376,Trigger),"")</f>
        <v/>
      </c>
      <c r="Y376" s="888" t="str">
        <f ca="1">IFERROR(_xll.qlRateHelperRate(W376,Trigger),"")</f>
        <v/>
      </c>
      <c r="Z376" s="887"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6" t="e">
        <f ca="1"/>
        <v>#NAME?</v>
      </c>
    </row>
    <row r="377" spans="1:29" x14ac:dyDescent="0.2">
      <c r="A377" s="873" t="s">
        <v>410</v>
      </c>
      <c r="B377" s="875" t="s">
        <v>36</v>
      </c>
      <c r="C377" s="874" t="s">
        <v>31</v>
      </c>
      <c r="D377" s="874" t="s">
        <v>323</v>
      </c>
      <c r="E377" s="874" t="s">
        <v>322</v>
      </c>
      <c r="F377" s="874" t="s">
        <v>221</v>
      </c>
      <c r="G377" s="874" t="str">
        <f t="shared" si="40"/>
        <v>Euribor6M</v>
      </c>
      <c r="H377" s="873" t="str">
        <f t="shared" si="41"/>
        <v>EUR25F20Y_Quote</v>
      </c>
      <c r="I377" s="876">
        <v>0</v>
      </c>
      <c r="J377" s="43"/>
      <c r="L377" s="894" t="str">
        <f t="shared" si="38"/>
        <v>FwdSw</v>
      </c>
      <c r="M377" s="890" t="str">
        <f t="shared" si="39"/>
        <v>--</v>
      </c>
      <c r="N377" s="893" t="str">
        <f ca="1">IFERROR(_xll.qlRateHelperQuoteName(M377,Trigger),"--")</f>
        <v>--</v>
      </c>
      <c r="O377" s="892" t="str">
        <f ca="1">IFERROR(_xll.qlRateHelperQuoteValue($M377,Trigger),"--")</f>
        <v>--</v>
      </c>
      <c r="P377" s="969" t="b">
        <v>0</v>
      </c>
      <c r="Q377" s="890">
        <v>50</v>
      </c>
      <c r="R377" s="890">
        <v>1</v>
      </c>
      <c r="S377" s="889" t="str">
        <f ca="1">IFERROR(_xll.qlRateHelperEarliestDate(M377,Trigger),"--")</f>
        <v>--</v>
      </c>
      <c r="T377" s="889" t="str">
        <f ca="1">IFERROR(_xll.qlRateHelperPillarDate(M377,Trigger),"--")</f>
        <v>--</v>
      </c>
      <c r="V377" s="4" t="str">
        <f t="shared" ca="1" si="37"/>
        <v/>
      </c>
      <c r="W377" s="4" t="e">
        <f ca="1"/>
        <v>#NAME?</v>
      </c>
      <c r="X377" s="4" t="str">
        <f ca="1">IFERROR(_xll.qlRateHelperQuoteName(W377,Trigger),"")</f>
        <v/>
      </c>
      <c r="Y377" s="888" t="str">
        <f ca="1">IFERROR(_xll.qlRateHelperRate(W377,Trigger),"")</f>
        <v/>
      </c>
      <c r="Z377" s="887"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6" t="e">
        <f ca="1"/>
        <v>#NAME?</v>
      </c>
    </row>
    <row r="378" spans="1:29" x14ac:dyDescent="0.2">
      <c r="A378" s="873" t="s">
        <v>410</v>
      </c>
      <c r="B378" s="875" t="s">
        <v>31</v>
      </c>
      <c r="C378" s="874" t="s">
        <v>31</v>
      </c>
      <c r="D378" s="874" t="s">
        <v>323</v>
      </c>
      <c r="E378" s="874" t="s">
        <v>322</v>
      </c>
      <c r="F378" s="874" t="s">
        <v>221</v>
      </c>
      <c r="G378" s="874" t="str">
        <f t="shared" si="40"/>
        <v>Euribor6M</v>
      </c>
      <c r="H378" s="873" t="str">
        <f t="shared" si="41"/>
        <v>EUR25F25Y_Quote</v>
      </c>
      <c r="I378" s="876">
        <v>0</v>
      </c>
      <c r="J378" s="43"/>
      <c r="L378" s="894" t="str">
        <f t="shared" si="38"/>
        <v>FwdSw</v>
      </c>
      <c r="M378" s="890" t="str">
        <f t="shared" si="39"/>
        <v>--</v>
      </c>
      <c r="N378" s="893" t="str">
        <f ca="1">IFERROR(_xll.qlRateHelperQuoteName(M378,Trigger),"--")</f>
        <v>--</v>
      </c>
      <c r="O378" s="892" t="str">
        <f ca="1">IFERROR(_xll.qlRateHelperQuoteValue($M378,Trigger),"--")</f>
        <v>--</v>
      </c>
      <c r="P378" s="969" t="b">
        <v>0</v>
      </c>
      <c r="Q378" s="890">
        <v>50</v>
      </c>
      <c r="R378" s="890">
        <v>1</v>
      </c>
      <c r="S378" s="889" t="str">
        <f ca="1">IFERROR(_xll.qlRateHelperEarliestDate(M378,Trigger),"--")</f>
        <v>--</v>
      </c>
      <c r="T378" s="889" t="str">
        <f ca="1">IFERROR(_xll.qlRateHelperPillarDate(M378,Trigger),"--")</f>
        <v>--</v>
      </c>
      <c r="V378" s="4" t="str">
        <f t="shared" ca="1" si="37"/>
        <v/>
      </c>
      <c r="W378" s="4" t="e">
        <f ca="1"/>
        <v>#NAME?</v>
      </c>
      <c r="X378" s="4" t="str">
        <f ca="1">IFERROR(_xll.qlRateHelperQuoteName(W378,Trigger),"")</f>
        <v/>
      </c>
      <c r="Y378" s="888" t="str">
        <f ca="1">IFERROR(_xll.qlRateHelperRate(W378,Trigger),"")</f>
        <v/>
      </c>
      <c r="Z378" s="887"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6" t="e">
        <f ca="1"/>
        <v>#NAME?</v>
      </c>
    </row>
    <row r="379" spans="1:29" x14ac:dyDescent="0.2">
      <c r="A379" s="873" t="s">
        <v>410</v>
      </c>
      <c r="B379" s="875" t="s">
        <v>26</v>
      </c>
      <c r="C379" s="874" t="s">
        <v>31</v>
      </c>
      <c r="D379" s="874" t="s">
        <v>323</v>
      </c>
      <c r="E379" s="874" t="s">
        <v>322</v>
      </c>
      <c r="F379" s="874" t="s">
        <v>221</v>
      </c>
      <c r="G379" s="874" t="str">
        <f t="shared" si="40"/>
        <v>Euribor6M</v>
      </c>
      <c r="H379" s="873" t="str">
        <f t="shared" si="41"/>
        <v>EUR25F30Y_Quote</v>
      </c>
      <c r="I379" s="876">
        <v>0</v>
      </c>
      <c r="J379" s="43" t="e">
        <f ca="1">_xll.qlSwapRateHelper2(,H379,2,B379,Calendar,D379,E379,F379,G379,I379,C379,Discounting,PillarDate,,Permanent,Trigger,ObjectOverwrite)</f>
        <v>#NAME?</v>
      </c>
      <c r="L379" s="894" t="str">
        <f t="shared" si="38"/>
        <v>FwdSw</v>
      </c>
      <c r="M379" s="890" t="str">
        <f t="shared" si="39"/>
        <v>--</v>
      </c>
      <c r="N379" s="893" t="str">
        <f ca="1">IFERROR(_xll.qlRateHelperQuoteName(M379,Trigger),"--")</f>
        <v>--</v>
      </c>
      <c r="O379" s="892" t="str">
        <f ca="1">IFERROR(_xll.qlRateHelperQuoteValue($M379,Trigger),"--")</f>
        <v>--</v>
      </c>
      <c r="P379" s="969" t="b">
        <v>0</v>
      </c>
      <c r="Q379" s="890">
        <v>50</v>
      </c>
      <c r="R379" s="890">
        <v>1</v>
      </c>
      <c r="S379" s="889" t="str">
        <f ca="1">IFERROR(_xll.qlRateHelperEarliestDate(M379,Trigger),"--")</f>
        <v>--</v>
      </c>
      <c r="T379" s="889" t="str">
        <f ca="1">IFERROR(_xll.qlRateHelperPillarDate(M379,Trigger),"--")</f>
        <v>--</v>
      </c>
      <c r="V379" s="4" t="str">
        <f t="shared" ca="1" si="37"/>
        <v/>
      </c>
      <c r="W379" s="4" t="e">
        <f ca="1"/>
        <v>#NAME?</v>
      </c>
      <c r="X379" s="4" t="str">
        <f ca="1">IFERROR(_xll.qlRateHelperQuoteName(W379,Trigger),"")</f>
        <v/>
      </c>
      <c r="Y379" s="888" t="str">
        <f ca="1">IFERROR(_xll.qlRateHelperRate(W379,Trigger),"")</f>
        <v/>
      </c>
      <c r="Z379" s="887"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6" t="e">
        <f ca="1"/>
        <v>#NAME?</v>
      </c>
    </row>
    <row r="380" spans="1:29" x14ac:dyDescent="0.2">
      <c r="A380" s="896" t="s">
        <v>410</v>
      </c>
      <c r="B380" s="898" t="s">
        <v>58</v>
      </c>
      <c r="C380" s="897" t="s">
        <v>26</v>
      </c>
      <c r="D380" s="897" t="s">
        <v>323</v>
      </c>
      <c r="E380" s="897" t="s">
        <v>322</v>
      </c>
      <c r="F380" s="897" t="s">
        <v>221</v>
      </c>
      <c r="G380" s="897" t="str">
        <f t="shared" si="40"/>
        <v>Euribor6M</v>
      </c>
      <c r="H380" s="896" t="str">
        <f t="shared" si="41"/>
        <v>EUR30F1Y_Quote</v>
      </c>
      <c r="I380" s="895">
        <v>0</v>
      </c>
      <c r="J380" s="47"/>
      <c r="L380" s="894" t="str">
        <f t="shared" si="38"/>
        <v>FwdSw</v>
      </c>
      <c r="M380" s="890" t="str">
        <f t="shared" si="39"/>
        <v>--</v>
      </c>
      <c r="N380" s="893" t="str">
        <f ca="1">IFERROR(_xll.qlRateHelperQuoteName(M380,Trigger),"--")</f>
        <v>--</v>
      </c>
      <c r="O380" s="892" t="str">
        <f ca="1">IFERROR(_xll.qlRateHelperQuoteValue($M380,Trigger),"--")</f>
        <v>--</v>
      </c>
      <c r="P380" s="969" t="b">
        <v>0</v>
      </c>
      <c r="Q380" s="890">
        <v>50</v>
      </c>
      <c r="R380" s="890">
        <v>1</v>
      </c>
      <c r="S380" s="889" t="str">
        <f ca="1">IFERROR(_xll.qlRateHelperEarliestDate(M380,Trigger),"--")</f>
        <v>--</v>
      </c>
      <c r="T380" s="889" t="str">
        <f ca="1">IFERROR(_xll.qlRateHelperPillarDate(M380,Trigger),"--")</f>
        <v>--</v>
      </c>
      <c r="V380" s="4" t="str">
        <f t="shared" ca="1" si="37"/>
        <v/>
      </c>
      <c r="W380" s="4" t="e">
        <f ca="1"/>
        <v>#NAME?</v>
      </c>
      <c r="X380" s="4" t="str">
        <f ca="1">IFERROR(_xll.qlRateHelperQuoteName(W380,Trigger),"")</f>
        <v/>
      </c>
      <c r="Y380" s="888" t="str">
        <f ca="1">IFERROR(_xll.qlRateHelperRate(W380,Trigger),"")</f>
        <v/>
      </c>
      <c r="Z380" s="887"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6" t="e">
        <f ca="1"/>
        <v>#NAME?</v>
      </c>
    </row>
    <row r="381" spans="1:29" x14ac:dyDescent="0.2">
      <c r="A381" s="873" t="s">
        <v>410</v>
      </c>
      <c r="B381" s="875" t="s">
        <v>54</v>
      </c>
      <c r="C381" s="874" t="s">
        <v>26</v>
      </c>
      <c r="D381" s="874" t="s">
        <v>323</v>
      </c>
      <c r="E381" s="874" t="s">
        <v>322</v>
      </c>
      <c r="F381" s="874" t="s">
        <v>221</v>
      </c>
      <c r="G381" s="874" t="str">
        <f t="shared" si="40"/>
        <v>Euribor6M</v>
      </c>
      <c r="H381" s="873" t="str">
        <f t="shared" si="41"/>
        <v>EUR30F2Y_Quote</v>
      </c>
      <c r="I381" s="876">
        <v>0</v>
      </c>
      <c r="J381" s="43"/>
      <c r="L381" s="894" t="str">
        <f t="shared" si="38"/>
        <v>FwdSw</v>
      </c>
      <c r="M381" s="890" t="str">
        <f t="shared" si="39"/>
        <v>--</v>
      </c>
      <c r="N381" s="893" t="str">
        <f ca="1">IFERROR(_xll.qlRateHelperQuoteName(M381,Trigger),"--")</f>
        <v>--</v>
      </c>
      <c r="O381" s="892" t="str">
        <f ca="1">IFERROR(_xll.qlRateHelperQuoteValue($M381,Trigger),"--")</f>
        <v>--</v>
      </c>
      <c r="P381" s="969" t="b">
        <v>0</v>
      </c>
      <c r="Q381" s="890">
        <v>50</v>
      </c>
      <c r="R381" s="890">
        <v>1</v>
      </c>
      <c r="S381" s="889" t="str">
        <f ca="1">IFERROR(_xll.qlRateHelperEarliestDate(M381,Trigger),"--")</f>
        <v>--</v>
      </c>
      <c r="T381" s="889" t="str">
        <f ca="1">IFERROR(_xll.qlRateHelperPillarDate(M381,Trigger),"--")</f>
        <v>--</v>
      </c>
      <c r="V381" s="4" t="str">
        <f t="shared" ca="1" si="37"/>
        <v/>
      </c>
      <c r="W381" s="4" t="e">
        <f ca="1"/>
        <v>#NAME?</v>
      </c>
      <c r="X381" s="4" t="str">
        <f ca="1">IFERROR(_xll.qlRateHelperQuoteName(W381,Trigger),"")</f>
        <v/>
      </c>
      <c r="Y381" s="888" t="str">
        <f ca="1">IFERROR(_xll.qlRateHelperRate(W381,Trigger),"")</f>
        <v/>
      </c>
      <c r="Z381" s="887"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6" t="e">
        <f ca="1"/>
        <v>#NAME?</v>
      </c>
    </row>
    <row r="382" spans="1:29" x14ac:dyDescent="0.2">
      <c r="A382" s="873" t="s">
        <v>410</v>
      </c>
      <c r="B382" s="875" t="s">
        <v>53</v>
      </c>
      <c r="C382" s="874" t="s">
        <v>26</v>
      </c>
      <c r="D382" s="874" t="s">
        <v>323</v>
      </c>
      <c r="E382" s="874" t="s">
        <v>322</v>
      </c>
      <c r="F382" s="874" t="s">
        <v>221</v>
      </c>
      <c r="G382" s="874" t="str">
        <f t="shared" si="40"/>
        <v>Euribor6M</v>
      </c>
      <c r="H382" s="873" t="str">
        <f t="shared" si="41"/>
        <v>EUR30F3Y_Quote</v>
      </c>
      <c r="I382" s="876">
        <v>0</v>
      </c>
      <c r="J382" s="43"/>
      <c r="L382" s="894" t="str">
        <f t="shared" si="38"/>
        <v>FwdSw</v>
      </c>
      <c r="M382" s="890" t="str">
        <f t="shared" si="39"/>
        <v>--</v>
      </c>
      <c r="N382" s="893" t="str">
        <f ca="1">IFERROR(_xll.qlRateHelperQuoteName(M382,Trigger),"--")</f>
        <v>--</v>
      </c>
      <c r="O382" s="892" t="str">
        <f ca="1">IFERROR(_xll.qlRateHelperQuoteValue($M382,Trigger),"--")</f>
        <v>--</v>
      </c>
      <c r="P382" s="969" t="b">
        <v>0</v>
      </c>
      <c r="Q382" s="890">
        <v>50</v>
      </c>
      <c r="R382" s="890">
        <v>1</v>
      </c>
      <c r="S382" s="889" t="str">
        <f ca="1">IFERROR(_xll.qlRateHelperEarliestDate(M382,Trigger),"--")</f>
        <v>--</v>
      </c>
      <c r="T382" s="889" t="str">
        <f ca="1">IFERROR(_xll.qlRateHelperPillarDate(M382,Trigger),"--")</f>
        <v>--</v>
      </c>
      <c r="V382" s="4" t="str">
        <f t="shared" ca="1" si="37"/>
        <v/>
      </c>
      <c r="W382" s="4" t="e">
        <f ca="1"/>
        <v>#NAME?</v>
      </c>
      <c r="X382" s="4" t="str">
        <f ca="1">IFERROR(_xll.qlRateHelperQuoteName(W382,Trigger),"")</f>
        <v/>
      </c>
      <c r="Y382" s="888" t="str">
        <f ca="1">IFERROR(_xll.qlRateHelperRate(W382,Trigger),"")</f>
        <v/>
      </c>
      <c r="Z382" s="887"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6" t="e">
        <f ca="1"/>
        <v>#NAME?</v>
      </c>
    </row>
    <row r="383" spans="1:29" x14ac:dyDescent="0.2">
      <c r="A383" s="873" t="s">
        <v>410</v>
      </c>
      <c r="B383" s="875" t="s">
        <v>52</v>
      </c>
      <c r="C383" s="874" t="s">
        <v>26</v>
      </c>
      <c r="D383" s="874" t="s">
        <v>323</v>
      </c>
      <c r="E383" s="874" t="s">
        <v>322</v>
      </c>
      <c r="F383" s="874" t="s">
        <v>221</v>
      </c>
      <c r="G383" s="874" t="str">
        <f t="shared" si="40"/>
        <v>Euribor6M</v>
      </c>
      <c r="H383" s="873" t="str">
        <f t="shared" si="41"/>
        <v>EUR30F4Y_Quote</v>
      </c>
      <c r="I383" s="876">
        <v>0</v>
      </c>
      <c r="J383" s="43"/>
      <c r="L383" s="894" t="str">
        <f t="shared" si="38"/>
        <v>FwdSw</v>
      </c>
      <c r="M383" s="890" t="str">
        <f t="shared" si="39"/>
        <v>--</v>
      </c>
      <c r="N383" s="893" t="str">
        <f ca="1">IFERROR(_xll.qlRateHelperQuoteName(M383,Trigger),"--")</f>
        <v>--</v>
      </c>
      <c r="O383" s="892" t="str">
        <f ca="1">IFERROR(_xll.qlRateHelperQuoteValue($M383,Trigger),"--")</f>
        <v>--</v>
      </c>
      <c r="P383" s="969" t="b">
        <v>0</v>
      </c>
      <c r="Q383" s="890">
        <v>50</v>
      </c>
      <c r="R383" s="890">
        <v>1</v>
      </c>
      <c r="S383" s="889" t="str">
        <f ca="1">IFERROR(_xll.qlRateHelperEarliestDate(M383,Trigger),"--")</f>
        <v>--</v>
      </c>
      <c r="T383" s="889" t="str">
        <f ca="1">IFERROR(_xll.qlRateHelperPillarDate(M383,Trigger),"--")</f>
        <v>--</v>
      </c>
      <c r="V383" s="4" t="str">
        <f t="shared" ca="1" si="37"/>
        <v/>
      </c>
      <c r="W383" s="4" t="e">
        <f ca="1"/>
        <v>#NAME?</v>
      </c>
      <c r="X383" s="4" t="str">
        <f ca="1">IFERROR(_xll.qlRateHelperQuoteName(W383,Trigger),"")</f>
        <v/>
      </c>
      <c r="Y383" s="888" t="str">
        <f ca="1">IFERROR(_xll.qlRateHelperRate(W383,Trigger),"")</f>
        <v/>
      </c>
      <c r="Z383" s="887"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6" t="e">
        <f ca="1"/>
        <v>#NAME?</v>
      </c>
    </row>
    <row r="384" spans="1:29" x14ac:dyDescent="0.2">
      <c r="A384" s="873" t="s">
        <v>410</v>
      </c>
      <c r="B384" s="875" t="s">
        <v>51</v>
      </c>
      <c r="C384" s="874" t="s">
        <v>26</v>
      </c>
      <c r="D384" s="874" t="s">
        <v>323</v>
      </c>
      <c r="E384" s="874" t="s">
        <v>322</v>
      </c>
      <c r="F384" s="874" t="s">
        <v>221</v>
      </c>
      <c r="G384" s="874" t="str">
        <f t="shared" si="40"/>
        <v>Euribor6M</v>
      </c>
      <c r="H384" s="873" t="str">
        <f t="shared" si="41"/>
        <v>EUR30F5Y_Quote</v>
      </c>
      <c r="I384" s="876">
        <v>0</v>
      </c>
      <c r="J384" s="43"/>
      <c r="L384" s="894" t="str">
        <f t="shared" si="38"/>
        <v>FwdSw</v>
      </c>
      <c r="M384" s="890" t="str">
        <f t="shared" si="39"/>
        <v>--</v>
      </c>
      <c r="N384" s="893" t="str">
        <f ca="1">IFERROR(_xll.qlRateHelperQuoteName(M384,Trigger),"--")</f>
        <v>--</v>
      </c>
      <c r="O384" s="892" t="str">
        <f ca="1">IFERROR(_xll.qlRateHelperQuoteValue($M384,Trigger),"--")</f>
        <v>--</v>
      </c>
      <c r="P384" s="969" t="b">
        <v>0</v>
      </c>
      <c r="Q384" s="890">
        <v>50</v>
      </c>
      <c r="R384" s="890">
        <v>1</v>
      </c>
      <c r="S384" s="889" t="str">
        <f ca="1">IFERROR(_xll.qlRateHelperEarliestDate(M384,Trigger),"--")</f>
        <v>--</v>
      </c>
      <c r="T384" s="889" t="str">
        <f ca="1">IFERROR(_xll.qlRateHelperPillarDate(M384,Trigger),"--")</f>
        <v>--</v>
      </c>
      <c r="V384" s="4" t="str">
        <f t="shared" ca="1" si="37"/>
        <v/>
      </c>
      <c r="W384" s="4" t="e">
        <f ca="1"/>
        <v>#NAME?</v>
      </c>
      <c r="X384" s="4" t="str">
        <f ca="1">IFERROR(_xll.qlRateHelperQuoteName(W384,Trigger),"")</f>
        <v/>
      </c>
      <c r="Y384" s="888" t="str">
        <f ca="1">IFERROR(_xll.qlRateHelperRate(W384,Trigger),"")</f>
        <v/>
      </c>
      <c r="Z384" s="887"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6" t="e">
        <f ca="1"/>
        <v>#NAME?</v>
      </c>
    </row>
    <row r="385" spans="1:29" x14ac:dyDescent="0.2">
      <c r="A385" s="873" t="s">
        <v>410</v>
      </c>
      <c r="B385" s="875" t="s">
        <v>50</v>
      </c>
      <c r="C385" s="874" t="s">
        <v>26</v>
      </c>
      <c r="D385" s="874" t="s">
        <v>323</v>
      </c>
      <c r="E385" s="874" t="s">
        <v>322</v>
      </c>
      <c r="F385" s="874" t="s">
        <v>221</v>
      </c>
      <c r="G385" s="874" t="str">
        <f t="shared" si="40"/>
        <v>Euribor6M</v>
      </c>
      <c r="H385" s="873" t="str">
        <f t="shared" si="41"/>
        <v>EUR30F6Y_Quote</v>
      </c>
      <c r="I385" s="876">
        <v>0</v>
      </c>
      <c r="J385" s="43"/>
      <c r="L385" s="894" t="str">
        <f t="shared" si="38"/>
        <v>FwdSw</v>
      </c>
      <c r="M385" s="890" t="str">
        <f t="shared" si="39"/>
        <v>--</v>
      </c>
      <c r="N385" s="893" t="str">
        <f ca="1">IFERROR(_xll.qlRateHelperQuoteName(M385,Trigger),"--")</f>
        <v>--</v>
      </c>
      <c r="O385" s="892" t="str">
        <f ca="1">IFERROR(_xll.qlRateHelperQuoteValue($M385,Trigger),"--")</f>
        <v>--</v>
      </c>
      <c r="P385" s="969" t="b">
        <v>0</v>
      </c>
      <c r="Q385" s="890">
        <v>50</v>
      </c>
      <c r="R385" s="890">
        <v>1</v>
      </c>
      <c r="S385" s="889" t="str">
        <f ca="1">IFERROR(_xll.qlRateHelperEarliestDate(M385,Trigger),"--")</f>
        <v>--</v>
      </c>
      <c r="T385" s="889" t="str">
        <f ca="1">IFERROR(_xll.qlRateHelperPillarDate(M385,Trigger),"--")</f>
        <v>--</v>
      </c>
      <c r="V385" s="4" t="str">
        <f t="shared" ca="1" si="37"/>
        <v/>
      </c>
      <c r="W385" s="4" t="e">
        <f ca="1"/>
        <v>#NAME?</v>
      </c>
      <c r="X385" s="4" t="str">
        <f ca="1">IFERROR(_xll.qlRateHelperQuoteName(W385,Trigger),"")</f>
        <v/>
      </c>
      <c r="Y385" s="888" t="str">
        <f ca="1">IFERROR(_xll.qlRateHelperRate(W385,Trigger),"")</f>
        <v/>
      </c>
      <c r="Z385" s="887"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6" t="e">
        <f ca="1"/>
        <v>#NAME?</v>
      </c>
    </row>
    <row r="386" spans="1:29" x14ac:dyDescent="0.2">
      <c r="A386" s="873" t="s">
        <v>410</v>
      </c>
      <c r="B386" s="875" t="s">
        <v>49</v>
      </c>
      <c r="C386" s="874" t="s">
        <v>26</v>
      </c>
      <c r="D386" s="874" t="s">
        <v>323</v>
      </c>
      <c r="E386" s="874" t="s">
        <v>322</v>
      </c>
      <c r="F386" s="874" t="s">
        <v>221</v>
      </c>
      <c r="G386" s="874" t="str">
        <f t="shared" si="40"/>
        <v>Euribor6M</v>
      </c>
      <c r="H386" s="873" t="str">
        <f t="shared" si="41"/>
        <v>EUR30F7Y_Quote</v>
      </c>
      <c r="I386" s="876">
        <v>0</v>
      </c>
      <c r="J386" s="43"/>
      <c r="L386" s="894" t="str">
        <f t="shared" si="38"/>
        <v>FwdSw</v>
      </c>
      <c r="M386" s="890" t="str">
        <f t="shared" si="39"/>
        <v>--</v>
      </c>
      <c r="N386" s="893" t="str">
        <f ca="1">IFERROR(_xll.qlRateHelperQuoteName(M386,Trigger),"--")</f>
        <v>--</v>
      </c>
      <c r="O386" s="892" t="str">
        <f ca="1">IFERROR(_xll.qlRateHelperQuoteValue($M386,Trigger),"--")</f>
        <v>--</v>
      </c>
      <c r="P386" s="969" t="b">
        <v>0</v>
      </c>
      <c r="Q386" s="890">
        <v>50</v>
      </c>
      <c r="R386" s="890">
        <v>1</v>
      </c>
      <c r="S386" s="889" t="str">
        <f ca="1">IFERROR(_xll.qlRateHelperEarliestDate(M386,Trigger),"--")</f>
        <v>--</v>
      </c>
      <c r="T386" s="889" t="str">
        <f ca="1">IFERROR(_xll.qlRateHelperPillarDate(M386,Trigger),"--")</f>
        <v>--</v>
      </c>
      <c r="V386" s="4" t="str">
        <f t="shared" ca="1" si="37"/>
        <v/>
      </c>
      <c r="W386" s="4" t="e">
        <f ca="1"/>
        <v>#NAME?</v>
      </c>
      <c r="X386" s="4" t="str">
        <f ca="1">IFERROR(_xll.qlRateHelperQuoteName(W386,Trigger),"")</f>
        <v/>
      </c>
      <c r="Y386" s="888" t="str">
        <f ca="1">IFERROR(_xll.qlRateHelperRate(W386,Trigger),"")</f>
        <v/>
      </c>
      <c r="Z386" s="887"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6" t="e">
        <f ca="1"/>
        <v>#NAME?</v>
      </c>
    </row>
    <row r="387" spans="1:29" x14ac:dyDescent="0.2">
      <c r="A387" s="873" t="s">
        <v>410</v>
      </c>
      <c r="B387" s="875" t="s">
        <v>48</v>
      </c>
      <c r="C387" s="874" t="s">
        <v>26</v>
      </c>
      <c r="D387" s="874" t="s">
        <v>323</v>
      </c>
      <c r="E387" s="874" t="s">
        <v>322</v>
      </c>
      <c r="F387" s="874" t="s">
        <v>221</v>
      </c>
      <c r="G387" s="874" t="str">
        <f t="shared" si="40"/>
        <v>Euribor6M</v>
      </c>
      <c r="H387" s="873" t="str">
        <f t="shared" si="41"/>
        <v>EUR30F8Y_Quote</v>
      </c>
      <c r="I387" s="876">
        <v>0</v>
      </c>
      <c r="J387" s="43"/>
      <c r="L387" s="894" t="str">
        <f t="shared" si="38"/>
        <v>FwdSw</v>
      </c>
      <c r="M387" s="890" t="str">
        <f t="shared" si="39"/>
        <v>--</v>
      </c>
      <c r="N387" s="893" t="str">
        <f ca="1">IFERROR(_xll.qlRateHelperQuoteName(M387,Trigger),"--")</f>
        <v>--</v>
      </c>
      <c r="O387" s="892" t="str">
        <f ca="1">IFERROR(_xll.qlRateHelperQuoteValue($M387,Trigger),"--")</f>
        <v>--</v>
      </c>
      <c r="P387" s="969" t="b">
        <v>0</v>
      </c>
      <c r="Q387" s="890">
        <v>50</v>
      </c>
      <c r="R387" s="890">
        <v>1</v>
      </c>
      <c r="S387" s="889" t="str">
        <f ca="1">IFERROR(_xll.qlRateHelperEarliestDate(M387,Trigger),"--")</f>
        <v>--</v>
      </c>
      <c r="T387" s="889" t="str">
        <f ca="1">IFERROR(_xll.qlRateHelperPillarDate(M387,Trigger),"--")</f>
        <v>--</v>
      </c>
      <c r="V387" s="4" t="str">
        <f t="shared" ca="1" si="37"/>
        <v/>
      </c>
      <c r="W387" s="4" t="e">
        <f ca="1"/>
        <v>#NAME?</v>
      </c>
      <c r="X387" s="4" t="str">
        <f ca="1">IFERROR(_xll.qlRateHelperQuoteName(W387,Trigger),"")</f>
        <v/>
      </c>
      <c r="Y387" s="888" t="str">
        <f ca="1">IFERROR(_xll.qlRateHelperRate(W387,Trigger),"")</f>
        <v/>
      </c>
      <c r="Z387" s="887"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6" t="e">
        <f ca="1"/>
        <v>#NAME?</v>
      </c>
    </row>
    <row r="388" spans="1:29" x14ac:dyDescent="0.2">
      <c r="A388" s="873" t="s">
        <v>410</v>
      </c>
      <c r="B388" s="875" t="s">
        <v>47</v>
      </c>
      <c r="C388" s="874" t="s">
        <v>26</v>
      </c>
      <c r="D388" s="874" t="s">
        <v>323</v>
      </c>
      <c r="E388" s="874" t="s">
        <v>322</v>
      </c>
      <c r="F388" s="874" t="s">
        <v>221</v>
      </c>
      <c r="G388" s="874" t="str">
        <f t="shared" si="40"/>
        <v>Euribor6M</v>
      </c>
      <c r="H388" s="873" t="str">
        <f t="shared" si="41"/>
        <v>EUR30F9Y_Quote</v>
      </c>
      <c r="I388" s="876">
        <v>0</v>
      </c>
      <c r="J388" s="43"/>
      <c r="L388" s="894" t="str">
        <f t="shared" ref="L388:L391" si="42">A394</f>
        <v>FwdSw</v>
      </c>
      <c r="M388" s="890" t="str">
        <f t="shared" ref="M388:M391" si="43">IF(ISBLANK(J394),"--",J394)</f>
        <v>--</v>
      </c>
      <c r="N388" s="893" t="str">
        <f ca="1">IFERROR(_xll.qlRateHelperQuoteName(M388,Trigger),"--")</f>
        <v>--</v>
      </c>
      <c r="O388" s="892" t="str">
        <f ca="1">IFERROR(_xll.qlRateHelperQuoteValue($M388,Trigger),"--")</f>
        <v>--</v>
      </c>
      <c r="P388" s="969" t="b">
        <v>0</v>
      </c>
      <c r="Q388" s="890">
        <v>50</v>
      </c>
      <c r="R388" s="890">
        <v>1</v>
      </c>
      <c r="S388" s="889" t="str">
        <f ca="1">IFERROR(_xll.qlRateHelperEarliestDate(M388,Trigger),"--")</f>
        <v>--</v>
      </c>
      <c r="T388" s="889" t="str">
        <f ca="1">IFERROR(_xll.qlRateHelperPillarDate(M388,Trigger),"--")</f>
        <v>--</v>
      </c>
      <c r="V388" s="4" t="str">
        <f t="shared" ca="1" si="37"/>
        <v/>
      </c>
      <c r="W388" s="4" t="e">
        <f ca="1"/>
        <v>#NAME?</v>
      </c>
      <c r="X388" s="4" t="str">
        <f ca="1">IFERROR(_xll.qlRateHelperQuoteName(W388,Trigger),"")</f>
        <v/>
      </c>
      <c r="Y388" s="888" t="str">
        <f ca="1">IFERROR(_xll.qlRateHelperRate(W388,Trigger),"")</f>
        <v/>
      </c>
      <c r="Z388" s="887"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6" t="e">
        <f ca="1"/>
        <v>#NAME?</v>
      </c>
    </row>
    <row r="389" spans="1:29" x14ac:dyDescent="0.2">
      <c r="A389" s="873" t="s">
        <v>410</v>
      </c>
      <c r="B389" s="875" t="s">
        <v>46</v>
      </c>
      <c r="C389" s="874" t="s">
        <v>26</v>
      </c>
      <c r="D389" s="874" t="s">
        <v>323</v>
      </c>
      <c r="E389" s="874" t="s">
        <v>322</v>
      </c>
      <c r="F389" s="874" t="s">
        <v>221</v>
      </c>
      <c r="G389" s="874" t="str">
        <f t="shared" si="40"/>
        <v>Euribor6M</v>
      </c>
      <c r="H389" s="873" t="str">
        <f t="shared" si="41"/>
        <v>EUR30F10Y_Quote</v>
      </c>
      <c r="I389" s="876">
        <v>0</v>
      </c>
      <c r="J389" s="43"/>
      <c r="L389" s="894" t="str">
        <f t="shared" si="42"/>
        <v>FwdSw</v>
      </c>
      <c r="M389" s="890" t="str">
        <f t="shared" si="43"/>
        <v>--</v>
      </c>
      <c r="N389" s="893" t="str">
        <f ca="1">IFERROR(_xll.qlRateHelperQuoteName(M389,Trigger),"--")</f>
        <v>--</v>
      </c>
      <c r="O389" s="892" t="str">
        <f ca="1">IFERROR(_xll.qlRateHelperQuoteValue($M389,Trigger),"--")</f>
        <v>--</v>
      </c>
      <c r="P389" s="969" t="b">
        <v>0</v>
      </c>
      <c r="Q389" s="890">
        <v>50</v>
      </c>
      <c r="R389" s="890">
        <v>1</v>
      </c>
      <c r="S389" s="889" t="str">
        <f ca="1">IFERROR(_xll.qlRateHelperEarliestDate(M389,Trigger),"--")</f>
        <v>--</v>
      </c>
      <c r="T389" s="889" t="str">
        <f ca="1">IFERROR(_xll.qlRateHelperPillarDate(M389,Trigger),"--")</f>
        <v>--</v>
      </c>
      <c r="V389" s="4" t="str">
        <f t="shared" ca="1" si="37"/>
        <v/>
      </c>
      <c r="W389" s="4" t="e">
        <f ca="1"/>
        <v>#NAME?</v>
      </c>
      <c r="X389" s="4" t="str">
        <f ca="1">IFERROR(_xll.qlRateHelperQuoteName(W389,Trigger),"")</f>
        <v/>
      </c>
      <c r="Y389" s="888" t="str">
        <f ca="1">IFERROR(_xll.qlRateHelperRate(W389,Trigger),"")</f>
        <v/>
      </c>
      <c r="Z389" s="887"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6" t="e">
        <f ca="1"/>
        <v>#NAME?</v>
      </c>
    </row>
    <row r="390" spans="1:29" x14ac:dyDescent="0.2">
      <c r="A390" s="873" t="s">
        <v>410</v>
      </c>
      <c r="B390" s="875" t="s">
        <v>45</v>
      </c>
      <c r="C390" s="874" t="s">
        <v>26</v>
      </c>
      <c r="D390" s="874" t="s">
        <v>323</v>
      </c>
      <c r="E390" s="874" t="s">
        <v>322</v>
      </c>
      <c r="F390" s="874" t="s">
        <v>221</v>
      </c>
      <c r="G390" s="874" t="str">
        <f t="shared" si="40"/>
        <v>Euribor6M</v>
      </c>
      <c r="H390" s="873" t="str">
        <f t="shared" si="41"/>
        <v>EUR30F11Y_Quote</v>
      </c>
      <c r="I390" s="876">
        <v>0</v>
      </c>
      <c r="J390" s="43"/>
      <c r="L390" s="894" t="str">
        <f t="shared" si="42"/>
        <v>FwdSw</v>
      </c>
      <c r="M390" s="890" t="str">
        <f t="shared" si="43"/>
        <v>--</v>
      </c>
      <c r="N390" s="893" t="str">
        <f ca="1">IFERROR(_xll.qlRateHelperQuoteName(M390,Trigger),"--")</f>
        <v>--</v>
      </c>
      <c r="O390" s="892" t="str">
        <f ca="1">IFERROR(_xll.qlRateHelperQuoteValue($M390,Trigger),"--")</f>
        <v>--</v>
      </c>
      <c r="P390" s="969" t="b">
        <v>0</v>
      </c>
      <c r="Q390" s="890">
        <v>50</v>
      </c>
      <c r="R390" s="890">
        <v>1</v>
      </c>
      <c r="S390" s="889" t="str">
        <f ca="1">IFERROR(_xll.qlRateHelperEarliestDate(M390,Trigger),"--")</f>
        <v>--</v>
      </c>
      <c r="T390" s="889" t="str">
        <f ca="1">IFERROR(_xll.qlRateHelperPillarDate(M390,Trigger),"--")</f>
        <v>--</v>
      </c>
      <c r="V390" s="4" t="str">
        <f t="shared" ca="1" si="37"/>
        <v/>
      </c>
      <c r="W390" s="4" t="e">
        <f ca="1"/>
        <v>#NAME?</v>
      </c>
      <c r="X390" s="4" t="str">
        <f ca="1">IFERROR(_xll.qlRateHelperQuoteName(W390,Trigger),"")</f>
        <v/>
      </c>
      <c r="Y390" s="888" t="str">
        <f ca="1">IFERROR(_xll.qlRateHelperRate(W390,Trigger),"")</f>
        <v/>
      </c>
      <c r="Z390" s="887"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6" t="e">
        <f ca="1"/>
        <v>#NAME?</v>
      </c>
    </row>
    <row r="391" spans="1:29" x14ac:dyDescent="0.2">
      <c r="A391" s="873" t="s">
        <v>410</v>
      </c>
      <c r="B391" s="875" t="s">
        <v>44</v>
      </c>
      <c r="C391" s="874" t="s">
        <v>26</v>
      </c>
      <c r="D391" s="874" t="s">
        <v>323</v>
      </c>
      <c r="E391" s="874" t="s">
        <v>322</v>
      </c>
      <c r="F391" s="874" t="s">
        <v>221</v>
      </c>
      <c r="G391" s="874" t="str">
        <f t="shared" si="40"/>
        <v>Euribor6M</v>
      </c>
      <c r="H391" s="873" t="str">
        <f t="shared" si="41"/>
        <v>EUR30F12Y_Quote</v>
      </c>
      <c r="I391" s="876">
        <v>0</v>
      </c>
      <c r="J391" s="43"/>
      <c r="L391" s="885" t="str">
        <f t="shared" si="42"/>
        <v>FwdSw</v>
      </c>
      <c r="M391" s="881" t="str">
        <f t="shared" si="43"/>
        <v>--</v>
      </c>
      <c r="N391" s="884" t="str">
        <f ca="1">IFERROR(_xll.qlRateHelperQuoteName(M391,Trigger),"--")</f>
        <v>--</v>
      </c>
      <c r="O391" s="883" t="str">
        <f ca="1">IFERROR(_xll.qlRateHelperQuoteValue($M391,Trigger),"--")</f>
        <v>--</v>
      </c>
      <c r="P391" s="968" t="b">
        <v>0</v>
      </c>
      <c r="Q391" s="881">
        <v>50</v>
      </c>
      <c r="R391" s="881">
        <v>1</v>
      </c>
      <c r="S391" s="880" t="str">
        <f ca="1">IFERROR(_xll.qlRateHelperEarliestDate(M391,Trigger),"--")</f>
        <v>--</v>
      </c>
      <c r="T391" s="880" t="str">
        <f ca="1">IFERROR(_xll.qlRateHelperPillarDate(M391,Trigger),"--")</f>
        <v>--</v>
      </c>
      <c r="V391" s="2" t="str">
        <f t="shared" ca="1" si="37"/>
        <v/>
      </c>
      <c r="W391" s="2" t="e">
        <f ca="1"/>
        <v>#NAME?</v>
      </c>
      <c r="X391" s="2" t="str">
        <f ca="1">IFERROR(_xll.qlRateHelperQuoteName(W391,Trigger),"")</f>
        <v/>
      </c>
      <c r="Y391" s="879" t="str">
        <f ca="1">IFERROR(_xll.qlRateHelperRate(W391,Trigger),"")</f>
        <v/>
      </c>
      <c r="Z391" s="878"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7" t="e">
        <f ca="1"/>
        <v>#NAME?</v>
      </c>
    </row>
    <row r="392" spans="1:29" x14ac:dyDescent="0.2">
      <c r="A392" s="873" t="s">
        <v>410</v>
      </c>
      <c r="B392" s="875" t="s">
        <v>43</v>
      </c>
      <c r="C392" s="874" t="s">
        <v>26</v>
      </c>
      <c r="D392" s="874" t="s">
        <v>323</v>
      </c>
      <c r="E392" s="874" t="s">
        <v>322</v>
      </c>
      <c r="F392" s="874" t="s">
        <v>221</v>
      </c>
      <c r="G392" s="874" t="str">
        <f t="shared" si="40"/>
        <v>Euribor6M</v>
      </c>
      <c r="H392" s="873" t="str">
        <f t="shared" si="41"/>
        <v>EUR30F13Y_Quote</v>
      </c>
      <c r="I392" s="876">
        <v>0</v>
      </c>
      <c r="J392" s="43"/>
    </row>
    <row r="393" spans="1:29" x14ac:dyDescent="0.2">
      <c r="A393" s="873" t="s">
        <v>410</v>
      </c>
      <c r="B393" s="875" t="s">
        <v>42</v>
      </c>
      <c r="C393" s="874" t="s">
        <v>26</v>
      </c>
      <c r="D393" s="874" t="s">
        <v>323</v>
      </c>
      <c r="E393" s="874" t="s">
        <v>322</v>
      </c>
      <c r="F393" s="874" t="s">
        <v>221</v>
      </c>
      <c r="G393" s="874" t="str">
        <f t="shared" si="40"/>
        <v>Euribor6M</v>
      </c>
      <c r="H393" s="873" t="str">
        <f t="shared" si="41"/>
        <v>EUR30F14Y_Quote</v>
      </c>
      <c r="I393" s="876">
        <v>0</v>
      </c>
      <c r="J393" s="43"/>
    </row>
    <row r="394" spans="1:29" x14ac:dyDescent="0.2">
      <c r="A394" s="873" t="s">
        <v>410</v>
      </c>
      <c r="B394" s="875" t="s">
        <v>41</v>
      </c>
      <c r="C394" s="874" t="s">
        <v>26</v>
      </c>
      <c r="D394" s="874" t="s">
        <v>323</v>
      </c>
      <c r="E394" s="874" t="s">
        <v>322</v>
      </c>
      <c r="F394" s="874" t="s">
        <v>221</v>
      </c>
      <c r="G394" s="874" t="str">
        <f t="shared" si="40"/>
        <v>Euribor6M</v>
      </c>
      <c r="H394" s="873" t="str">
        <f t="shared" si="41"/>
        <v>EUR30F15Y_Quote</v>
      </c>
      <c r="I394" s="876">
        <v>0</v>
      </c>
      <c r="J394" s="43"/>
    </row>
    <row r="395" spans="1:29" x14ac:dyDescent="0.2">
      <c r="A395" s="873" t="s">
        <v>410</v>
      </c>
      <c r="B395" s="875" t="s">
        <v>36</v>
      </c>
      <c r="C395" s="874" t="s">
        <v>26</v>
      </c>
      <c r="D395" s="874" t="s">
        <v>323</v>
      </c>
      <c r="E395" s="874" t="s">
        <v>322</v>
      </c>
      <c r="F395" s="874" t="s">
        <v>221</v>
      </c>
      <c r="G395" s="874" t="str">
        <f t="shared" si="40"/>
        <v>Euribor6M</v>
      </c>
      <c r="H395" s="873" t="str">
        <f t="shared" si="41"/>
        <v>EUR30F20Y_Quote</v>
      </c>
      <c r="I395" s="876">
        <v>0</v>
      </c>
      <c r="J395" s="43"/>
    </row>
    <row r="396" spans="1:29" x14ac:dyDescent="0.2">
      <c r="A396" s="873" t="s">
        <v>410</v>
      </c>
      <c r="B396" s="875" t="s">
        <v>31</v>
      </c>
      <c r="C396" s="874" t="s">
        <v>26</v>
      </c>
      <c r="D396" s="874" t="s">
        <v>323</v>
      </c>
      <c r="E396" s="874" t="s">
        <v>322</v>
      </c>
      <c r="F396" s="874" t="s">
        <v>221</v>
      </c>
      <c r="G396" s="874" t="str">
        <f t="shared" si="40"/>
        <v>Euribor6M</v>
      </c>
      <c r="H396" s="873" t="str">
        <f t="shared" si="41"/>
        <v>EUR30F25Y_Quote</v>
      </c>
      <c r="I396" s="876">
        <v>0</v>
      </c>
      <c r="J396" s="43"/>
    </row>
    <row r="397" spans="1:29" x14ac:dyDescent="0.2">
      <c r="A397" s="869" t="s">
        <v>410</v>
      </c>
      <c r="B397" s="871" t="s">
        <v>26</v>
      </c>
      <c r="C397" s="870" t="s">
        <v>26</v>
      </c>
      <c r="D397" s="870" t="s">
        <v>323</v>
      </c>
      <c r="E397" s="870" t="s">
        <v>322</v>
      </c>
      <c r="F397" s="870" t="s">
        <v>221</v>
      </c>
      <c r="G397" s="870" t="str">
        <f t="shared" si="40"/>
        <v>Euribor6M</v>
      </c>
      <c r="H397" s="869" t="str">
        <f t="shared" si="41"/>
        <v>EUR30F30Y_Quote</v>
      </c>
      <c r="I397" s="984">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175</v>
      </c>
      <c r="H1" s="238" t="str">
        <f>"_SYNTH"&amp;$G$1</f>
        <v>_SYNTH1M</v>
      </c>
      <c r="L1" s="964" t="s">
        <v>383</v>
      </c>
      <c r="M1" s="963"/>
      <c r="N1" s="963"/>
      <c r="O1" s="963"/>
      <c r="P1" s="963"/>
      <c r="Q1" s="963"/>
      <c r="R1" s="963"/>
      <c r="S1" s="963"/>
      <c r="T1" s="962"/>
      <c r="U1" s="957"/>
      <c r="V1" s="961" t="str">
        <f>Currency&amp;$G$1</f>
        <v>EUR1M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92" ca="1">_xll.qlPiecewiseYieldCurveData(YieldCurve_1M,Trigger)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Currency&amp;$B3&amp;"D"&amp;$H$1&amp;QuoteSuffix</f>
        <v>EURSND_SYNTH1M_Quote</v>
      </c>
      <c r="I3" s="946"/>
      <c r="J3" s="945"/>
      <c r="K3" s="153"/>
      <c r="L3" s="908" t="str">
        <f>A3</f>
        <v>Dp</v>
      </c>
      <c r="M3" s="904" t="str">
        <f>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71"/>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Currency&amp;$B4&amp;"D"&amp;$H$1&amp;QuoteSuffix</f>
        <v>EURSWD_SYNTH1M_Quote</v>
      </c>
      <c r="I4" s="914"/>
      <c r="J4" s="47" t="e">
        <f ca="1">_xll.qlDepositRateHelper(,H4,G4,Permanent,Trigger,ObjectOverwrite)</f>
        <v>#NAME?</v>
      </c>
      <c r="K4" s="23"/>
      <c r="L4" s="894" t="str">
        <f>A4</f>
        <v>Dp</v>
      </c>
      <c r="M4" s="890" t="e">
        <f ca="1">IF(ISBLANK(J4),"--",J4)</f>
        <v>#NAME?</v>
      </c>
      <c r="N4" s="893" t="str">
        <f ca="1">IFERROR(_xll.qlRateHelperQuoteName(M4,Trigger),"--")</f>
        <v>--</v>
      </c>
      <c r="O4" s="892" t="str">
        <f ca="1">IFERROR(_xll.qlRateHelperQuoteValue($M4,Trigger),"--")</f>
        <v>--</v>
      </c>
      <c r="P4" s="969" t="b">
        <v>1</v>
      </c>
      <c r="Q4" s="890">
        <v>10</v>
      </c>
      <c r="R4" s="890">
        <v>1</v>
      </c>
      <c r="S4" s="889" t="str">
        <f ca="1">IFERROR(_xll.qlRateHelperEarliestDate(M4,Trigger),"--")</f>
        <v>--</v>
      </c>
      <c r="T4" s="889" t="str">
        <f ca="1">IFERROR(_xll.qlRateHelperPillarDate(M4,Trigger),"--")</f>
        <v>--</v>
      </c>
      <c r="V4" s="4" t="str">
        <f t="shared" ca="1" si="0"/>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71"/>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Currency&amp;$B5&amp;"D"&amp;$H$1&amp;QuoteSuffix</f>
        <v>EUR2WD_SYNTH1M_Quote</v>
      </c>
      <c r="I5" s="909"/>
      <c r="J5" s="43" t="e">
        <f ca="1">_xll.qlDepositRateHelper(,H5,G5,Permanent,Trigger,ObjectOverwrite)</f>
        <v>#NAME?</v>
      </c>
      <c r="K5" s="23"/>
      <c r="L5" s="894" t="str">
        <f>A5</f>
        <v>Dp</v>
      </c>
      <c r="M5" s="890" t="e">
        <f ca="1">IF(ISBLANK(J5),"--",J5)</f>
        <v>#NAME?</v>
      </c>
      <c r="N5" s="893" t="str">
        <f ca="1">IFERROR(_xll.qlRateHelperQuoteName(M5,Trigger),"--")</f>
        <v>--</v>
      </c>
      <c r="O5" s="892" t="str">
        <f ca="1">IFERROR(_xll.qlRateHelperQuoteValue($M5,Trigger),"--")</f>
        <v>--</v>
      </c>
      <c r="P5" s="969" t="b">
        <v>1</v>
      </c>
      <c r="Q5" s="890">
        <v>10</v>
      </c>
      <c r="R5" s="890">
        <v>1</v>
      </c>
      <c r="S5" s="889" t="str">
        <f ca="1">IFERROR(_xll.qlRateHelperEarliestDate(M5,Trigger),"--")</f>
        <v>--</v>
      </c>
      <c r="T5" s="889" t="str">
        <f ca="1">IFERROR(_xll.qlRateHelperPillarDate(M5,Trigger),"--")</f>
        <v>--</v>
      </c>
      <c r="V5" s="4" t="str">
        <f t="shared" ca="1" si="0"/>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71"/>
      <c r="AE5" s="971"/>
      <c r="AF5" s="935" t="s">
        <v>394</v>
      </c>
      <c r="AJ5" s="943">
        <v>0</v>
      </c>
    </row>
    <row r="6" spans="1:40" ht="11.25" customHeight="1" x14ac:dyDescent="0.2">
      <c r="A6" s="942" t="s">
        <v>391</v>
      </c>
      <c r="B6" s="941" t="s">
        <v>176</v>
      </c>
      <c r="C6" s="940" t="str">
        <f>B6</f>
        <v>3W</v>
      </c>
      <c r="D6" s="937"/>
      <c r="E6" s="937"/>
      <c r="F6" s="937"/>
      <c r="G6" s="939" t="e">
        <f ca="1">_xll.qlEuribor(,C6,,Permanent,Trigger,ObjectOverwrite)</f>
        <v>#NAME?</v>
      </c>
      <c r="H6" s="938" t="str">
        <f>Currency&amp;$B6&amp;"D"&amp;$H$1&amp;QuoteSuffix</f>
        <v>EUR3WD_SYNTH1M_Quote</v>
      </c>
      <c r="I6" s="937"/>
      <c r="J6" s="936" t="e">
        <f ca="1">_xll.qlDepositRateHelper(,H6,G6,Permanent,Trigger,ObjectOverwrite)</f>
        <v>#NAME?</v>
      </c>
      <c r="K6" s="23"/>
      <c r="L6" s="894" t="str">
        <f>A6</f>
        <v>Dp</v>
      </c>
      <c r="M6" s="890" t="e">
        <f ca="1">IF(ISBLANK(J6),"--",J6)</f>
        <v>#NAME?</v>
      </c>
      <c r="N6" s="893" t="str">
        <f ca="1">IFERROR(_xll.qlRateHelperQuoteName(M6,Trigger),"--")</f>
        <v>--</v>
      </c>
      <c r="O6" s="892" t="str">
        <f ca="1">IFERROR(_xll.qlRateHelperQuoteValue($M6,Trigger),"--")</f>
        <v>--</v>
      </c>
      <c r="P6" s="969" t="b">
        <v>1</v>
      </c>
      <c r="Q6" s="890">
        <v>10</v>
      </c>
      <c r="R6" s="890">
        <v>1</v>
      </c>
      <c r="S6" s="889" t="str">
        <f ca="1">IFERROR(_xll.qlRateHelperEarliestDate(M6,Trigger),"--")</f>
        <v>--</v>
      </c>
      <c r="T6" s="889" t="str">
        <f ca="1">IFERROR(_xll.qlRateHelperPillarDate(M6,Trigger),"--")</f>
        <v>--</v>
      </c>
      <c r="V6" s="4" t="str">
        <f t="shared" ca="1" si="0"/>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71"/>
      <c r="AF6" s="935" t="s">
        <v>393</v>
      </c>
      <c r="AJ6" s="934" t="s">
        <v>392</v>
      </c>
    </row>
    <row r="7" spans="1:40" ht="11.25" customHeight="1" x14ac:dyDescent="0.2">
      <c r="A7" s="869" t="s">
        <v>391</v>
      </c>
      <c r="B7" s="871" t="s">
        <v>175</v>
      </c>
      <c r="C7" s="901" t="str">
        <f>B7</f>
        <v>1M</v>
      </c>
      <c r="D7" s="899"/>
      <c r="E7" s="899"/>
      <c r="F7" s="899"/>
      <c r="G7" s="870" t="str">
        <f>PROPER(Currency)&amp;FamilyName&amp;B7</f>
        <v>Euribor1M</v>
      </c>
      <c r="H7" s="918" t="str">
        <f>Currency&amp;$B7&amp;"D"&amp;$H$1&amp;QuoteSuffix</f>
        <v>EUR1MD_SYNTH1M_Quote</v>
      </c>
      <c r="I7" s="899"/>
      <c r="J7" s="38" t="e">
        <f ca="1">_xll.qlDepositRateHelper(,H7,G7,Permanent,Trigger,ObjectOverwrite)</f>
        <v>#NAME?</v>
      </c>
      <c r="K7" s="23"/>
      <c r="L7" s="894" t="str">
        <f>A7</f>
        <v>Dp</v>
      </c>
      <c r="M7" s="890" t="e">
        <f ca="1">IF(ISBLANK(J7),"--",J7)</f>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0"/>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71"/>
    </row>
    <row r="8" spans="1:40" ht="11.25" customHeight="1" x14ac:dyDescent="0.2">
      <c r="B8" s="1"/>
      <c r="C8" s="1"/>
      <c r="D8" s="1"/>
      <c r="E8" s="1"/>
      <c r="F8" s="1"/>
      <c r="G8" s="1" t="s">
        <v>112</v>
      </c>
      <c r="H8" s="1"/>
      <c r="K8" s="23"/>
      <c r="L8" s="908" t="str">
        <f t="shared" ref="L8:L18" si="1">A10</f>
        <v>Sw</v>
      </c>
      <c r="M8" s="904" t="e">
        <f t="shared" ref="M8:M18" ca="1" si="2">IF(ISBLANK(J10),"--",J10)</f>
        <v>#NAME?</v>
      </c>
      <c r="N8" s="907" t="str">
        <f ca="1">IFERROR(_xll.qlRateHelperQuoteName(M8,Trigger),"--")</f>
        <v>--</v>
      </c>
      <c r="O8" s="906" t="str">
        <f ca="1">IFERROR(_xll.qlRateHelperQuoteValue($M8,Trigger),"--")</f>
        <v>--</v>
      </c>
      <c r="P8" s="970" t="b">
        <v>1</v>
      </c>
      <c r="Q8" s="904">
        <v>40</v>
      </c>
      <c r="R8" s="904">
        <v>1</v>
      </c>
      <c r="S8" s="903" t="str">
        <f ca="1">IFERROR(_xll.qlRateHelperEarliestDate(M8,Trigger),"--")</f>
        <v>--</v>
      </c>
      <c r="T8" s="903" t="str">
        <f ca="1">IFERROR(_xll.qlRateHelperPillarDate(M8,Trigger),"--")</f>
        <v>--</v>
      </c>
      <c r="V8" s="4" t="str">
        <f t="shared" ca="1" si="0"/>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71"/>
    </row>
    <row r="9" spans="1:40" ht="11.25" customHeight="1" x14ac:dyDescent="0.2">
      <c r="A9" s="145" t="s">
        <v>388</v>
      </c>
      <c r="B9" s="145" t="s">
        <v>107</v>
      </c>
      <c r="C9" s="145" t="s">
        <v>387</v>
      </c>
      <c r="D9" s="145" t="s">
        <v>330</v>
      </c>
      <c r="E9" s="145" t="s">
        <v>386</v>
      </c>
      <c r="F9" s="145" t="s">
        <v>385</v>
      </c>
      <c r="G9" s="145" t="s">
        <v>14</v>
      </c>
      <c r="H9" s="145" t="s">
        <v>384</v>
      </c>
      <c r="I9" s="145" t="s">
        <v>62</v>
      </c>
      <c r="J9" s="145" t="s">
        <v>383</v>
      </c>
      <c r="K9" s="23"/>
      <c r="L9" s="894" t="str">
        <f t="shared" si="1"/>
        <v>Sw</v>
      </c>
      <c r="M9" s="890" t="e">
        <f t="shared" ca="1" si="2"/>
        <v>#NAME?</v>
      </c>
      <c r="N9" s="893" t="str">
        <f ca="1">IFERROR(_xll.qlRateHelperQuoteName(M9,Trigger),"--")</f>
        <v>--</v>
      </c>
      <c r="O9" s="892" t="str">
        <f ca="1">IFERROR(_xll.qlRateHelperQuoteValue($M9,Trigger),"--")</f>
        <v>--</v>
      </c>
      <c r="P9" s="969" t="b">
        <v>1</v>
      </c>
      <c r="Q9" s="890">
        <v>40</v>
      </c>
      <c r="R9" s="890">
        <v>1</v>
      </c>
      <c r="S9" s="889" t="str">
        <f ca="1">IFERROR(_xll.qlRateHelperEarliestDate(M9,Trigger),"--")</f>
        <v>--</v>
      </c>
      <c r="T9" s="889" t="str">
        <f ca="1">IFERROR(_xll.qlRateHelperPillarDate(M9,Trigger),"--")</f>
        <v>--</v>
      </c>
      <c r="V9" s="4" t="str">
        <f t="shared" ca="1" si="0"/>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71"/>
      <c r="AG9" s="1" t="s">
        <v>276</v>
      </c>
    </row>
    <row r="10" spans="1:40" ht="11.25" customHeight="1" x14ac:dyDescent="0.2">
      <c r="A10" s="896" t="s">
        <v>404</v>
      </c>
      <c r="B10" s="898" t="s">
        <v>174</v>
      </c>
      <c r="C10" s="897" t="s">
        <v>324</v>
      </c>
      <c r="D10" s="897" t="s">
        <v>323</v>
      </c>
      <c r="E10" s="897" t="s">
        <v>322</v>
      </c>
      <c r="F10" s="897" t="s">
        <v>295</v>
      </c>
      <c r="G10" s="897" t="str">
        <f t="shared" ref="G10:G20" si="3">PROPER(Currency)&amp;FamilyName&amp;Tenor</f>
        <v>Euribor1M</v>
      </c>
      <c r="H10" s="896" t="str">
        <f t="shared" ref="H10:H20" si="4">Currency&amp;SUBSTITUTE($B10,"M","")&amp;$G$8&amp;QuoteSuffix</f>
        <v>EUR2X1S_Quote</v>
      </c>
      <c r="I10" s="895">
        <v>0</v>
      </c>
      <c r="J10" s="43" t="e">
        <f ca="1">_xll.qlSwapRateHelper2(,H10,2,B10,Calendar,D10,E10,F10,G10,I10,C10,Discounting,PillarDate,,Permanent,Trigger,ObjectOverwrite)</f>
        <v>#NAME?</v>
      </c>
      <c r="K10" s="23"/>
      <c r="L10" s="894" t="str">
        <f t="shared" si="1"/>
        <v>Sw</v>
      </c>
      <c r="M10" s="890" t="e">
        <f t="shared" ca="1" si="2"/>
        <v>#NAME?</v>
      </c>
      <c r="N10" s="893" t="str">
        <f ca="1">IFERROR(_xll.qlRateHelperQuoteName(M10,Trigger),"--")</f>
        <v>--</v>
      </c>
      <c r="O10" s="892" t="str">
        <f ca="1">IFERROR(_xll.qlRateHelperQuoteValue($M10,Trigger),"--")</f>
        <v>--</v>
      </c>
      <c r="P10" s="969" t="b">
        <v>1</v>
      </c>
      <c r="Q10" s="890">
        <v>40</v>
      </c>
      <c r="R10" s="890">
        <v>1</v>
      </c>
      <c r="S10" s="889" t="str">
        <f ca="1">IFERROR(_xll.qlRateHelperEarliestDate(M10,Trigger),"--")</f>
        <v>--</v>
      </c>
      <c r="T10" s="889" t="str">
        <f ca="1">IFERROR(_xll.qlRateHelperPillarDate(M10,Trigger),"--")</f>
        <v>--</v>
      </c>
      <c r="V10" s="4" t="str">
        <f t="shared" ca="1" si="0"/>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71"/>
      <c r="AE10" s="955" t="s">
        <v>89</v>
      </c>
      <c r="AF10" s="955" t="s">
        <v>409</v>
      </c>
      <c r="AG10" s="955" t="s">
        <v>408</v>
      </c>
      <c r="AH10" s="955" t="s">
        <v>275</v>
      </c>
      <c r="AI10" s="955" t="s">
        <v>407</v>
      </c>
      <c r="AJ10" s="955" t="s">
        <v>406</v>
      </c>
      <c r="AK10" s="955" t="s">
        <v>265</v>
      </c>
      <c r="AL10" s="955" t="s">
        <v>405</v>
      </c>
    </row>
    <row r="11" spans="1:40" ht="11.25" customHeight="1" x14ac:dyDescent="0.2">
      <c r="A11" s="873" t="s">
        <v>404</v>
      </c>
      <c r="B11" s="875" t="s">
        <v>127</v>
      </c>
      <c r="C11" s="874" t="s">
        <v>324</v>
      </c>
      <c r="D11" s="874" t="s">
        <v>323</v>
      </c>
      <c r="E11" s="874" t="s">
        <v>322</v>
      </c>
      <c r="F11" s="874" t="s">
        <v>295</v>
      </c>
      <c r="G11" s="874" t="str">
        <f t="shared" si="3"/>
        <v>Euribor1M</v>
      </c>
      <c r="H11" s="873" t="str">
        <f t="shared" si="4"/>
        <v>EUR3X1S_Quote</v>
      </c>
      <c r="I11" s="876">
        <v>0</v>
      </c>
      <c r="J11" s="43" t="e">
        <f ca="1">_xll.qlSwapRateHelper2(,H11,2,B11,Calendar,D11,E11,F11,G11,I11,C11,Discounting,PillarDate,,Permanent,Trigger,ObjectOverwrite)</f>
        <v>#NAME?</v>
      </c>
      <c r="K11" s="23"/>
      <c r="L11" s="894" t="str">
        <f t="shared" si="1"/>
        <v>Sw</v>
      </c>
      <c r="M11" s="890" t="e">
        <f t="shared" ca="1" si="2"/>
        <v>#NAME?</v>
      </c>
      <c r="N11" s="893" t="str">
        <f ca="1">IFERROR(_xll.qlRateHelperQuoteName(M11,Trigger),"--")</f>
        <v>--</v>
      </c>
      <c r="O11" s="892" t="str">
        <f ca="1">IFERROR(_xll.qlRateHelperQuoteValue($M11,Trigger),"--")</f>
        <v>--</v>
      </c>
      <c r="P11" s="969" t="b">
        <v>1</v>
      </c>
      <c r="Q11" s="890">
        <v>40</v>
      </c>
      <c r="R11" s="890">
        <v>1</v>
      </c>
      <c r="S11" s="889" t="str">
        <f ca="1">IFERROR(_xll.qlRateHelperEarliestDate(M11,Trigger),"--")</f>
        <v>--</v>
      </c>
      <c r="T11" s="889" t="str">
        <f ca="1">IFERROR(_xll.qlRateHelperPillarDate(M11,Trigger),"--")</f>
        <v>--</v>
      </c>
      <c r="V11" s="4" t="str">
        <f t="shared" ca="1" si="0"/>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71"/>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86">
        <v>0</v>
      </c>
      <c r="AL11" s="985" t="e">
        <f t="shared" ref="AL11:AL23" ca="1" si="7">IF(ISBLANK(AK11),AG11,EXP(-AK11*AH11))</f>
        <v>#NAME?</v>
      </c>
    </row>
    <row r="12" spans="1:40" ht="11.25" customHeight="1" x14ac:dyDescent="0.2">
      <c r="A12" s="873" t="s">
        <v>404</v>
      </c>
      <c r="B12" s="875" t="s">
        <v>173</v>
      </c>
      <c r="C12" s="874" t="s">
        <v>324</v>
      </c>
      <c r="D12" s="874" t="s">
        <v>323</v>
      </c>
      <c r="E12" s="874" t="s">
        <v>322</v>
      </c>
      <c r="F12" s="874" t="s">
        <v>295</v>
      </c>
      <c r="G12" s="874" t="str">
        <f t="shared" si="3"/>
        <v>Euribor1M</v>
      </c>
      <c r="H12" s="873" t="str">
        <f t="shared" si="4"/>
        <v>EUR4X1S_Quote</v>
      </c>
      <c r="I12" s="876">
        <v>0</v>
      </c>
      <c r="J12" s="43" t="e">
        <f ca="1">_xll.qlSwapRateHelper2(,H12,2,B12,Calendar,D12,E12,F12,G12,I12,C12,Discounting,PillarDate,,Permanent,Trigger,ObjectOverwrite)</f>
        <v>#NAME?</v>
      </c>
      <c r="K12" s="23" t="s">
        <v>148</v>
      </c>
      <c r="L12" s="894" t="str">
        <f t="shared" si="1"/>
        <v>Sw</v>
      </c>
      <c r="M12" s="890" t="e">
        <f t="shared" ca="1" si="2"/>
        <v>#NAME?</v>
      </c>
      <c r="N12" s="893" t="str">
        <f ca="1">IFERROR(_xll.qlRateHelperQuoteName(M12,Trigger),"--")</f>
        <v>--</v>
      </c>
      <c r="O12" s="892" t="str">
        <f ca="1">IFERROR(_xll.qlRateHelperQuoteValue($M12,Trigger),"--")</f>
        <v>--</v>
      </c>
      <c r="P12" s="969" t="b">
        <v>1</v>
      </c>
      <c r="Q12" s="890">
        <v>40</v>
      </c>
      <c r="R12" s="890">
        <v>1</v>
      </c>
      <c r="S12" s="889" t="str">
        <f ca="1">IFERROR(_xll.qlRateHelperEarliestDate(M12,Trigger),"--")</f>
        <v>--</v>
      </c>
      <c r="T12" s="889" t="str">
        <f ca="1">IFERROR(_xll.qlRateHelperPillarDate(M12,Trigger),"--")</f>
        <v>--</v>
      </c>
      <c r="V12" s="4" t="str">
        <f t="shared" ca="1" si="0"/>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71"/>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79">
        <v>0</v>
      </c>
      <c r="AL12" s="978" t="e">
        <f t="shared" ca="1" si="7"/>
        <v>#NAME?</v>
      </c>
    </row>
    <row r="13" spans="1:40" ht="11.25" customHeight="1" x14ac:dyDescent="0.2">
      <c r="A13" s="873" t="s">
        <v>404</v>
      </c>
      <c r="B13" s="875" t="s">
        <v>172</v>
      </c>
      <c r="C13" s="874" t="s">
        <v>324</v>
      </c>
      <c r="D13" s="874" t="s">
        <v>323</v>
      </c>
      <c r="E13" s="874" t="s">
        <v>322</v>
      </c>
      <c r="F13" s="874" t="s">
        <v>295</v>
      </c>
      <c r="G13" s="874" t="str">
        <f t="shared" si="3"/>
        <v>Euribor1M</v>
      </c>
      <c r="H13" s="873" t="str">
        <f t="shared" si="4"/>
        <v>EUR5X1S_Quote</v>
      </c>
      <c r="I13" s="876">
        <v>0</v>
      </c>
      <c r="J13" s="43" t="e">
        <f ca="1">_xll.qlSwapRateHelper2(,H13,2,B13,Calendar,D13,E13,F13,G13,I13,C13,Discounting,PillarDate,,Permanent,Trigger,ObjectOverwrite)</f>
        <v>#NAME?</v>
      </c>
      <c r="K13" s="23"/>
      <c r="L13" s="894" t="str">
        <f t="shared" si="1"/>
        <v>Sw</v>
      </c>
      <c r="M13" s="890" t="e">
        <f t="shared" ca="1" si="2"/>
        <v>#NAME?</v>
      </c>
      <c r="N13" s="893" t="str">
        <f ca="1">IFERROR(_xll.qlRateHelperQuoteName(M13,Trigger),"--")</f>
        <v>--</v>
      </c>
      <c r="O13" s="892" t="str">
        <f ca="1">IFERROR(_xll.qlRateHelperQuoteValue($M13,Trigger),"--")</f>
        <v>--</v>
      </c>
      <c r="P13" s="969" t="b">
        <v>1</v>
      </c>
      <c r="Q13" s="890">
        <v>40</v>
      </c>
      <c r="R13" s="890">
        <v>1</v>
      </c>
      <c r="S13" s="889" t="str">
        <f ca="1">IFERROR(_xll.qlRateHelperEarliestDate(M13,Trigger),"--")</f>
        <v>--</v>
      </c>
      <c r="T13" s="889" t="str">
        <f ca="1">IFERROR(_xll.qlRateHelperPillarDate(M13,Trigger),"--")</f>
        <v>--</v>
      </c>
      <c r="V13" s="4" t="str">
        <f t="shared" ca="1" si="0"/>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71"/>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79">
        <v>0</v>
      </c>
      <c r="AL13" s="978" t="e">
        <f t="shared" ca="1" si="7"/>
        <v>#NAME?</v>
      </c>
    </row>
    <row r="14" spans="1:40" ht="11.25" customHeight="1" x14ac:dyDescent="0.2">
      <c r="A14" s="873" t="s">
        <v>404</v>
      </c>
      <c r="B14" s="875" t="s">
        <v>92</v>
      </c>
      <c r="C14" s="874" t="s">
        <v>324</v>
      </c>
      <c r="D14" s="874" t="s">
        <v>323</v>
      </c>
      <c r="E14" s="874" t="s">
        <v>322</v>
      </c>
      <c r="F14" s="874" t="s">
        <v>295</v>
      </c>
      <c r="G14" s="874" t="str">
        <f t="shared" si="3"/>
        <v>Euribor1M</v>
      </c>
      <c r="H14" s="873" t="str">
        <f t="shared" si="4"/>
        <v>EUR6X1S_Quote</v>
      </c>
      <c r="I14" s="876">
        <v>0</v>
      </c>
      <c r="J14" s="43" t="e">
        <f ca="1">_xll.qlSwapRateHelper2(,H14,2,B14,Calendar,D14,E14,F14,G14,I14,C14,Discounting,PillarDate,,Permanent,Trigger,ObjectOverwrite)</f>
        <v>#NAME?</v>
      </c>
      <c r="K14" s="23"/>
      <c r="L14" s="894" t="str">
        <f t="shared" si="1"/>
        <v>Sw</v>
      </c>
      <c r="M14" s="890" t="e">
        <f t="shared" ca="1" si="2"/>
        <v>#NAME?</v>
      </c>
      <c r="N14" s="893" t="str">
        <f ca="1">IFERROR(_xll.qlRateHelperQuoteName(M14,Trigger),"--")</f>
        <v>--</v>
      </c>
      <c r="O14" s="892" t="str">
        <f ca="1">IFERROR(_xll.qlRateHelperQuoteValue($M14,Trigger),"--")</f>
        <v>--</v>
      </c>
      <c r="P14" s="969" t="b">
        <v>1</v>
      </c>
      <c r="Q14" s="890">
        <v>40</v>
      </c>
      <c r="R14" s="890">
        <v>1</v>
      </c>
      <c r="S14" s="889" t="str">
        <f ca="1">IFERROR(_xll.qlRateHelperEarliestDate(M14,Trigger),"--")</f>
        <v>--</v>
      </c>
      <c r="T14" s="889" t="str">
        <f ca="1">IFERROR(_xll.qlRateHelperPillarDate(M14,Trigger),"--")</f>
        <v>--</v>
      </c>
      <c r="V14" s="4" t="str">
        <f t="shared" ca="1" si="0"/>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71"/>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79">
        <v>0</v>
      </c>
      <c r="AL14" s="978" t="e">
        <f t="shared" ca="1" si="7"/>
        <v>#NAME?</v>
      </c>
    </row>
    <row r="15" spans="1:40" ht="11.25" customHeight="1" x14ac:dyDescent="0.2">
      <c r="A15" s="873" t="s">
        <v>404</v>
      </c>
      <c r="B15" s="875" t="s">
        <v>171</v>
      </c>
      <c r="C15" s="874" t="s">
        <v>324</v>
      </c>
      <c r="D15" s="874" t="s">
        <v>323</v>
      </c>
      <c r="E15" s="874" t="s">
        <v>322</v>
      </c>
      <c r="F15" s="874" t="s">
        <v>295</v>
      </c>
      <c r="G15" s="874" t="str">
        <f t="shared" si="3"/>
        <v>Euribor1M</v>
      </c>
      <c r="H15" s="873" t="str">
        <f t="shared" si="4"/>
        <v>EUR7X1S_Quote</v>
      </c>
      <c r="I15" s="876">
        <v>0</v>
      </c>
      <c r="J15" s="43" t="e">
        <f ca="1">_xll.qlSwapRateHelper2(,H15,2,B15,Calendar,D15,E15,F15,G15,I15,C15,Discounting,PillarDate,,Permanent,Trigger,ObjectOverwrite)</f>
        <v>#NAME?</v>
      </c>
      <c r="K15" s="23"/>
      <c r="L15" s="894" t="str">
        <f t="shared" si="1"/>
        <v>Sw</v>
      </c>
      <c r="M15" s="890" t="e">
        <f t="shared" ca="1" si="2"/>
        <v>#NAME?</v>
      </c>
      <c r="N15" s="893" t="str">
        <f ca="1">IFERROR(_xll.qlRateHelperQuoteName(M15,Trigger),"--")</f>
        <v>--</v>
      </c>
      <c r="O15" s="892" t="str">
        <f ca="1">IFERROR(_xll.qlRateHelperQuoteValue($M15,Trigger),"--")</f>
        <v>--</v>
      </c>
      <c r="P15" s="969" t="b">
        <v>1</v>
      </c>
      <c r="Q15" s="890">
        <v>40</v>
      </c>
      <c r="R15" s="890">
        <v>1</v>
      </c>
      <c r="S15" s="889" t="str">
        <f ca="1">IFERROR(_xll.qlRateHelperEarliestDate(M15,Trigger),"--")</f>
        <v>--</v>
      </c>
      <c r="T15" s="889" t="str">
        <f ca="1">IFERROR(_xll.qlRateHelperPillarDate(M15,Trigger),"--")</f>
        <v>--</v>
      </c>
      <c r="V15" s="4" t="str">
        <f t="shared" ca="1" si="0"/>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71"/>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79">
        <v>0</v>
      </c>
      <c r="AL15" s="978" t="e">
        <f t="shared" ca="1" si="7"/>
        <v>#NAME?</v>
      </c>
    </row>
    <row r="16" spans="1:40" ht="11.25" customHeight="1" x14ac:dyDescent="0.2">
      <c r="A16" s="873" t="s">
        <v>404</v>
      </c>
      <c r="B16" s="875" t="s">
        <v>170</v>
      </c>
      <c r="C16" s="874" t="s">
        <v>324</v>
      </c>
      <c r="D16" s="874" t="s">
        <v>323</v>
      </c>
      <c r="E16" s="874" t="s">
        <v>322</v>
      </c>
      <c r="F16" s="874" t="s">
        <v>295</v>
      </c>
      <c r="G16" s="874" t="str">
        <f t="shared" si="3"/>
        <v>Euribor1M</v>
      </c>
      <c r="H16" s="873" t="str">
        <f t="shared" si="4"/>
        <v>EUR8X1S_Quote</v>
      </c>
      <c r="I16" s="876">
        <v>0</v>
      </c>
      <c r="J16" s="43" t="e">
        <f ca="1">_xll.qlSwapRateHelper2(,H16,2,B16,Calendar,D16,E16,F16,G16,I16,C16,Discounting,PillarDate,,Permanent,Trigger,ObjectOverwrite)</f>
        <v>#NAME?</v>
      </c>
      <c r="K16" s="23"/>
      <c r="L16" s="894" t="str">
        <f t="shared" si="1"/>
        <v>Sw</v>
      </c>
      <c r="M16" s="890" t="e">
        <f t="shared" ca="1" si="2"/>
        <v>#NAME?</v>
      </c>
      <c r="N16" s="893" t="str">
        <f ca="1">IFERROR(_xll.qlRateHelperQuoteName(M16,Trigger),"--")</f>
        <v>--</v>
      </c>
      <c r="O16" s="892" t="str">
        <f ca="1">IFERROR(_xll.qlRateHelperQuoteValue($M16,Trigger),"--")</f>
        <v>--</v>
      </c>
      <c r="P16" s="969" t="b">
        <v>1</v>
      </c>
      <c r="Q16" s="890">
        <v>40</v>
      </c>
      <c r="R16" s="890">
        <v>1</v>
      </c>
      <c r="S16" s="889" t="str">
        <f ca="1">IFERROR(_xll.qlRateHelperEarliestDate(M16,Trigger),"--")</f>
        <v>--</v>
      </c>
      <c r="T16" s="889" t="str">
        <f ca="1">IFERROR(_xll.qlRateHelperPillarDate(M16,Trigger),"--")</f>
        <v>--</v>
      </c>
      <c r="V16" s="4" t="str">
        <f t="shared" ca="1" si="0"/>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71"/>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79">
        <v>0</v>
      </c>
      <c r="AL16" s="978" t="e">
        <f t="shared" ca="1" si="7"/>
        <v>#NAME?</v>
      </c>
    </row>
    <row r="17" spans="1:38" ht="11.25" customHeight="1" x14ac:dyDescent="0.2">
      <c r="A17" s="873" t="s">
        <v>404</v>
      </c>
      <c r="B17" s="875" t="s">
        <v>169</v>
      </c>
      <c r="C17" s="874" t="s">
        <v>324</v>
      </c>
      <c r="D17" s="874" t="s">
        <v>323</v>
      </c>
      <c r="E17" s="874" t="s">
        <v>322</v>
      </c>
      <c r="F17" s="874" t="s">
        <v>295</v>
      </c>
      <c r="G17" s="874" t="str">
        <f t="shared" si="3"/>
        <v>Euribor1M</v>
      </c>
      <c r="H17" s="873" t="str">
        <f t="shared" si="4"/>
        <v>EUR9X1S_Quote</v>
      </c>
      <c r="I17" s="876">
        <v>0</v>
      </c>
      <c r="J17" s="43" t="e">
        <f ca="1">_xll.qlSwapRateHelper2(,H17,2,B17,Calendar,D17,E17,F17,G17,I17,C17,Discounting,PillarDate,,Permanent,Trigger,ObjectOverwrite)</f>
        <v>#NAME?</v>
      </c>
      <c r="K17" s="23"/>
      <c r="L17" s="894" t="str">
        <f t="shared" si="1"/>
        <v>Sw</v>
      </c>
      <c r="M17" s="890" t="e">
        <f t="shared" ca="1" si="2"/>
        <v>#NAME?</v>
      </c>
      <c r="N17" s="893" t="str">
        <f ca="1">IFERROR(_xll.qlRateHelperQuoteName(M17,Trigger),"--")</f>
        <v>--</v>
      </c>
      <c r="O17" s="892" t="str">
        <f ca="1">IFERROR(_xll.qlRateHelperQuoteValue($M17,Trigger),"--")</f>
        <v>--</v>
      </c>
      <c r="P17" s="969" t="b">
        <v>1</v>
      </c>
      <c r="Q17" s="890">
        <v>40</v>
      </c>
      <c r="R17" s="890">
        <v>1</v>
      </c>
      <c r="S17" s="889" t="str">
        <f ca="1">IFERROR(_xll.qlRateHelperEarliestDate(M17,Trigger),"--")</f>
        <v>--</v>
      </c>
      <c r="T17" s="889" t="str">
        <f ca="1">IFERROR(_xll.qlRateHelperPillarDate(M17,Trigger),"--")</f>
        <v>--</v>
      </c>
      <c r="V17" s="4" t="str">
        <f t="shared" ca="1" si="0"/>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71"/>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79">
        <v>0</v>
      </c>
      <c r="AL17" s="978" t="e">
        <f t="shared" ca="1" si="7"/>
        <v>#NAME?</v>
      </c>
    </row>
    <row r="18" spans="1:38" ht="11.25" customHeight="1" x14ac:dyDescent="0.2">
      <c r="A18" s="873" t="s">
        <v>404</v>
      </c>
      <c r="B18" s="875" t="s">
        <v>168</v>
      </c>
      <c r="C18" s="874" t="s">
        <v>324</v>
      </c>
      <c r="D18" s="874" t="s">
        <v>323</v>
      </c>
      <c r="E18" s="874" t="s">
        <v>322</v>
      </c>
      <c r="F18" s="874" t="s">
        <v>295</v>
      </c>
      <c r="G18" s="874" t="str">
        <f t="shared" si="3"/>
        <v>Euribor1M</v>
      </c>
      <c r="H18" s="873" t="str">
        <f t="shared" si="4"/>
        <v>EUR10X1S_Quote</v>
      </c>
      <c r="I18" s="876">
        <v>0</v>
      </c>
      <c r="J18" s="43" t="e">
        <f ca="1">_xll.qlSwapRateHelper2(,H18,2,B18,Calendar,D18,E18,F18,G18,I18,C18,Discounting,PillarDate,,Permanent,Trigger,ObjectOverwrite)</f>
        <v>#NAME?</v>
      </c>
      <c r="K18" s="23"/>
      <c r="L18" s="885" t="str">
        <f t="shared" si="1"/>
        <v>Sw</v>
      </c>
      <c r="M18" s="881" t="e">
        <f t="shared" ca="1" si="2"/>
        <v>#NAME?</v>
      </c>
      <c r="N18" s="884" t="str">
        <f ca="1">IFERROR(_xll.qlRateHelperQuoteName(M18,Trigger),"--")</f>
        <v>--</v>
      </c>
      <c r="O18" s="883" t="str">
        <f ca="1">IFERROR(_xll.qlRateHelperQuoteValue($M18,Trigger),"--")</f>
        <v>--</v>
      </c>
      <c r="P18" s="968" t="b">
        <v>1</v>
      </c>
      <c r="Q18" s="881">
        <v>40</v>
      </c>
      <c r="R18" s="881">
        <v>1</v>
      </c>
      <c r="S18" s="880" t="str">
        <f ca="1">IFERROR(_xll.qlRateHelperEarliestDate(M18,Trigger),"--")</f>
        <v>--</v>
      </c>
      <c r="T18" s="880" t="str">
        <f ca="1">IFERROR(_xll.qlRateHelperPillarDate(M18,Trigger),"--")</f>
        <v>--</v>
      </c>
      <c r="V18" s="4" t="str">
        <f t="shared" ca="1" si="0"/>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71"/>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79">
        <v>0</v>
      </c>
      <c r="AL18" s="978" t="e">
        <f t="shared" ca="1" si="7"/>
        <v>#NAME?</v>
      </c>
    </row>
    <row r="19" spans="1:38" ht="11.25" customHeight="1" x14ac:dyDescent="0.2">
      <c r="A19" s="873" t="s">
        <v>404</v>
      </c>
      <c r="B19" s="875" t="s">
        <v>167</v>
      </c>
      <c r="C19" s="874" t="s">
        <v>324</v>
      </c>
      <c r="D19" s="874" t="s">
        <v>323</v>
      </c>
      <c r="E19" s="874" t="s">
        <v>322</v>
      </c>
      <c r="F19" s="874" t="s">
        <v>295</v>
      </c>
      <c r="G19" s="874" t="str">
        <f t="shared" si="3"/>
        <v>Euribor1M</v>
      </c>
      <c r="H19" s="873" t="str">
        <f t="shared" si="4"/>
        <v>EUR11X1S_Quote</v>
      </c>
      <c r="I19" s="876">
        <v>0</v>
      </c>
      <c r="J19" s="43" t="e">
        <f ca="1">_xll.qlSwapRateHelper2(,H19,2,B19,Calendar,D19,E19,F19,G19,I19,C19,Discounting,PillarDate,,Permanent,Trigger,ObjectOverwrite)</f>
        <v>#NAME?</v>
      </c>
      <c r="K19" s="23"/>
      <c r="L19" s="894" t="str">
        <f t="shared" ref="L19:L55" si="8">A23</f>
        <v>Sw</v>
      </c>
      <c r="M19" s="890" t="str">
        <f t="shared" ref="M19:M55" si="9">IF(ISBLANK(J23),"--",J23)</f>
        <v>--</v>
      </c>
      <c r="N19" s="893" t="str">
        <f ca="1">IFERROR(_xll.qlRateHelperQuoteName(M19,Trigger),"--")</f>
        <v>--</v>
      </c>
      <c r="O19" s="892" t="str">
        <f ca="1">IFERROR(_xll.qlRateHelperQuoteValue($M19,Trigger),"--")</f>
        <v>--</v>
      </c>
      <c r="P19" s="969" t="b">
        <v>0</v>
      </c>
      <c r="Q19" s="890">
        <v>50</v>
      </c>
      <c r="R19" s="890">
        <v>1</v>
      </c>
      <c r="S19" s="889" t="str">
        <f ca="1">IFERROR(_xll.qlRateHelperEarliestDate(M19,Trigger),"--")</f>
        <v>--</v>
      </c>
      <c r="T19" s="889" t="str">
        <f ca="1">IFERROR(_xll.qlRateHelperPillarDate(M19,Trigger),"--")</f>
        <v>--</v>
      </c>
      <c r="V19" s="4" t="str">
        <f t="shared" ca="1" si="0"/>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71"/>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79">
        <v>0</v>
      </c>
      <c r="AL19" s="978" t="e">
        <f t="shared" ca="1" si="7"/>
        <v>#NAME?</v>
      </c>
    </row>
    <row r="20" spans="1:38" ht="11.25" customHeight="1" x14ac:dyDescent="0.2">
      <c r="A20" s="869" t="s">
        <v>404</v>
      </c>
      <c r="B20" s="871" t="s">
        <v>318</v>
      </c>
      <c r="C20" s="870" t="s">
        <v>324</v>
      </c>
      <c r="D20" s="870" t="s">
        <v>323</v>
      </c>
      <c r="E20" s="870" t="s">
        <v>322</v>
      </c>
      <c r="F20" s="870" t="s">
        <v>295</v>
      </c>
      <c r="G20" s="870" t="str">
        <f t="shared" si="3"/>
        <v>Euribor1M</v>
      </c>
      <c r="H20" s="869" t="str">
        <f t="shared" si="4"/>
        <v>EUR12X1S_Quote</v>
      </c>
      <c r="I20" s="984">
        <v>0</v>
      </c>
      <c r="J20" s="38" t="e">
        <f ca="1">_xll.qlSwapRateHelper2(,H20,2,B20,Calendar,D20,E20,F20,G20,I20,C20,Discounting,PillarDate,,Permanent,Trigger,ObjectOverwrite)</f>
        <v>#NAME?</v>
      </c>
      <c r="K20" s="23"/>
      <c r="L20" s="894" t="str">
        <f t="shared" si="8"/>
        <v>Sw</v>
      </c>
      <c r="M20" s="890" t="str">
        <f t="shared" si="9"/>
        <v>--</v>
      </c>
      <c r="N20" s="893" t="str">
        <f ca="1">IFERROR(_xll.qlRateHelperQuoteName(M20,Trigger),"--")</f>
        <v>--</v>
      </c>
      <c r="O20" s="892" t="str">
        <f ca="1">IFERROR(_xll.qlRateHelperQuoteValue($M20,Trigger),"--")</f>
        <v>--</v>
      </c>
      <c r="P20" s="969" t="b">
        <v>0</v>
      </c>
      <c r="Q20" s="890">
        <v>50</v>
      </c>
      <c r="R20" s="890">
        <v>1</v>
      </c>
      <c r="S20" s="889" t="str">
        <f ca="1">IFERROR(_xll.qlRateHelperEarliestDate(M20,Trigger),"--")</f>
        <v>--</v>
      </c>
      <c r="T20" s="889" t="str">
        <f ca="1">IFERROR(_xll.qlRateHelperPillarDate(M20,Trigger),"--")</f>
        <v>--</v>
      </c>
      <c r="V20" s="4" t="str">
        <f t="shared" ca="1" si="0"/>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71"/>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79">
        <v>0</v>
      </c>
      <c r="AL20" s="978" t="e">
        <f t="shared" ca="1" si="7"/>
        <v>#NAME?</v>
      </c>
    </row>
    <row r="21" spans="1:38" ht="11.25" customHeight="1" x14ac:dyDescent="0.2">
      <c r="G21" s="238" t="s">
        <v>21</v>
      </c>
      <c r="H21" s="238" t="s">
        <v>71</v>
      </c>
      <c r="K21" s="23"/>
      <c r="L21" s="894" t="str">
        <f t="shared" si="8"/>
        <v>Sw</v>
      </c>
      <c r="M21" s="890" t="str">
        <f t="shared" si="9"/>
        <v>--</v>
      </c>
      <c r="N21" s="893" t="str">
        <f ca="1">IFERROR(_xll.qlRateHelperQuoteName(M21,Trigger),"--")</f>
        <v>--</v>
      </c>
      <c r="O21" s="892" t="str">
        <f ca="1">IFERROR(_xll.qlRateHelperQuoteValue($M21,Trigger),"--")</f>
        <v>--</v>
      </c>
      <c r="P21" s="969" t="b">
        <v>0</v>
      </c>
      <c r="Q21" s="890">
        <v>50</v>
      </c>
      <c r="R21" s="890">
        <v>1</v>
      </c>
      <c r="S21" s="889" t="str">
        <f ca="1">IFERROR(_xll.qlRateHelperEarliestDate(M21,Trigger),"--")</f>
        <v>--</v>
      </c>
      <c r="T21" s="889" t="str">
        <f ca="1">IFERROR(_xll.qlRateHelperPillarDate(M21,Trigger),"--")</f>
        <v>--</v>
      </c>
      <c r="V21" s="4" t="str">
        <f t="shared" ca="1" si="0"/>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71"/>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79">
        <v>0</v>
      </c>
      <c r="AL21" s="978" t="e">
        <f t="shared" ca="1" si="7"/>
        <v>#NAME?</v>
      </c>
    </row>
    <row r="22" spans="1:38" ht="11.25" customHeight="1" x14ac:dyDescent="0.2">
      <c r="A22" s="145" t="s">
        <v>388</v>
      </c>
      <c r="B22" s="145" t="s">
        <v>107</v>
      </c>
      <c r="C22" s="145" t="s">
        <v>387</v>
      </c>
      <c r="D22" s="145" t="s">
        <v>330</v>
      </c>
      <c r="E22" s="145" t="s">
        <v>386</v>
      </c>
      <c r="F22" s="145" t="s">
        <v>385</v>
      </c>
      <c r="G22" s="145" t="s">
        <v>14</v>
      </c>
      <c r="H22" s="145" t="s">
        <v>384</v>
      </c>
      <c r="I22" s="145" t="s">
        <v>62</v>
      </c>
      <c r="J22" s="145" t="s">
        <v>383</v>
      </c>
      <c r="K22" s="23"/>
      <c r="L22" s="894" t="str">
        <f t="shared" si="8"/>
        <v>Sw</v>
      </c>
      <c r="M22" s="890" t="str">
        <f t="shared" si="9"/>
        <v>--</v>
      </c>
      <c r="N22" s="893" t="str">
        <f ca="1">IFERROR(_xll.qlRateHelperQuoteName(M22,Trigger),"--")</f>
        <v>--</v>
      </c>
      <c r="O22" s="892" t="str">
        <f ca="1">IFERROR(_xll.qlRateHelperQuoteValue($M22,Trigger),"--")</f>
        <v>--</v>
      </c>
      <c r="P22" s="969" t="b">
        <v>0</v>
      </c>
      <c r="Q22" s="890">
        <v>50</v>
      </c>
      <c r="R22" s="890">
        <v>1</v>
      </c>
      <c r="S22" s="889" t="str">
        <f ca="1">IFERROR(_xll.qlRateHelperEarliestDate(M22,Trigger),"--")</f>
        <v>--</v>
      </c>
      <c r="T22" s="889" t="str">
        <f ca="1">IFERROR(_xll.qlRateHelperPillarDate(M22,Trigger),"--")</f>
        <v>--</v>
      </c>
      <c r="V22" s="4" t="str">
        <f t="shared" ca="1" si="0"/>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71"/>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79">
        <v>0</v>
      </c>
      <c r="AL22" s="978" t="e">
        <f t="shared" ca="1" si="7"/>
        <v>#NAME?</v>
      </c>
    </row>
    <row r="23" spans="1:38" ht="11.25" customHeight="1" x14ac:dyDescent="0.2">
      <c r="A23" s="873" t="s">
        <v>404</v>
      </c>
      <c r="B23" s="875" t="s">
        <v>58</v>
      </c>
      <c r="C23" s="874" t="s">
        <v>324</v>
      </c>
      <c r="D23" s="874" t="s">
        <v>323</v>
      </c>
      <c r="E23" s="874" t="s">
        <v>322</v>
      </c>
      <c r="F23" s="874" t="s">
        <v>221</v>
      </c>
      <c r="G23" s="874" t="str">
        <f t="shared" ref="G23:G59" si="10">PROPER(Currency)&amp;FamilyName&amp;Tenor</f>
        <v>Euribor1M</v>
      </c>
      <c r="H23" s="873" t="str">
        <f t="shared" ref="H23:H59" si="11">Currency&amp;$G$21&amp;$H$21&amp;$B23&amp;QuoteSuffix</f>
        <v>EURAB1E1Y_Quote</v>
      </c>
      <c r="I23" s="966">
        <v>0</v>
      </c>
      <c r="J23" s="43"/>
      <c r="K23" s="23"/>
      <c r="L23" s="894" t="str">
        <f t="shared" si="8"/>
        <v>Sw</v>
      </c>
      <c r="M23" s="890" t="e">
        <f t="shared" ca="1" si="9"/>
        <v>#NAME?</v>
      </c>
      <c r="N23" s="893" t="str">
        <f ca="1">IFERROR(_xll.qlRateHelperQuoteName(M23,Trigger),"--")</f>
        <v>--</v>
      </c>
      <c r="O23" s="892" t="str">
        <f ca="1">IFERROR(_xll.qlRateHelperQuoteValue($M23,Trigger),"--")</f>
        <v>--</v>
      </c>
      <c r="P23" s="969" t="b">
        <v>1</v>
      </c>
      <c r="Q23" s="890">
        <v>50</v>
      </c>
      <c r="R23" s="890">
        <v>1</v>
      </c>
      <c r="S23" s="889" t="str">
        <f ca="1">IFERROR(_xll.qlRateHelperEarliestDate(M23,Trigger),"--")</f>
        <v>--</v>
      </c>
      <c r="T23" s="889" t="str">
        <f ca="1">IFERROR(_xll.qlRateHelperPillarDate(M23,Trigger),"--")</f>
        <v>--</v>
      </c>
      <c r="V23" s="4" t="str">
        <f t="shared" ca="1" si="0"/>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71"/>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73">
        <v>0</v>
      </c>
      <c r="AL23" s="972" t="e">
        <f t="shared" ca="1" si="7"/>
        <v>#NAME?</v>
      </c>
    </row>
    <row r="24" spans="1:38" ht="11.25" customHeight="1" x14ac:dyDescent="0.2">
      <c r="A24" s="873" t="s">
        <v>404</v>
      </c>
      <c r="B24" s="875" t="s">
        <v>57</v>
      </c>
      <c r="C24" s="874" t="s">
        <v>324</v>
      </c>
      <c r="D24" s="874" t="s">
        <v>323</v>
      </c>
      <c r="E24" s="874" t="s">
        <v>322</v>
      </c>
      <c r="F24" s="874" t="s">
        <v>221</v>
      </c>
      <c r="G24" s="874" t="str">
        <f t="shared" si="10"/>
        <v>Euribor1M</v>
      </c>
      <c r="H24" s="873" t="str">
        <f t="shared" si="11"/>
        <v>EURAB1E15M_Quote</v>
      </c>
      <c r="I24" s="966">
        <v>0</v>
      </c>
      <c r="J24" s="43"/>
      <c r="K24" s="23"/>
      <c r="L24" s="894" t="str">
        <f t="shared" si="8"/>
        <v>Sw</v>
      </c>
      <c r="M24" s="890" t="e">
        <f t="shared" ca="1" si="9"/>
        <v>#NAME?</v>
      </c>
      <c r="N24" s="893" t="str">
        <f ca="1">IFERROR(_xll.qlRateHelperQuoteName(M24,Trigger),"--")</f>
        <v>--</v>
      </c>
      <c r="O24" s="892" t="str">
        <f ca="1">IFERROR(_xll.qlRateHelperQuoteValue($M24,Trigger),"--")</f>
        <v>--</v>
      </c>
      <c r="P24" s="969" t="b">
        <v>1</v>
      </c>
      <c r="Q24" s="890">
        <v>50</v>
      </c>
      <c r="R24" s="890">
        <v>1</v>
      </c>
      <c r="S24" s="889" t="str">
        <f ca="1">IFERROR(_xll.qlRateHelperEarliestDate(M24,Trigger),"--")</f>
        <v>--</v>
      </c>
      <c r="T24" s="889" t="str">
        <f ca="1">IFERROR(_xll.qlRateHelperPillarDate(M24,Trigger),"--")</f>
        <v>--</v>
      </c>
      <c r="V24" s="4" t="str">
        <f t="shared" ca="1" si="0"/>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71"/>
    </row>
    <row r="25" spans="1:38" ht="11.25" customHeight="1" x14ac:dyDescent="0.2">
      <c r="A25" s="873" t="s">
        <v>404</v>
      </c>
      <c r="B25" s="875" t="s">
        <v>56</v>
      </c>
      <c r="C25" s="874" t="s">
        <v>324</v>
      </c>
      <c r="D25" s="874" t="s">
        <v>323</v>
      </c>
      <c r="E25" s="874" t="s">
        <v>322</v>
      </c>
      <c r="F25" s="874" t="s">
        <v>221</v>
      </c>
      <c r="G25" s="874" t="str">
        <f t="shared" si="10"/>
        <v>Euribor1M</v>
      </c>
      <c r="H25" s="873" t="str">
        <f t="shared" si="11"/>
        <v>EURAB1E18M_Quote</v>
      </c>
      <c r="I25" s="966">
        <v>0</v>
      </c>
      <c r="J25" s="43"/>
      <c r="K25" s="23"/>
      <c r="L25" s="894" t="str">
        <f t="shared" si="8"/>
        <v>Sw</v>
      </c>
      <c r="M25" s="890" t="e">
        <f t="shared" ca="1" si="9"/>
        <v>#NAME?</v>
      </c>
      <c r="N25" s="893" t="str">
        <f ca="1">IFERROR(_xll.qlRateHelperQuoteName(M25,Trigger),"--")</f>
        <v>--</v>
      </c>
      <c r="O25" s="892" t="str">
        <f ca="1">IFERROR(_xll.qlRateHelperQuoteValue($M25,Trigger),"--")</f>
        <v>--</v>
      </c>
      <c r="P25" s="969" t="b">
        <v>1</v>
      </c>
      <c r="Q25" s="890">
        <v>50</v>
      </c>
      <c r="R25" s="890">
        <v>1</v>
      </c>
      <c r="S25" s="889" t="str">
        <f ca="1">IFERROR(_xll.qlRateHelperEarliestDate(M25,Trigger),"--")</f>
        <v>--</v>
      </c>
      <c r="T25" s="889" t="str">
        <f ca="1">IFERROR(_xll.qlRateHelperPillarDate(M25,Trigger),"--")</f>
        <v>--</v>
      </c>
      <c r="V25" s="4" t="str">
        <f t="shared" ca="1" si="0"/>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71"/>
    </row>
    <row r="26" spans="1:38" ht="11.25" customHeight="1" x14ac:dyDescent="0.2">
      <c r="A26" s="873" t="s">
        <v>404</v>
      </c>
      <c r="B26" s="875" t="s">
        <v>55</v>
      </c>
      <c r="C26" s="874" t="s">
        <v>324</v>
      </c>
      <c r="D26" s="874" t="s">
        <v>323</v>
      </c>
      <c r="E26" s="874" t="s">
        <v>322</v>
      </c>
      <c r="F26" s="874" t="s">
        <v>221</v>
      </c>
      <c r="G26" s="874" t="str">
        <f t="shared" si="10"/>
        <v>Euribor1M</v>
      </c>
      <c r="H26" s="873" t="str">
        <f t="shared" si="11"/>
        <v>EURAB1E21M_Quote</v>
      </c>
      <c r="I26" s="966">
        <v>0</v>
      </c>
      <c r="J26" s="43"/>
      <c r="K26" s="23"/>
      <c r="L26" s="894" t="str">
        <f t="shared" si="8"/>
        <v>Sw</v>
      </c>
      <c r="M26" s="890" t="e">
        <f t="shared" ca="1" si="9"/>
        <v>#NAME?</v>
      </c>
      <c r="N26" s="893" t="str">
        <f ca="1">IFERROR(_xll.qlRateHelperQuoteName(M26,Trigger),"--")</f>
        <v>--</v>
      </c>
      <c r="O26" s="892" t="str">
        <f ca="1">IFERROR(_xll.qlRateHelperQuoteValue($M26,Trigger),"--")</f>
        <v>--</v>
      </c>
      <c r="P26" s="969" t="b">
        <v>1</v>
      </c>
      <c r="Q26" s="890">
        <v>50</v>
      </c>
      <c r="R26" s="890">
        <v>1</v>
      </c>
      <c r="S26" s="889" t="str">
        <f ca="1">IFERROR(_xll.qlRateHelperEarliestDate(M26,Trigger),"--")</f>
        <v>--</v>
      </c>
      <c r="T26" s="889" t="str">
        <f ca="1">IFERROR(_xll.qlRateHelperPillarDate(M26,Trigger),"--")</f>
        <v>--</v>
      </c>
      <c r="V26" s="4" t="str">
        <f t="shared" ca="1" si="0"/>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71"/>
    </row>
    <row r="27" spans="1:38" ht="11.25" customHeight="1" x14ac:dyDescent="0.2">
      <c r="A27" s="873" t="s">
        <v>404</v>
      </c>
      <c r="B27" s="875" t="s">
        <v>54</v>
      </c>
      <c r="C27" s="874" t="s">
        <v>324</v>
      </c>
      <c r="D27" s="874" t="s">
        <v>323</v>
      </c>
      <c r="E27" s="874" t="s">
        <v>322</v>
      </c>
      <c r="F27" s="874" t="s">
        <v>221</v>
      </c>
      <c r="G27" s="874" t="str">
        <f t="shared" si="10"/>
        <v>Euribor1M</v>
      </c>
      <c r="H27" s="873" t="str">
        <f t="shared" si="11"/>
        <v>EURAB1E2Y_Quote</v>
      </c>
      <c r="I27" s="966">
        <v>0</v>
      </c>
      <c r="J27" s="43" t="e">
        <f ca="1">_xll.qlSwapRateHelper2(,H27,2,B27,Calendar,D27,E27,F27,G27,I27,C27,Discounting,PillarDate,,Permanent,Trigger,ObjectOverwrite)</f>
        <v>#NAME?</v>
      </c>
      <c r="K27" s="23"/>
      <c r="L27" s="894" t="str">
        <f t="shared" si="8"/>
        <v>Sw</v>
      </c>
      <c r="M27" s="890" t="e">
        <f t="shared" ca="1" si="9"/>
        <v>#NAME?</v>
      </c>
      <c r="N27" s="893" t="str">
        <f ca="1">IFERROR(_xll.qlRateHelperQuoteName(M27,Trigger),"--")</f>
        <v>--</v>
      </c>
      <c r="O27" s="892" t="str">
        <f ca="1">IFERROR(_xll.qlRateHelperQuoteValue($M27,Trigger),"--")</f>
        <v>--</v>
      </c>
      <c r="P27" s="969" t="b">
        <v>1</v>
      </c>
      <c r="Q27" s="890">
        <v>50</v>
      </c>
      <c r="R27" s="890">
        <v>1</v>
      </c>
      <c r="S27" s="889" t="str">
        <f ca="1">IFERROR(_xll.qlRateHelperEarliestDate(M27,Trigger),"--")</f>
        <v>--</v>
      </c>
      <c r="T27" s="889" t="str">
        <f ca="1">IFERROR(_xll.qlRateHelperPillarDate(M27,Trigger),"--")</f>
        <v>--</v>
      </c>
      <c r="V27" s="4" t="str">
        <f t="shared" ca="1" si="0"/>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71"/>
    </row>
    <row r="28" spans="1:38" ht="11.25" customHeight="1" x14ac:dyDescent="0.2">
      <c r="A28" s="873" t="s">
        <v>404</v>
      </c>
      <c r="B28" s="875" t="s">
        <v>53</v>
      </c>
      <c r="C28" s="874" t="s">
        <v>324</v>
      </c>
      <c r="D28" s="874" t="s">
        <v>323</v>
      </c>
      <c r="E28" s="874" t="s">
        <v>322</v>
      </c>
      <c r="F28" s="874" t="s">
        <v>221</v>
      </c>
      <c r="G28" s="874" t="str">
        <f t="shared" si="10"/>
        <v>Euribor1M</v>
      </c>
      <c r="H28" s="873" t="str">
        <f t="shared" si="11"/>
        <v>EURAB1E3Y_Quote</v>
      </c>
      <c r="I28" s="966">
        <v>0</v>
      </c>
      <c r="J28" s="43" t="e">
        <f ca="1">_xll.qlSwapRateHelper2(,H28,2,B28,Calendar,D28,E28,F28,G28,I28,C28,Discounting,PillarDate,,Permanent,Trigger,ObjectOverwrite)</f>
        <v>#NAME?</v>
      </c>
      <c r="K28" s="23"/>
      <c r="L28" s="894" t="str">
        <f t="shared" si="8"/>
        <v>Sw</v>
      </c>
      <c r="M28" s="890" t="e">
        <f t="shared" ca="1" si="9"/>
        <v>#NAME?</v>
      </c>
      <c r="N28" s="893" t="str">
        <f ca="1">IFERROR(_xll.qlRateHelperQuoteName(M28,Trigger),"--")</f>
        <v>--</v>
      </c>
      <c r="O28" s="892" t="str">
        <f ca="1">IFERROR(_xll.qlRateHelperQuoteValue($M28,Trigger),"--")</f>
        <v>--</v>
      </c>
      <c r="P28" s="969" t="b">
        <v>1</v>
      </c>
      <c r="Q28" s="890">
        <v>50</v>
      </c>
      <c r="R28" s="890">
        <v>1</v>
      </c>
      <c r="S28" s="889" t="str">
        <f ca="1">IFERROR(_xll.qlRateHelperEarliestDate(M28,Trigger),"--")</f>
        <v>--</v>
      </c>
      <c r="T28" s="889" t="str">
        <f ca="1">IFERROR(_xll.qlRateHelperPillarDate(M28,Trigger),"--")</f>
        <v>--</v>
      </c>
      <c r="V28" s="4" t="str">
        <f t="shared" ca="1" si="0"/>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71"/>
    </row>
    <row r="29" spans="1:38" ht="11.25" customHeight="1" x14ac:dyDescent="0.2">
      <c r="A29" s="873" t="s">
        <v>404</v>
      </c>
      <c r="B29" s="875" t="s">
        <v>52</v>
      </c>
      <c r="C29" s="874" t="s">
        <v>324</v>
      </c>
      <c r="D29" s="874" t="s">
        <v>323</v>
      </c>
      <c r="E29" s="874" t="s">
        <v>322</v>
      </c>
      <c r="F29" s="874" t="s">
        <v>221</v>
      </c>
      <c r="G29" s="874" t="str">
        <f t="shared" si="10"/>
        <v>Euribor1M</v>
      </c>
      <c r="H29" s="873" t="str">
        <f t="shared" si="11"/>
        <v>EURAB1E4Y_Quote</v>
      </c>
      <c r="I29" s="966">
        <v>0</v>
      </c>
      <c r="J29" s="43" t="e">
        <f ca="1">_xll.qlSwapRateHelper2(,H29,2,B29,Calendar,D29,E29,F29,G29,I29,C29,Discounting,PillarDate,,Permanent,Trigger,ObjectOverwrite)</f>
        <v>#NAME?</v>
      </c>
      <c r="K29" s="23"/>
      <c r="L29" s="894" t="str">
        <f t="shared" si="8"/>
        <v>Sw</v>
      </c>
      <c r="M29" s="890" t="e">
        <f t="shared" ca="1" si="9"/>
        <v>#NAME?</v>
      </c>
      <c r="N29" s="893" t="str">
        <f ca="1">IFERROR(_xll.qlRateHelperQuoteName(M29,Trigger),"--")</f>
        <v>--</v>
      </c>
      <c r="O29" s="892" t="str">
        <f ca="1">IFERROR(_xll.qlRateHelperQuoteValue($M29,Trigger),"--")</f>
        <v>--</v>
      </c>
      <c r="P29" s="969" t="b">
        <v>1</v>
      </c>
      <c r="Q29" s="890">
        <v>50</v>
      </c>
      <c r="R29" s="890">
        <v>1</v>
      </c>
      <c r="S29" s="889" t="str">
        <f ca="1">IFERROR(_xll.qlRateHelperEarliestDate(M29,Trigger),"--")</f>
        <v>--</v>
      </c>
      <c r="T29" s="889" t="str">
        <f ca="1">IFERROR(_xll.qlRateHelperPillarDate(M29,Trigger),"--")</f>
        <v>--</v>
      </c>
      <c r="V29" s="4" t="str">
        <f t="shared" ca="1" si="0"/>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71"/>
    </row>
    <row r="30" spans="1:38" ht="11.25" customHeight="1" x14ac:dyDescent="0.2">
      <c r="A30" s="873" t="s">
        <v>404</v>
      </c>
      <c r="B30" s="875" t="s">
        <v>51</v>
      </c>
      <c r="C30" s="874" t="s">
        <v>324</v>
      </c>
      <c r="D30" s="874" t="s">
        <v>323</v>
      </c>
      <c r="E30" s="874" t="s">
        <v>322</v>
      </c>
      <c r="F30" s="874" t="s">
        <v>221</v>
      </c>
      <c r="G30" s="874" t="str">
        <f t="shared" si="10"/>
        <v>Euribor1M</v>
      </c>
      <c r="H30" s="873" t="str">
        <f t="shared" si="11"/>
        <v>EURAB1E5Y_Quote</v>
      </c>
      <c r="I30" s="966">
        <v>0</v>
      </c>
      <c r="J30" s="43" t="e">
        <f ca="1">_xll.qlSwapRateHelper2(,H30,2,B30,Calendar,D30,E30,F30,G30,I30,C30,Discounting,PillarDate,,Permanent,Trigger,ObjectOverwrite)</f>
        <v>#NAME?</v>
      </c>
      <c r="K30" s="23"/>
      <c r="L30" s="894" t="str">
        <f t="shared" si="8"/>
        <v>Sw</v>
      </c>
      <c r="M30" s="890" t="e">
        <f t="shared" ca="1" si="9"/>
        <v>#NAME?</v>
      </c>
      <c r="N30" s="893" t="str">
        <f ca="1">IFERROR(_xll.qlRateHelperQuoteName(M30,Trigger),"--")</f>
        <v>--</v>
      </c>
      <c r="O30" s="892" t="str">
        <f ca="1">IFERROR(_xll.qlRateHelperQuoteValue($M30,Trigger),"--")</f>
        <v>--</v>
      </c>
      <c r="P30" s="969" t="b">
        <v>1</v>
      </c>
      <c r="Q30" s="890">
        <v>50</v>
      </c>
      <c r="R30" s="890">
        <v>1</v>
      </c>
      <c r="S30" s="889" t="str">
        <f ca="1">IFERROR(_xll.qlRateHelperEarliestDate(M30,Trigger),"--")</f>
        <v>--</v>
      </c>
      <c r="T30" s="889" t="str">
        <f ca="1">IFERROR(_xll.qlRateHelperPillarDate(M30,Trigger),"--")</f>
        <v>--</v>
      </c>
      <c r="V30" s="4" t="str">
        <f t="shared" ca="1" si="0"/>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71"/>
    </row>
    <row r="31" spans="1:38" ht="11.25" customHeight="1" x14ac:dyDescent="0.2">
      <c r="A31" s="873" t="s">
        <v>404</v>
      </c>
      <c r="B31" s="875" t="s">
        <v>50</v>
      </c>
      <c r="C31" s="874" t="s">
        <v>324</v>
      </c>
      <c r="D31" s="874" t="s">
        <v>323</v>
      </c>
      <c r="E31" s="874" t="s">
        <v>322</v>
      </c>
      <c r="F31" s="874" t="s">
        <v>221</v>
      </c>
      <c r="G31" s="874" t="str">
        <f t="shared" si="10"/>
        <v>Euribor1M</v>
      </c>
      <c r="H31" s="873" t="str">
        <f t="shared" si="11"/>
        <v>EURAB1E6Y_Quote</v>
      </c>
      <c r="I31" s="966">
        <v>0</v>
      </c>
      <c r="J31" s="43" t="e">
        <f ca="1">_xll.qlSwapRateHelper2(,H31,2,B31,Calendar,D31,E31,F31,G31,I31,C31,Discounting,PillarDate,,Permanent,Trigger,ObjectOverwrite)</f>
        <v>#NAME?</v>
      </c>
      <c r="K31" s="23"/>
      <c r="L31" s="894" t="str">
        <f t="shared" si="8"/>
        <v>Sw</v>
      </c>
      <c r="M31" s="890" t="e">
        <f t="shared" ca="1" si="9"/>
        <v>#NAME?</v>
      </c>
      <c r="N31" s="893" t="str">
        <f ca="1">IFERROR(_xll.qlRateHelperQuoteName(M31,Trigger),"--")</f>
        <v>--</v>
      </c>
      <c r="O31" s="892" t="str">
        <f ca="1">IFERROR(_xll.qlRateHelperQuoteValue($M31,Trigger),"--")</f>
        <v>--</v>
      </c>
      <c r="P31" s="969" t="b">
        <v>1</v>
      </c>
      <c r="Q31" s="890">
        <v>50</v>
      </c>
      <c r="R31" s="890">
        <v>1</v>
      </c>
      <c r="S31" s="889" t="str">
        <f ca="1">IFERROR(_xll.qlRateHelperEarliestDate(M31,Trigger),"--")</f>
        <v>--</v>
      </c>
      <c r="T31" s="889" t="str">
        <f ca="1">IFERROR(_xll.qlRateHelperPillarDate(M31,Trigger),"--")</f>
        <v>--</v>
      </c>
      <c r="V31" s="4" t="str">
        <f t="shared" ca="1" si="0"/>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71"/>
    </row>
    <row r="32" spans="1:38" ht="11.25" customHeight="1" x14ac:dyDescent="0.2">
      <c r="A32" s="873" t="s">
        <v>404</v>
      </c>
      <c r="B32" s="875" t="s">
        <v>49</v>
      </c>
      <c r="C32" s="874" t="s">
        <v>324</v>
      </c>
      <c r="D32" s="874" t="s">
        <v>323</v>
      </c>
      <c r="E32" s="874" t="s">
        <v>322</v>
      </c>
      <c r="F32" s="874" t="s">
        <v>221</v>
      </c>
      <c r="G32" s="874" t="str">
        <f t="shared" si="10"/>
        <v>Euribor1M</v>
      </c>
      <c r="H32" s="873" t="str">
        <f t="shared" si="11"/>
        <v>EURAB1E7Y_Quote</v>
      </c>
      <c r="I32" s="966">
        <v>0</v>
      </c>
      <c r="J32" s="43" t="e">
        <f ca="1">_xll.qlSwapRateHelper2(,H32,2,B32,Calendar,D32,E32,F32,G32,I32,C32,Discounting,PillarDate,,Permanent,Trigger,ObjectOverwrite)</f>
        <v>#NAME?</v>
      </c>
      <c r="K32" s="23"/>
      <c r="L32" s="894" t="str">
        <f t="shared" si="8"/>
        <v>Sw</v>
      </c>
      <c r="M32" s="890" t="str">
        <f t="shared" si="9"/>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0"/>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71"/>
    </row>
    <row r="33" spans="1:30" ht="11.25" customHeight="1" x14ac:dyDescent="0.2">
      <c r="A33" s="873" t="s">
        <v>404</v>
      </c>
      <c r="B33" s="875" t="s">
        <v>48</v>
      </c>
      <c r="C33" s="874" t="s">
        <v>324</v>
      </c>
      <c r="D33" s="874" t="s">
        <v>323</v>
      </c>
      <c r="E33" s="874" t="s">
        <v>322</v>
      </c>
      <c r="F33" s="874" t="s">
        <v>221</v>
      </c>
      <c r="G33" s="874" t="str">
        <f t="shared" si="10"/>
        <v>Euribor1M</v>
      </c>
      <c r="H33" s="873" t="str">
        <f t="shared" si="11"/>
        <v>EURAB1E8Y_Quote</v>
      </c>
      <c r="I33" s="966">
        <v>0</v>
      </c>
      <c r="J33" s="43" t="e">
        <f ca="1">_xll.qlSwapRateHelper2(,H33,2,B33,Calendar,D33,E33,F33,G33,I33,C33,Discounting,PillarDate,,Permanent,Trigger,ObjectOverwrite)</f>
        <v>#NAME?</v>
      </c>
      <c r="K33" s="23"/>
      <c r="L33" s="894" t="str">
        <f t="shared" si="8"/>
        <v>Sw</v>
      </c>
      <c r="M33" s="890" t="e">
        <f t="shared" ca="1" si="9"/>
        <v>#NAME?</v>
      </c>
      <c r="N33" s="893" t="str">
        <f ca="1">IFERROR(_xll.qlRateHelperQuoteName(M33,Trigger),"--")</f>
        <v>--</v>
      </c>
      <c r="O33" s="892" t="str">
        <f ca="1">IFERROR(_xll.qlRateHelperQuoteValue($M33,Trigger),"--")</f>
        <v>--</v>
      </c>
      <c r="P33" s="969" t="b">
        <v>1</v>
      </c>
      <c r="Q33" s="890">
        <v>50</v>
      </c>
      <c r="R33" s="890">
        <v>1</v>
      </c>
      <c r="S33" s="889" t="str">
        <f ca="1">IFERROR(_xll.qlRateHelperEarliestDate(M33,Trigger),"--")</f>
        <v>--</v>
      </c>
      <c r="T33" s="889" t="str">
        <f ca="1">IFERROR(_xll.qlRateHelperPillarDate(M33,Trigger),"--")</f>
        <v>--</v>
      </c>
      <c r="V33" s="4" t="str">
        <f t="shared" ca="1" si="0"/>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71"/>
    </row>
    <row r="34" spans="1:30" ht="11.25" customHeight="1" x14ac:dyDescent="0.2">
      <c r="A34" s="873" t="s">
        <v>404</v>
      </c>
      <c r="B34" s="875" t="s">
        <v>47</v>
      </c>
      <c r="C34" s="874" t="s">
        <v>324</v>
      </c>
      <c r="D34" s="874" t="s">
        <v>323</v>
      </c>
      <c r="E34" s="874" t="s">
        <v>322</v>
      </c>
      <c r="F34" s="874" t="s">
        <v>221</v>
      </c>
      <c r="G34" s="874" t="str">
        <f t="shared" si="10"/>
        <v>Euribor1M</v>
      </c>
      <c r="H34" s="873" t="str">
        <f t="shared" si="11"/>
        <v>EURAB1E9Y_Quote</v>
      </c>
      <c r="I34" s="966">
        <v>0</v>
      </c>
      <c r="J34" s="43" t="e">
        <f ca="1">_xll.qlSwapRateHelper2(,H34,2,B34,Calendar,D34,E34,F34,G34,I34,C34,Discounting,PillarDate,,Permanent,Trigger,ObjectOverwrite)</f>
        <v>#NAME?</v>
      </c>
      <c r="K34" s="23"/>
      <c r="L34" s="894" t="str">
        <f t="shared" si="8"/>
        <v>Sw</v>
      </c>
      <c r="M34" s="890" t="str">
        <f t="shared" si="9"/>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0"/>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71"/>
    </row>
    <row r="35" spans="1:30" ht="11.25" customHeight="1" x14ac:dyDescent="0.2">
      <c r="A35" s="873" t="s">
        <v>404</v>
      </c>
      <c r="B35" s="875" t="s">
        <v>46</v>
      </c>
      <c r="C35" s="874" t="s">
        <v>324</v>
      </c>
      <c r="D35" s="874" t="s">
        <v>323</v>
      </c>
      <c r="E35" s="874" t="s">
        <v>322</v>
      </c>
      <c r="F35" s="874" t="s">
        <v>221</v>
      </c>
      <c r="G35" s="874" t="str">
        <f t="shared" si="10"/>
        <v>Euribor1M</v>
      </c>
      <c r="H35" s="873" t="str">
        <f t="shared" si="11"/>
        <v>EURAB1E10Y_Quote</v>
      </c>
      <c r="I35" s="966">
        <v>0</v>
      </c>
      <c r="J35" s="43" t="e">
        <f ca="1">_xll.qlSwapRateHelper2(,H35,2,B35,Calendar,D35,E35,F35,G35,I35,C35,Discounting,PillarDate,,Permanent,Trigger,ObjectOverwrite)</f>
        <v>#NAME?</v>
      </c>
      <c r="K35" s="23"/>
      <c r="L35" s="894" t="str">
        <f t="shared" si="8"/>
        <v>Sw</v>
      </c>
      <c r="M35" s="890" t="str">
        <f t="shared" si="9"/>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ref="V35:V66" ca="1" si="12">IFERROR(INDEX($L$3:$L$92,MATCH(X35,$N$3:$N$92,0),1),"")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404</v>
      </c>
      <c r="B36" s="875" t="s">
        <v>45</v>
      </c>
      <c r="C36" s="874" t="s">
        <v>324</v>
      </c>
      <c r="D36" s="874" t="s">
        <v>323</v>
      </c>
      <c r="E36" s="874" t="s">
        <v>322</v>
      </c>
      <c r="F36" s="874" t="s">
        <v>221</v>
      </c>
      <c r="G36" s="874" t="str">
        <f t="shared" si="10"/>
        <v>Euribor1M</v>
      </c>
      <c r="H36" s="873" t="str">
        <f t="shared" si="11"/>
        <v>EURAB1E11Y_Quote</v>
      </c>
      <c r="I36" s="966">
        <v>0</v>
      </c>
      <c r="J36" s="43"/>
      <c r="K36" s="23"/>
      <c r="L36" s="894" t="str">
        <f t="shared" si="8"/>
        <v>Sw</v>
      </c>
      <c r="M36" s="890" t="e">
        <f t="shared" ca="1" si="9"/>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12"/>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404</v>
      </c>
      <c r="B37" s="875" t="s">
        <v>44</v>
      </c>
      <c r="C37" s="874" t="s">
        <v>324</v>
      </c>
      <c r="D37" s="874" t="s">
        <v>323</v>
      </c>
      <c r="E37" s="874" t="s">
        <v>322</v>
      </c>
      <c r="F37" s="874" t="s">
        <v>221</v>
      </c>
      <c r="G37" s="874" t="str">
        <f t="shared" si="10"/>
        <v>Euribor1M</v>
      </c>
      <c r="H37" s="873" t="str">
        <f t="shared" si="11"/>
        <v>EURAB1E12Y_Quote</v>
      </c>
      <c r="I37" s="966">
        <v>0</v>
      </c>
      <c r="J37" s="43" t="e">
        <f ca="1">_xll.qlSwapRateHelper2(,H37,2,B37,Calendar,D37,E37,F37,G37,I37,C37,Discounting,PillarDate,,Permanent,Trigger,ObjectOverwrite)</f>
        <v>#NAME?</v>
      </c>
      <c r="K37" s="23"/>
      <c r="L37" s="894" t="str">
        <f t="shared" si="8"/>
        <v>Sw</v>
      </c>
      <c r="M37" s="890" t="str">
        <f t="shared" si="9"/>
        <v>--</v>
      </c>
      <c r="N37" s="893" t="str">
        <f ca="1">IFERROR(_xll.qlRateHelperQuoteName(M37,Trigger),"--")</f>
        <v>--</v>
      </c>
      <c r="O37" s="892" t="str">
        <f ca="1">IFERROR(_xll.qlRateHelperQuoteValue($M37,Trigger),"--")</f>
        <v>--</v>
      </c>
      <c r="P37" s="969" t="b">
        <v>0</v>
      </c>
      <c r="Q37" s="890">
        <v>50</v>
      </c>
      <c r="R37" s="890">
        <v>1</v>
      </c>
      <c r="S37" s="889" t="str">
        <f ca="1">IFERROR(_xll.qlRateHelperEarliestDate(M37,Trigger),"--")</f>
        <v>--</v>
      </c>
      <c r="T37" s="889" t="str">
        <f ca="1">IFERROR(_xll.qlRateHelperPillarDate(M37,Trigger),"--")</f>
        <v>--</v>
      </c>
      <c r="V37" s="4" t="str">
        <f t="shared" ca="1" si="12"/>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404</v>
      </c>
      <c r="B38" s="875" t="s">
        <v>43</v>
      </c>
      <c r="C38" s="874" t="s">
        <v>324</v>
      </c>
      <c r="D38" s="874" t="s">
        <v>323</v>
      </c>
      <c r="E38" s="874" t="s">
        <v>322</v>
      </c>
      <c r="F38" s="874" t="s">
        <v>221</v>
      </c>
      <c r="G38" s="874" t="str">
        <f t="shared" si="10"/>
        <v>Euribor1M</v>
      </c>
      <c r="H38" s="873" t="str">
        <f t="shared" si="11"/>
        <v>EURAB1E13Y_Quote</v>
      </c>
      <c r="I38" s="966">
        <v>0</v>
      </c>
      <c r="J38" s="43"/>
      <c r="K38" s="23"/>
      <c r="L38" s="894" t="str">
        <f t="shared" si="8"/>
        <v>Sw</v>
      </c>
      <c r="M38" s="890" t="str">
        <f t="shared" si="9"/>
        <v>--</v>
      </c>
      <c r="N38" s="893" t="str">
        <f ca="1">IFERROR(_xll.qlRateHelperQuoteName(M38,Trigger),"--")</f>
        <v>--</v>
      </c>
      <c r="O38" s="892" t="str">
        <f ca="1">IFERROR(_xll.qlRateHelperQuoteValue($M38,Trigger),"--")</f>
        <v>--</v>
      </c>
      <c r="P38" s="969" t="b">
        <v>0</v>
      </c>
      <c r="Q38" s="890">
        <v>50</v>
      </c>
      <c r="R38" s="890">
        <v>1</v>
      </c>
      <c r="S38" s="889" t="str">
        <f ca="1">IFERROR(_xll.qlRateHelperEarliestDate(M38,Trigger),"--")</f>
        <v>--</v>
      </c>
      <c r="T38" s="889" t="str">
        <f ca="1">IFERROR(_xll.qlRateHelperPillarDate(M38,Trigger),"--")</f>
        <v>--</v>
      </c>
      <c r="V38" s="4" t="str">
        <f t="shared" ca="1" si="12"/>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404</v>
      </c>
      <c r="B39" s="875" t="s">
        <v>42</v>
      </c>
      <c r="C39" s="874" t="s">
        <v>324</v>
      </c>
      <c r="D39" s="874" t="s">
        <v>323</v>
      </c>
      <c r="E39" s="874" t="s">
        <v>322</v>
      </c>
      <c r="F39" s="874" t="s">
        <v>221</v>
      </c>
      <c r="G39" s="874" t="str">
        <f t="shared" si="10"/>
        <v>Euribor1M</v>
      </c>
      <c r="H39" s="873" t="str">
        <f t="shared" si="11"/>
        <v>EURAB1E14Y_Quote</v>
      </c>
      <c r="I39" s="966">
        <v>0</v>
      </c>
      <c r="J39" s="43"/>
      <c r="K39" s="23"/>
      <c r="L39" s="894" t="str">
        <f t="shared" si="8"/>
        <v>Sw</v>
      </c>
      <c r="M39" s="890" t="str">
        <f t="shared" si="9"/>
        <v>--</v>
      </c>
      <c r="N39" s="893" t="str">
        <f ca="1">IFERROR(_xll.qlRateHelperQuoteName(M39,Trigger),"--")</f>
        <v>--</v>
      </c>
      <c r="O39" s="892" t="str">
        <f ca="1">IFERROR(_xll.qlRateHelperQuoteValue($M39,Trigger),"--")</f>
        <v>--</v>
      </c>
      <c r="P39" s="969" t="b">
        <v>0</v>
      </c>
      <c r="Q39" s="890">
        <v>50</v>
      </c>
      <c r="R39" s="890">
        <v>1</v>
      </c>
      <c r="S39" s="889" t="str">
        <f ca="1">IFERROR(_xll.qlRateHelperEarliestDate(M39,Trigger),"--")</f>
        <v>--</v>
      </c>
      <c r="T39" s="889" t="str">
        <f ca="1">IFERROR(_xll.qlRateHelperPillarDate(M39,Trigger),"--")</f>
        <v>--</v>
      </c>
      <c r="V39" s="4" t="str">
        <f t="shared" ca="1" si="12"/>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404</v>
      </c>
      <c r="B40" s="875" t="s">
        <v>41</v>
      </c>
      <c r="C40" s="874" t="s">
        <v>324</v>
      </c>
      <c r="D40" s="874" t="s">
        <v>323</v>
      </c>
      <c r="E40" s="874" t="s">
        <v>322</v>
      </c>
      <c r="F40" s="874" t="s">
        <v>221</v>
      </c>
      <c r="G40" s="874" t="str">
        <f t="shared" si="10"/>
        <v>Euribor1M</v>
      </c>
      <c r="H40" s="873" t="str">
        <f t="shared" si="11"/>
        <v>EURAB1E15Y_Quote</v>
      </c>
      <c r="I40" s="966">
        <v>0</v>
      </c>
      <c r="J40" s="43" t="e">
        <f ca="1">_xll.qlSwapRateHelper2(,H40,2,B40,Calendar,D40,E40,F40,G40,I40,C40,Discounting,PillarDate,,Permanent,Trigger,ObjectOverwrite)</f>
        <v>#NAME?</v>
      </c>
      <c r="K40" s="23"/>
      <c r="L40" s="894" t="str">
        <f t="shared" si="8"/>
        <v>Sw</v>
      </c>
      <c r="M40" s="890" t="str">
        <f t="shared" si="9"/>
        <v>--</v>
      </c>
      <c r="N40" s="893" t="str">
        <f ca="1">IFERROR(_xll.qlRateHelperQuoteName(M40,Trigger),"--")</f>
        <v>--</v>
      </c>
      <c r="O40" s="892" t="str">
        <f ca="1">IFERROR(_xll.qlRateHelperQuoteValue($M40,Trigger),"--")</f>
        <v>--</v>
      </c>
      <c r="P40" s="969" t="b">
        <v>0</v>
      </c>
      <c r="Q40" s="890">
        <v>50</v>
      </c>
      <c r="R40" s="890">
        <v>1</v>
      </c>
      <c r="S40" s="889" t="str">
        <f ca="1">IFERROR(_xll.qlRateHelperEarliestDate(M40,Trigger),"--")</f>
        <v>--</v>
      </c>
      <c r="T40" s="889" t="str">
        <f ca="1">IFERROR(_xll.qlRateHelperPillarDate(M40,Trigger),"--")</f>
        <v>--</v>
      </c>
      <c r="V40" s="4" t="str">
        <f t="shared" ca="1" si="12"/>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404</v>
      </c>
      <c r="B41" s="875" t="s">
        <v>40</v>
      </c>
      <c r="C41" s="874" t="s">
        <v>324</v>
      </c>
      <c r="D41" s="874" t="s">
        <v>323</v>
      </c>
      <c r="E41" s="874" t="s">
        <v>322</v>
      </c>
      <c r="F41" s="874" t="s">
        <v>221</v>
      </c>
      <c r="G41" s="874" t="str">
        <f t="shared" si="10"/>
        <v>Euribor1M</v>
      </c>
      <c r="H41" s="873" t="str">
        <f t="shared" si="11"/>
        <v>EURAB1E16Y_Quote</v>
      </c>
      <c r="I41" s="966">
        <v>0</v>
      </c>
      <c r="J41" s="43"/>
      <c r="L41" s="894" t="str">
        <f t="shared" si="8"/>
        <v>Sw</v>
      </c>
      <c r="M41" s="890" t="e">
        <f t="shared" ca="1" si="9"/>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12"/>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404</v>
      </c>
      <c r="B42" s="875" t="s">
        <v>39</v>
      </c>
      <c r="C42" s="874" t="s">
        <v>324</v>
      </c>
      <c r="D42" s="874" t="s">
        <v>323</v>
      </c>
      <c r="E42" s="874" t="s">
        <v>322</v>
      </c>
      <c r="F42" s="874" t="s">
        <v>221</v>
      </c>
      <c r="G42" s="874" t="str">
        <f t="shared" si="10"/>
        <v>Euribor1M</v>
      </c>
      <c r="H42" s="873" t="str">
        <f t="shared" si="11"/>
        <v>EURAB1E17Y_Quote</v>
      </c>
      <c r="I42" s="966">
        <v>0</v>
      </c>
      <c r="J42" s="43"/>
      <c r="L42" s="894" t="str">
        <f t="shared" si="8"/>
        <v>Sw</v>
      </c>
      <c r="M42" s="890" t="str">
        <f t="shared" si="9"/>
        <v>--</v>
      </c>
      <c r="N42" s="893" t="str">
        <f ca="1">IFERROR(_xll.qlRateHelperQuoteName(M42,Trigger),"--")</f>
        <v>--</v>
      </c>
      <c r="O42" s="892" t="str">
        <f ca="1">IFERROR(_xll.qlRateHelperQuoteValue($M42,Trigger),"--")</f>
        <v>--</v>
      </c>
      <c r="P42" s="969" t="b">
        <v>0</v>
      </c>
      <c r="Q42" s="890">
        <v>50</v>
      </c>
      <c r="R42" s="890">
        <v>1</v>
      </c>
      <c r="S42" s="889" t="str">
        <f ca="1">IFERROR(_xll.qlRateHelperEarliestDate(M42,Trigger),"--")</f>
        <v>--</v>
      </c>
      <c r="T42" s="889" t="str">
        <f ca="1">IFERROR(_xll.qlRateHelperPillarDate(M42,Trigger),"--")</f>
        <v>--</v>
      </c>
      <c r="V42" s="4" t="str">
        <f t="shared" ca="1" si="12"/>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404</v>
      </c>
      <c r="B43" s="875" t="s">
        <v>38</v>
      </c>
      <c r="C43" s="874" t="s">
        <v>324</v>
      </c>
      <c r="D43" s="874" t="s">
        <v>323</v>
      </c>
      <c r="E43" s="874" t="s">
        <v>322</v>
      </c>
      <c r="F43" s="874" t="s">
        <v>221</v>
      </c>
      <c r="G43" s="874" t="str">
        <f t="shared" si="10"/>
        <v>Euribor1M</v>
      </c>
      <c r="H43" s="873" t="str">
        <f t="shared" si="11"/>
        <v>EURAB1E18Y_Quote</v>
      </c>
      <c r="I43" s="966">
        <v>0</v>
      </c>
      <c r="J43" s="43"/>
      <c r="L43" s="894" t="str">
        <f t="shared" si="8"/>
        <v>Sw</v>
      </c>
      <c r="M43" s="890" t="str">
        <f t="shared" si="9"/>
        <v>--</v>
      </c>
      <c r="N43" s="893" t="str">
        <f ca="1">IFERROR(_xll.qlRateHelperQuoteName(M43,Trigger),"--")</f>
        <v>--</v>
      </c>
      <c r="O43" s="892" t="str">
        <f ca="1">IFERROR(_xll.qlRateHelperQuoteValue($M43,Trigger),"--")</f>
        <v>--</v>
      </c>
      <c r="P43" s="969" t="b">
        <v>0</v>
      </c>
      <c r="Q43" s="890">
        <v>50</v>
      </c>
      <c r="R43" s="890">
        <v>1</v>
      </c>
      <c r="S43" s="889" t="str">
        <f ca="1">IFERROR(_xll.qlRateHelperEarliestDate(M43,Trigger),"--")</f>
        <v>--</v>
      </c>
      <c r="T43" s="889" t="str">
        <f ca="1">IFERROR(_xll.qlRateHelperPillarDate(M43,Trigger),"--")</f>
        <v>--</v>
      </c>
      <c r="V43" s="4" t="str">
        <f t="shared" ca="1" si="12"/>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73" t="s">
        <v>404</v>
      </c>
      <c r="B44" s="875" t="s">
        <v>37</v>
      </c>
      <c r="C44" s="874" t="s">
        <v>324</v>
      </c>
      <c r="D44" s="874" t="s">
        <v>323</v>
      </c>
      <c r="E44" s="874" t="s">
        <v>322</v>
      </c>
      <c r="F44" s="874" t="s">
        <v>221</v>
      </c>
      <c r="G44" s="874" t="str">
        <f t="shared" si="10"/>
        <v>Euribor1M</v>
      </c>
      <c r="H44" s="873" t="str">
        <f t="shared" si="11"/>
        <v>EURAB1E19Y_Quote</v>
      </c>
      <c r="I44" s="966">
        <v>0</v>
      </c>
      <c r="J44" s="43"/>
      <c r="L44" s="894" t="str">
        <f t="shared" si="8"/>
        <v>Sw</v>
      </c>
      <c r="M44" s="890" t="str">
        <f t="shared" si="9"/>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12"/>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A45" s="873" t="s">
        <v>404</v>
      </c>
      <c r="B45" s="875" t="s">
        <v>36</v>
      </c>
      <c r="C45" s="874" t="s">
        <v>324</v>
      </c>
      <c r="D45" s="874" t="s">
        <v>323</v>
      </c>
      <c r="E45" s="874" t="s">
        <v>322</v>
      </c>
      <c r="F45" s="874" t="s">
        <v>221</v>
      </c>
      <c r="G45" s="874" t="str">
        <f t="shared" si="10"/>
        <v>Euribor1M</v>
      </c>
      <c r="H45" s="873" t="str">
        <f t="shared" si="11"/>
        <v>EURAB1E20Y_Quote</v>
      </c>
      <c r="I45" s="966">
        <v>0</v>
      </c>
      <c r="J45" s="43" t="e">
        <f ca="1">_xll.qlSwapRateHelper2(,H45,2,B45,Calendar,D45,E45,F45,G45,I45,C45,Discounting,PillarDate,,Permanent,Trigger,ObjectOverwrite)</f>
        <v>#NAME?</v>
      </c>
      <c r="L45" s="894" t="str">
        <f t="shared" si="8"/>
        <v>Sw</v>
      </c>
      <c r="M45" s="890" t="str">
        <f t="shared" si="9"/>
        <v>--</v>
      </c>
      <c r="N45" s="893" t="str">
        <f ca="1">IFERROR(_xll.qlRateHelperQuoteName(M45,Trigger),"--")</f>
        <v>--</v>
      </c>
      <c r="O45" s="892" t="str">
        <f ca="1">IFERROR(_xll.qlRateHelperQuoteValue($M45,Trigger),"--")</f>
        <v>--</v>
      </c>
      <c r="P45" s="969" t="b">
        <v>0</v>
      </c>
      <c r="Q45" s="890">
        <v>50</v>
      </c>
      <c r="R45" s="890">
        <v>1</v>
      </c>
      <c r="S45" s="889" t="str">
        <f ca="1">IFERROR(_xll.qlRateHelperEarliestDate(M45,Trigger),"--")</f>
        <v>--</v>
      </c>
      <c r="T45" s="889" t="str">
        <f ca="1">IFERROR(_xll.qlRateHelperPillarDate(M45,Trigger),"--")</f>
        <v>--</v>
      </c>
      <c r="V45" s="4" t="str">
        <f t="shared" ca="1" si="12"/>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873" t="s">
        <v>404</v>
      </c>
      <c r="B46" s="875" t="s">
        <v>35</v>
      </c>
      <c r="C46" s="874" t="s">
        <v>324</v>
      </c>
      <c r="D46" s="874" t="s">
        <v>323</v>
      </c>
      <c r="E46" s="874" t="s">
        <v>322</v>
      </c>
      <c r="F46" s="874" t="s">
        <v>221</v>
      </c>
      <c r="G46" s="874" t="str">
        <f t="shared" si="10"/>
        <v>Euribor1M</v>
      </c>
      <c r="H46" s="873" t="str">
        <f t="shared" si="11"/>
        <v>EURAB1E21Y_Quote</v>
      </c>
      <c r="I46" s="966">
        <v>0</v>
      </c>
      <c r="J46" s="43"/>
      <c r="L46" s="894" t="str">
        <f t="shared" si="8"/>
        <v>Sw</v>
      </c>
      <c r="M46" s="890" t="e">
        <f t="shared" ca="1" si="9"/>
        <v>#NAME?</v>
      </c>
      <c r="N46" s="893" t="str">
        <f ca="1">IFERROR(_xll.qlRateHelperQuoteName(M46,Trigger),"--")</f>
        <v>--</v>
      </c>
      <c r="O46" s="892" t="str">
        <f ca="1">IFERROR(_xll.qlRateHelperQuoteValue($M46,Trigger),"--")</f>
        <v>--</v>
      </c>
      <c r="P46" s="969" t="b">
        <v>1</v>
      </c>
      <c r="Q46" s="890">
        <v>50</v>
      </c>
      <c r="R46" s="890">
        <v>1</v>
      </c>
      <c r="S46" s="889" t="str">
        <f ca="1">IFERROR(_xll.qlRateHelperEarliestDate(M46,Trigger),"--")</f>
        <v>--</v>
      </c>
      <c r="T46" s="889" t="str">
        <f ca="1">IFERROR(_xll.qlRateHelperPillarDate(M46,Trigger),"--")</f>
        <v>--</v>
      </c>
      <c r="V46" s="4" t="str">
        <f t="shared" ca="1" si="12"/>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34</v>
      </c>
      <c r="C47" s="874" t="s">
        <v>324</v>
      </c>
      <c r="D47" s="874" t="s">
        <v>323</v>
      </c>
      <c r="E47" s="874" t="s">
        <v>322</v>
      </c>
      <c r="F47" s="874" t="s">
        <v>221</v>
      </c>
      <c r="G47" s="874" t="str">
        <f t="shared" si="10"/>
        <v>Euribor1M</v>
      </c>
      <c r="H47" s="873" t="str">
        <f t="shared" si="11"/>
        <v>EURAB1E22Y_Quote</v>
      </c>
      <c r="I47" s="966">
        <v>0</v>
      </c>
      <c r="J47" s="43"/>
      <c r="L47" s="894" t="str">
        <f t="shared" si="8"/>
        <v>Sw</v>
      </c>
      <c r="M47" s="890" t="str">
        <f t="shared" si="9"/>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12"/>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33</v>
      </c>
      <c r="C48" s="874" t="s">
        <v>324</v>
      </c>
      <c r="D48" s="874" t="s">
        <v>323</v>
      </c>
      <c r="E48" s="874" t="s">
        <v>322</v>
      </c>
      <c r="F48" s="874" t="s">
        <v>221</v>
      </c>
      <c r="G48" s="874" t="str">
        <f t="shared" si="10"/>
        <v>Euribor1M</v>
      </c>
      <c r="H48" s="873" t="str">
        <f t="shared" si="11"/>
        <v>EURAB1E23Y_Quote</v>
      </c>
      <c r="I48" s="966">
        <v>0</v>
      </c>
      <c r="J48" s="43"/>
      <c r="L48" s="894" t="str">
        <f t="shared" si="8"/>
        <v>Sw</v>
      </c>
      <c r="M48" s="890" t="str">
        <f t="shared" si="9"/>
        <v>--</v>
      </c>
      <c r="N48" s="893" t="str">
        <f ca="1">IFERROR(_xll.qlRateHelperQuoteName(M48,Trigger),"--")</f>
        <v>--</v>
      </c>
      <c r="O48" s="892" t="str">
        <f ca="1">IFERROR(_xll.qlRateHelperQuoteValue($M48,Trigger),"--")</f>
        <v>--</v>
      </c>
      <c r="P48" s="969" t="b">
        <v>0</v>
      </c>
      <c r="Q48" s="890">
        <v>50</v>
      </c>
      <c r="R48" s="890">
        <v>1</v>
      </c>
      <c r="S48" s="889" t="str">
        <f ca="1">IFERROR(_xll.qlRateHelperEarliestDate(M48,Trigger),"--")</f>
        <v>--</v>
      </c>
      <c r="T48" s="889" t="str">
        <f ca="1">IFERROR(_xll.qlRateHelperPillarDate(M48,Trigger),"--")</f>
        <v>--</v>
      </c>
      <c r="V48" s="4" t="str">
        <f t="shared" ca="1" si="12"/>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32</v>
      </c>
      <c r="C49" s="874" t="s">
        <v>324</v>
      </c>
      <c r="D49" s="874" t="s">
        <v>323</v>
      </c>
      <c r="E49" s="874" t="s">
        <v>322</v>
      </c>
      <c r="F49" s="874" t="s">
        <v>221</v>
      </c>
      <c r="G49" s="874" t="str">
        <f t="shared" si="10"/>
        <v>Euribor1M</v>
      </c>
      <c r="H49" s="873" t="str">
        <f t="shared" si="11"/>
        <v>EURAB1E24Y_Quote</v>
      </c>
      <c r="I49" s="966">
        <v>0</v>
      </c>
      <c r="J49" s="43"/>
      <c r="L49" s="894" t="str">
        <f t="shared" si="8"/>
        <v>Sw</v>
      </c>
      <c r="M49" s="890" t="str">
        <f t="shared" si="9"/>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12"/>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31</v>
      </c>
      <c r="C50" s="874" t="s">
        <v>324</v>
      </c>
      <c r="D50" s="874" t="s">
        <v>323</v>
      </c>
      <c r="E50" s="874" t="s">
        <v>322</v>
      </c>
      <c r="F50" s="874" t="s">
        <v>221</v>
      </c>
      <c r="G50" s="874" t="str">
        <f t="shared" si="10"/>
        <v>Euribor1M</v>
      </c>
      <c r="H50" s="873" t="str">
        <f t="shared" si="11"/>
        <v>EURAB1E25Y_Quote</v>
      </c>
      <c r="I50" s="966">
        <v>0</v>
      </c>
      <c r="J50" s="43" t="e">
        <f ca="1">_xll.qlSwapRateHelper2(,H50,2,B50,Calendar,D50,E50,F50,G50,I50,C50,Discounting,PillarDate,,Permanent,Trigger,ObjectOverwrite)</f>
        <v>#NAME?</v>
      </c>
      <c r="L50" s="894" t="str">
        <f t="shared" si="8"/>
        <v>Sw</v>
      </c>
      <c r="M50" s="890" t="str">
        <f t="shared" si="9"/>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12"/>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30</v>
      </c>
      <c r="C51" s="874" t="s">
        <v>324</v>
      </c>
      <c r="D51" s="874" t="s">
        <v>323</v>
      </c>
      <c r="E51" s="874" t="s">
        <v>322</v>
      </c>
      <c r="F51" s="874" t="s">
        <v>221</v>
      </c>
      <c r="G51" s="874" t="str">
        <f t="shared" si="10"/>
        <v>Euribor1M</v>
      </c>
      <c r="H51" s="873" t="str">
        <f t="shared" si="11"/>
        <v>EURAB1E26Y_Quote</v>
      </c>
      <c r="I51" s="966">
        <v>0</v>
      </c>
      <c r="J51" s="43"/>
      <c r="L51" s="894" t="str">
        <f t="shared" si="8"/>
        <v>Sw</v>
      </c>
      <c r="M51" s="890" t="e">
        <f t="shared" ca="1" si="9"/>
        <v>#NAME?</v>
      </c>
      <c r="N51" s="893" t="str">
        <f ca="1">IFERROR(_xll.qlRateHelperQuoteName(M51,Trigger),"--")</f>
        <v>--</v>
      </c>
      <c r="O51" s="892" t="str">
        <f ca="1">IFERROR(_xll.qlRateHelperQuoteValue($M51,Trigger),"--")</f>
        <v>--</v>
      </c>
      <c r="P51" s="969" t="b">
        <v>1</v>
      </c>
      <c r="Q51" s="890">
        <v>50</v>
      </c>
      <c r="R51" s="890">
        <v>1</v>
      </c>
      <c r="S51" s="889" t="str">
        <f ca="1">IFERROR(_xll.qlRateHelperEarliestDate(M51,Trigger),"--")</f>
        <v>--</v>
      </c>
      <c r="T51" s="889" t="str">
        <f ca="1">IFERROR(_xll.qlRateHelperPillarDate(M51,Trigger),"--")</f>
        <v>--</v>
      </c>
      <c r="V51" s="4" t="str">
        <f t="shared" ca="1" si="12"/>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29</v>
      </c>
      <c r="C52" s="874" t="s">
        <v>324</v>
      </c>
      <c r="D52" s="874" t="s">
        <v>323</v>
      </c>
      <c r="E52" s="874" t="s">
        <v>322</v>
      </c>
      <c r="F52" s="874" t="s">
        <v>221</v>
      </c>
      <c r="G52" s="874" t="str">
        <f t="shared" si="10"/>
        <v>Euribor1M</v>
      </c>
      <c r="H52" s="873" t="str">
        <f t="shared" si="11"/>
        <v>EURAB1E27Y_Quote</v>
      </c>
      <c r="I52" s="966">
        <v>0</v>
      </c>
      <c r="J52" s="43"/>
      <c r="L52" s="894" t="str">
        <f t="shared" si="8"/>
        <v>Sw</v>
      </c>
      <c r="M52" s="890" t="str">
        <f t="shared" si="9"/>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12"/>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28</v>
      </c>
      <c r="C53" s="874" t="s">
        <v>324</v>
      </c>
      <c r="D53" s="874" t="s">
        <v>323</v>
      </c>
      <c r="E53" s="874" t="s">
        <v>322</v>
      </c>
      <c r="F53" s="874" t="s">
        <v>221</v>
      </c>
      <c r="G53" s="874" t="str">
        <f t="shared" si="10"/>
        <v>Euribor1M</v>
      </c>
      <c r="H53" s="873" t="str">
        <f t="shared" si="11"/>
        <v>EURAB1E28Y_Quote</v>
      </c>
      <c r="I53" s="966">
        <v>0</v>
      </c>
      <c r="J53" s="43"/>
      <c r="L53" s="894" t="str">
        <f t="shared" si="8"/>
        <v>Sw</v>
      </c>
      <c r="M53" s="890" t="e">
        <f t="shared" ca="1" si="9"/>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12"/>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27</v>
      </c>
      <c r="C54" s="874" t="s">
        <v>324</v>
      </c>
      <c r="D54" s="874" t="s">
        <v>323</v>
      </c>
      <c r="E54" s="874" t="s">
        <v>322</v>
      </c>
      <c r="F54" s="874" t="s">
        <v>221</v>
      </c>
      <c r="G54" s="874" t="str">
        <f t="shared" si="10"/>
        <v>Euribor1M</v>
      </c>
      <c r="H54" s="873" t="str">
        <f t="shared" si="11"/>
        <v>EURAB1E29Y_Quote</v>
      </c>
      <c r="I54" s="966">
        <v>0</v>
      </c>
      <c r="J54" s="43"/>
      <c r="L54" s="894" t="str">
        <f t="shared" si="8"/>
        <v>Sw</v>
      </c>
      <c r="M54" s="890" t="e">
        <f t="shared" ca="1" si="9"/>
        <v>#NAME?</v>
      </c>
      <c r="N54" s="893" t="str">
        <f ca="1">IFERROR(_xll.qlRateHelperQuoteName(M54,Trigger),"--")</f>
        <v>--</v>
      </c>
      <c r="O54" s="892" t="str">
        <f ca="1">IFERROR(_xll.qlRateHelperQuoteValue($M54,Trigger),"--")</f>
        <v>--</v>
      </c>
      <c r="P54" s="969" t="b">
        <v>1</v>
      </c>
      <c r="Q54" s="890">
        <v>50</v>
      </c>
      <c r="R54" s="890">
        <v>1</v>
      </c>
      <c r="S54" s="889" t="str">
        <f ca="1">IFERROR(_xll.qlRateHelperEarliestDate(M54,Trigger),"--")</f>
        <v>--</v>
      </c>
      <c r="T54" s="889" t="str">
        <f ca="1">IFERROR(_xll.qlRateHelperPillarDate(M54,Trigger),"--")</f>
        <v>--</v>
      </c>
      <c r="V54" s="4" t="str">
        <f t="shared" ca="1" si="12"/>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26</v>
      </c>
      <c r="C55" s="874" t="s">
        <v>324</v>
      </c>
      <c r="D55" s="874" t="s">
        <v>323</v>
      </c>
      <c r="E55" s="874" t="s">
        <v>322</v>
      </c>
      <c r="F55" s="874" t="s">
        <v>221</v>
      </c>
      <c r="G55" s="874" t="str">
        <f t="shared" si="10"/>
        <v>Euribor1M</v>
      </c>
      <c r="H55" s="873" t="str">
        <f t="shared" si="11"/>
        <v>EURAB1E30Y_Quote</v>
      </c>
      <c r="I55" s="966">
        <v>0</v>
      </c>
      <c r="J55" s="43" t="e">
        <f ca="1">_xll.qlSwapRateHelper2(,H55,2,B55,Calendar,D55,E55,F55,G55,I55,C55,Discounting,PillarDate,,Permanent,Trigger,ObjectOverwrite)</f>
        <v>#NAME?</v>
      </c>
      <c r="L55" s="894" t="str">
        <f t="shared" si="8"/>
        <v>Sw</v>
      </c>
      <c r="M55" s="890" t="e">
        <f t="shared" ca="1" si="9"/>
        <v>#NAME?</v>
      </c>
      <c r="N55" s="893" t="str">
        <f ca="1">IFERROR(_xll.qlRateHelperQuoteName(M55,Trigger),"--")</f>
        <v>--</v>
      </c>
      <c r="O55" s="892" t="str">
        <f ca="1">IFERROR(_xll.qlRateHelperQuoteValue($M55,Trigger),"--")</f>
        <v>--</v>
      </c>
      <c r="P55" s="969" t="b">
        <v>1</v>
      </c>
      <c r="Q55" s="890">
        <v>50</v>
      </c>
      <c r="R55" s="890">
        <v>1</v>
      </c>
      <c r="S55" s="889" t="str">
        <f ca="1">IFERROR(_xll.qlRateHelperEarliestDate(M55,Trigger),"--")</f>
        <v>--</v>
      </c>
      <c r="T55" s="889" t="str">
        <f ca="1">IFERROR(_xll.qlRateHelperPillarDate(M55,Trigger),"--")</f>
        <v>--</v>
      </c>
      <c r="V55" s="4" t="str">
        <f t="shared" ca="1" si="12"/>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25</v>
      </c>
      <c r="C56" s="874" t="s">
        <v>324</v>
      </c>
      <c r="D56" s="874" t="s">
        <v>323</v>
      </c>
      <c r="E56" s="874" t="s">
        <v>322</v>
      </c>
      <c r="F56" s="874" t="s">
        <v>221</v>
      </c>
      <c r="G56" s="874" t="str">
        <f t="shared" si="10"/>
        <v>Euribor1M</v>
      </c>
      <c r="H56" s="873" t="str">
        <f t="shared" si="11"/>
        <v>EURAB1E35Y_Quote</v>
      </c>
      <c r="I56" s="966">
        <v>0</v>
      </c>
      <c r="J56" s="43"/>
      <c r="L56" s="908" t="str">
        <f t="shared" ref="L56:L92" si="13">A62</f>
        <v>BasSw</v>
      </c>
      <c r="M56" s="904" t="str">
        <f t="shared" ref="M56:M92" si="14">IF(ISBLANK(J62),"--",J62)</f>
        <v>qlSwapRateHelper2(,H63,2,B63,Calendar,D63,E63,F63,G63,I63,C63,Discounting,PillarDate,,Permanent,Trigger,ObjectOverwrite)</v>
      </c>
      <c r="N56" s="907" t="str">
        <f ca="1">IFERROR(_xll.qlRateHelperQuoteName(M56,Trigger),"--")</f>
        <v>--</v>
      </c>
      <c r="O56" s="906" t="str">
        <f ca="1">IFERROR(_xll.qlRateHelperQuoteValue($M56,Trigger),"--")</f>
        <v>--</v>
      </c>
      <c r="P56" s="970" t="b">
        <v>0</v>
      </c>
      <c r="Q56" s="904">
        <v>40</v>
      </c>
      <c r="R56" s="904">
        <v>1</v>
      </c>
      <c r="S56" s="903" t="str">
        <f ca="1">IFERROR(_xll.qlRateHelperEarliestDate(M56,Trigger),"--")</f>
        <v>--</v>
      </c>
      <c r="T56" s="903" t="str">
        <f ca="1">IFERROR(_xll.qlRateHelperPillarDate(M56,Trigger),"--")</f>
        <v>--</v>
      </c>
      <c r="V56" s="4" t="str">
        <f t="shared" ca="1" si="12"/>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24</v>
      </c>
      <c r="C57" s="874" t="s">
        <v>324</v>
      </c>
      <c r="D57" s="874" t="s">
        <v>323</v>
      </c>
      <c r="E57" s="874" t="s">
        <v>322</v>
      </c>
      <c r="F57" s="874" t="s">
        <v>221</v>
      </c>
      <c r="G57" s="874" t="str">
        <f t="shared" si="10"/>
        <v>Euribor1M</v>
      </c>
      <c r="H57" s="873" t="str">
        <f t="shared" si="11"/>
        <v>EURAB1E40Y_Quote</v>
      </c>
      <c r="I57" s="966">
        <v>0</v>
      </c>
      <c r="J57" s="43" t="e">
        <f ca="1">_xll.qlSwapRateHelper2(,H57,2,B57,Calendar,D57,E57,F57,G57,I57,C57,Discounting,PillarDate,,Permanent,Trigger,ObjectOverwrite)</f>
        <v>#NAME?</v>
      </c>
      <c r="L57" s="894" t="str">
        <f t="shared" si="13"/>
        <v>BasSw</v>
      </c>
      <c r="M57" s="890" t="str">
        <f t="shared" si="14"/>
        <v>--</v>
      </c>
      <c r="N57" s="893" t="str">
        <f ca="1">IFERROR(_xll.qlRateHelperQuoteName(M57,Trigger),"--")</f>
        <v>--</v>
      </c>
      <c r="O57" s="892" t="str">
        <f ca="1">IFERROR(_xll.qlRateHelperQuoteValue($M57,Trigger),"--")</f>
        <v>--</v>
      </c>
      <c r="P57" s="969" t="b">
        <v>0</v>
      </c>
      <c r="Q57" s="890">
        <v>40</v>
      </c>
      <c r="R57" s="890">
        <v>1</v>
      </c>
      <c r="S57" s="889" t="str">
        <f ca="1">IFERROR(_xll.qlRateHelperEarliestDate(M57,Trigger),"--")</f>
        <v>--</v>
      </c>
      <c r="T57" s="889" t="str">
        <f ca="1">IFERROR(_xll.qlRateHelperPillarDate(M57,Trigger),"--")</f>
        <v>--</v>
      </c>
      <c r="V57" s="4" t="str">
        <f t="shared" ca="1" si="12"/>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23</v>
      </c>
      <c r="C58" s="874" t="s">
        <v>324</v>
      </c>
      <c r="D58" s="874" t="s">
        <v>323</v>
      </c>
      <c r="E58" s="874" t="s">
        <v>322</v>
      </c>
      <c r="F58" s="874" t="s">
        <v>221</v>
      </c>
      <c r="G58" s="874" t="str">
        <f t="shared" si="10"/>
        <v>Euribor1M</v>
      </c>
      <c r="H58" s="873" t="str">
        <f t="shared" si="11"/>
        <v>EURAB1E50Y_Quote</v>
      </c>
      <c r="I58" s="966">
        <v>0</v>
      </c>
      <c r="J58" s="43" t="e">
        <f ca="1">_xll.qlSwapRateHelper2(,H58,2,B58,Calendar,D58,E58,F58,G58,I58,C58,Discounting,PillarDate,,Permanent,Trigger,ObjectOverwrite)</f>
        <v>#NAME?</v>
      </c>
      <c r="L58" s="894" t="str">
        <f t="shared" si="13"/>
        <v>BasSw</v>
      </c>
      <c r="M58" s="890" t="str">
        <f t="shared" si="14"/>
        <v>--</v>
      </c>
      <c r="N58" s="893" t="str">
        <f ca="1">IFERROR(_xll.qlRateHelperQuoteName(M58,Trigger),"--")</f>
        <v>--</v>
      </c>
      <c r="O58" s="892" t="str">
        <f ca="1">IFERROR(_xll.qlRateHelperQuoteValue($M58,Trigger),"--")</f>
        <v>--</v>
      </c>
      <c r="P58" s="969" t="b">
        <v>0</v>
      </c>
      <c r="Q58" s="890">
        <v>40</v>
      </c>
      <c r="R58" s="890">
        <v>1</v>
      </c>
      <c r="S58" s="889" t="str">
        <f ca="1">IFERROR(_xll.qlRateHelperEarliestDate(M58,Trigger),"--")</f>
        <v>--</v>
      </c>
      <c r="T58" s="889" t="str">
        <f ca="1">IFERROR(_xll.qlRateHelperPillarDate(M58,Trigger),"--")</f>
        <v>--</v>
      </c>
      <c r="V58" s="4" t="str">
        <f t="shared" ca="1" si="12"/>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69" t="s">
        <v>404</v>
      </c>
      <c r="B59" s="871" t="s">
        <v>22</v>
      </c>
      <c r="C59" s="870" t="s">
        <v>324</v>
      </c>
      <c r="D59" s="870" t="s">
        <v>323</v>
      </c>
      <c r="E59" s="870" t="s">
        <v>322</v>
      </c>
      <c r="F59" s="870" t="s">
        <v>221</v>
      </c>
      <c r="G59" s="870" t="str">
        <f t="shared" si="10"/>
        <v>Euribor1M</v>
      </c>
      <c r="H59" s="869" t="str">
        <f t="shared" si="11"/>
        <v>EURAB1E60Y_Quote</v>
      </c>
      <c r="I59" s="965">
        <v>0</v>
      </c>
      <c r="J59" s="38" t="e">
        <f ca="1">_xll.qlSwapRateHelper2(,H59,2,B59,Calendar,D59,E59,F59,G59,I59,C59,Discounting,PillarDate,,Permanent,Trigger,ObjectOverwrite)</f>
        <v>#NAME?</v>
      </c>
      <c r="L59" s="894" t="str">
        <f t="shared" si="13"/>
        <v>BasSw</v>
      </c>
      <c r="M59" s="890" t="str">
        <f t="shared" si="14"/>
        <v>--</v>
      </c>
      <c r="N59" s="893" t="str">
        <f ca="1">IFERROR(_xll.qlRateHelperQuoteName(M59,Trigger),"--")</f>
        <v>--</v>
      </c>
      <c r="O59" s="892" t="str">
        <f ca="1">IFERROR(_xll.qlRateHelperQuoteValue($M59,Trigger),"--")</f>
        <v>--</v>
      </c>
      <c r="P59" s="969" t="b">
        <v>0</v>
      </c>
      <c r="Q59" s="890">
        <v>40</v>
      </c>
      <c r="R59" s="890">
        <v>1</v>
      </c>
      <c r="S59" s="889" t="str">
        <f ca="1">IFERROR(_xll.qlRateHelperEarliestDate(M59,Trigger),"--")</f>
        <v>--</v>
      </c>
      <c r="T59" s="889" t="str">
        <f ca="1">IFERROR(_xll.qlRateHelperPillarDate(M59,Trigger),"--")</f>
        <v>--</v>
      </c>
      <c r="V59" s="4" t="str">
        <f t="shared" ca="1" si="12"/>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G60" s="238" t="s">
        <v>21</v>
      </c>
      <c r="H60" s="865" t="s">
        <v>71</v>
      </c>
      <c r="L60" s="894" t="str">
        <f t="shared" si="13"/>
        <v>BasSw</v>
      </c>
      <c r="M60" s="890" t="str">
        <f t="shared" si="14"/>
        <v>--</v>
      </c>
      <c r="N60" s="893" t="str">
        <f ca="1">IFERROR(_xll.qlRateHelperQuoteName(M60,Trigger),"--")</f>
        <v>--</v>
      </c>
      <c r="O60" s="892" t="str">
        <f ca="1">IFERROR(_xll.qlRateHelperQuoteValue($M60,Trigger),"--")</f>
        <v>--</v>
      </c>
      <c r="P60" s="969" t="b">
        <v>0</v>
      </c>
      <c r="Q60" s="890">
        <v>40</v>
      </c>
      <c r="R60" s="890">
        <v>1</v>
      </c>
      <c r="S60" s="889" t="str">
        <f ca="1">IFERROR(_xll.qlRateHelperEarliestDate(M60,Trigger),"--")</f>
        <v>--</v>
      </c>
      <c r="T60" s="889" t="str">
        <f ca="1">IFERROR(_xll.qlRateHelperPillarDate(M60,Trigger),"--")</f>
        <v>--</v>
      </c>
      <c r="V60" s="4" t="str">
        <f t="shared" ca="1" si="12"/>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145" t="s">
        <v>388</v>
      </c>
      <c r="B61" s="145" t="s">
        <v>107</v>
      </c>
      <c r="C61" s="145" t="s">
        <v>387</v>
      </c>
      <c r="D61" s="145" t="s">
        <v>330</v>
      </c>
      <c r="E61" s="145" t="s">
        <v>386</v>
      </c>
      <c r="F61" s="145" t="s">
        <v>385</v>
      </c>
      <c r="G61" s="145" t="s">
        <v>14</v>
      </c>
      <c r="H61" s="145" t="s">
        <v>384</v>
      </c>
      <c r="I61" s="145" t="s">
        <v>62</v>
      </c>
      <c r="J61" s="145" t="s">
        <v>383</v>
      </c>
      <c r="L61" s="894" t="str">
        <f t="shared" si="13"/>
        <v>BasSw</v>
      </c>
      <c r="M61" s="890" t="str">
        <f t="shared" si="14"/>
        <v>--</v>
      </c>
      <c r="N61" s="893" t="str">
        <f ca="1">IFERROR(_xll.qlRateHelperQuoteName(M61,Trigger),"--")</f>
        <v>--</v>
      </c>
      <c r="O61" s="892" t="str">
        <f ca="1">IFERROR(_xll.qlRateHelperQuoteValue($M61,Trigger),"--")</f>
        <v>--</v>
      </c>
      <c r="P61" s="969" t="b">
        <v>0</v>
      </c>
      <c r="Q61" s="890">
        <v>40</v>
      </c>
      <c r="R61" s="890">
        <v>1</v>
      </c>
      <c r="S61" s="889" t="str">
        <f ca="1">IFERROR(_xll.qlRateHelperEarliestDate(M61,Trigger),"--")</f>
        <v>--</v>
      </c>
      <c r="T61" s="889" t="str">
        <f ca="1">IFERROR(_xll.qlRateHelperPillarDate(M61,Trigger),"--")</f>
        <v>--</v>
      </c>
      <c r="V61" s="4" t="str">
        <f t="shared" ca="1" si="12"/>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58</v>
      </c>
      <c r="C62" s="874" t="s">
        <v>324</v>
      </c>
      <c r="D62" s="874" t="s">
        <v>323</v>
      </c>
      <c r="E62" s="874" t="s">
        <v>322</v>
      </c>
      <c r="F62" s="874" t="s">
        <v>221</v>
      </c>
      <c r="G62" s="874" t="str">
        <f t="shared" ref="G62:G98" si="15">PROPER(Currency)&amp;FamilyName&amp;Tenor</f>
        <v>Euribor1M</v>
      </c>
      <c r="H62" s="873" t="str">
        <f t="shared" ref="H62:H98" si="16">Currency&amp;$G$60&amp;$H$60&amp;"BASIS"&amp;B62&amp;QuoteSuffix</f>
        <v>EURAB1EBASIS1Y_Quote</v>
      </c>
      <c r="I62" s="966">
        <v>0</v>
      </c>
      <c r="J62" s="43" t="s">
        <v>403</v>
      </c>
      <c r="L62" s="894" t="str">
        <f t="shared" si="13"/>
        <v>BasSw</v>
      </c>
      <c r="M62" s="890" t="str">
        <f t="shared" si="14"/>
        <v>--</v>
      </c>
      <c r="N62" s="893" t="str">
        <f ca="1">IFERROR(_xll.qlRateHelperQuoteName(M62,Trigger),"--")</f>
        <v>--</v>
      </c>
      <c r="O62" s="892" t="str">
        <f ca="1">IFERROR(_xll.qlRateHelperQuoteValue($M62,Trigger),"--")</f>
        <v>--</v>
      </c>
      <c r="P62" s="969" t="b">
        <v>0</v>
      </c>
      <c r="Q62" s="890">
        <v>40</v>
      </c>
      <c r="R62" s="890">
        <v>1</v>
      </c>
      <c r="S62" s="889" t="str">
        <f ca="1">IFERROR(_xll.qlRateHelperEarliestDate(M62,Trigger),"--")</f>
        <v>--</v>
      </c>
      <c r="T62" s="889" t="str">
        <f ca="1">IFERROR(_xll.qlRateHelperPillarDate(M62,Trigger),"--")</f>
        <v>--</v>
      </c>
      <c r="V62" s="4" t="str">
        <f t="shared" ca="1" si="12"/>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57</v>
      </c>
      <c r="C63" s="874" t="s">
        <v>324</v>
      </c>
      <c r="D63" s="874" t="s">
        <v>323</v>
      </c>
      <c r="E63" s="874" t="s">
        <v>322</v>
      </c>
      <c r="F63" s="874" t="s">
        <v>221</v>
      </c>
      <c r="G63" s="874" t="str">
        <f t="shared" si="15"/>
        <v>Euribor1M</v>
      </c>
      <c r="H63" s="873" t="str">
        <f t="shared" si="16"/>
        <v>EURAB1EBASIS15M_Quote</v>
      </c>
      <c r="I63" s="966">
        <v>0</v>
      </c>
      <c r="J63" s="43"/>
      <c r="L63" s="894" t="str">
        <f t="shared" si="13"/>
        <v>BasSw</v>
      </c>
      <c r="M63" s="890" t="str">
        <f t="shared" si="14"/>
        <v>--</v>
      </c>
      <c r="N63" s="893" t="str">
        <f ca="1">IFERROR(_xll.qlRateHelperQuoteName(M63,Trigger),"--")</f>
        <v>--</v>
      </c>
      <c r="O63" s="892" t="str">
        <f ca="1">IFERROR(_xll.qlRateHelperQuoteValue($M63,Trigger),"--")</f>
        <v>--</v>
      </c>
      <c r="P63" s="969" t="b">
        <v>0</v>
      </c>
      <c r="Q63" s="890">
        <v>40</v>
      </c>
      <c r="R63" s="890">
        <v>1</v>
      </c>
      <c r="S63" s="889" t="str">
        <f ca="1">IFERROR(_xll.qlRateHelperEarliestDate(M63,Trigger),"--")</f>
        <v>--</v>
      </c>
      <c r="T63" s="889" t="str">
        <f ca="1">IFERROR(_xll.qlRateHelperPillarDate(M63,Trigger),"--")</f>
        <v>--</v>
      </c>
      <c r="V63" s="4" t="str">
        <f t="shared" ca="1" si="12"/>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56</v>
      </c>
      <c r="C64" s="874" t="s">
        <v>324</v>
      </c>
      <c r="D64" s="874" t="s">
        <v>323</v>
      </c>
      <c r="E64" s="874" t="s">
        <v>322</v>
      </c>
      <c r="F64" s="874" t="s">
        <v>221</v>
      </c>
      <c r="G64" s="874" t="str">
        <f t="shared" si="15"/>
        <v>Euribor1M</v>
      </c>
      <c r="H64" s="873" t="str">
        <f t="shared" si="16"/>
        <v>EURAB1EBASIS18M_Quote</v>
      </c>
      <c r="I64" s="966">
        <v>0</v>
      </c>
      <c r="J64" s="43"/>
      <c r="L64" s="894" t="str">
        <f t="shared" si="13"/>
        <v>BasSw</v>
      </c>
      <c r="M64" s="890" t="str">
        <f t="shared" si="14"/>
        <v>--</v>
      </c>
      <c r="N64" s="893" t="str">
        <f ca="1">IFERROR(_xll.qlRateHelperQuoteName(M64,Trigger),"--")</f>
        <v>--</v>
      </c>
      <c r="O64" s="892" t="str">
        <f ca="1">IFERROR(_xll.qlRateHelperQuoteValue($M64,Trigger),"--")</f>
        <v>--</v>
      </c>
      <c r="P64" s="969" t="b">
        <v>0</v>
      </c>
      <c r="Q64" s="890">
        <v>40</v>
      </c>
      <c r="R64" s="890">
        <v>1</v>
      </c>
      <c r="S64" s="889" t="str">
        <f ca="1">IFERROR(_xll.qlRateHelperEarliestDate(M64,Trigger),"--")</f>
        <v>--</v>
      </c>
      <c r="T64" s="889" t="str">
        <f ca="1">IFERROR(_xll.qlRateHelperPillarDate(M64,Trigger),"--")</f>
        <v>--</v>
      </c>
      <c r="V64" s="4" t="str">
        <f t="shared" ca="1" si="12"/>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55</v>
      </c>
      <c r="C65" s="874" t="s">
        <v>324</v>
      </c>
      <c r="D65" s="874" t="s">
        <v>323</v>
      </c>
      <c r="E65" s="874" t="s">
        <v>322</v>
      </c>
      <c r="F65" s="874" t="s">
        <v>221</v>
      </c>
      <c r="G65" s="874" t="str">
        <f t="shared" si="15"/>
        <v>Euribor1M</v>
      </c>
      <c r="H65" s="873" t="str">
        <f t="shared" si="16"/>
        <v>EURAB1EBASIS21M_Quote</v>
      </c>
      <c r="I65" s="966">
        <v>0</v>
      </c>
      <c r="J65" s="43"/>
      <c r="L65" s="894" t="str">
        <f t="shared" si="13"/>
        <v>BasSw</v>
      </c>
      <c r="M65" s="890" t="str">
        <f t="shared" si="14"/>
        <v>--</v>
      </c>
      <c r="N65" s="893" t="str">
        <f ca="1">IFERROR(_xll.qlRateHelperQuoteName(M65,Trigger),"--")</f>
        <v>--</v>
      </c>
      <c r="O65" s="892" t="str">
        <f ca="1">IFERROR(_xll.qlRateHelperQuoteValue($M65,Trigger),"--")</f>
        <v>--</v>
      </c>
      <c r="P65" s="969" t="b">
        <v>0</v>
      </c>
      <c r="Q65" s="890">
        <v>40</v>
      </c>
      <c r="R65" s="890">
        <v>1</v>
      </c>
      <c r="S65" s="889" t="str">
        <f ca="1">IFERROR(_xll.qlRateHelperEarliestDate(M65,Trigger),"--")</f>
        <v>--</v>
      </c>
      <c r="T65" s="889" t="str">
        <f ca="1">IFERROR(_xll.qlRateHelperPillarDate(M65,Trigger),"--")</f>
        <v>--</v>
      </c>
      <c r="V65" s="4" t="str">
        <f t="shared" ca="1" si="12"/>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54</v>
      </c>
      <c r="C66" s="874" t="s">
        <v>324</v>
      </c>
      <c r="D66" s="874" t="s">
        <v>323</v>
      </c>
      <c r="E66" s="874" t="s">
        <v>322</v>
      </c>
      <c r="F66" s="874" t="s">
        <v>221</v>
      </c>
      <c r="G66" s="874" t="str">
        <f t="shared" si="15"/>
        <v>Euribor1M</v>
      </c>
      <c r="H66" s="873" t="str">
        <f t="shared" si="16"/>
        <v>EURAB1EBASIS2Y_Quote</v>
      </c>
      <c r="I66" s="966">
        <v>0</v>
      </c>
      <c r="J66" s="43"/>
      <c r="L66" s="894" t="str">
        <f t="shared" si="13"/>
        <v>BasSw</v>
      </c>
      <c r="M66" s="890" t="str">
        <f t="shared" si="14"/>
        <v>--</v>
      </c>
      <c r="N66" s="893" t="str">
        <f ca="1">IFERROR(_xll.qlRateHelperQuoteName(M66,Trigger),"--")</f>
        <v>--</v>
      </c>
      <c r="O66" s="892" t="str">
        <f ca="1">IFERROR(_xll.qlRateHelperQuoteValue($M66,Trigger),"--")</f>
        <v>--</v>
      </c>
      <c r="P66" s="969" t="b">
        <v>0</v>
      </c>
      <c r="Q66" s="890">
        <v>40</v>
      </c>
      <c r="R66" s="890">
        <v>1</v>
      </c>
      <c r="S66" s="889" t="str">
        <f ca="1">IFERROR(_xll.qlRateHelperEarliestDate(M66,Trigger),"--")</f>
        <v>--</v>
      </c>
      <c r="T66" s="889" t="str">
        <f ca="1">IFERROR(_xll.qlRateHelperPillarDate(M66,Trigger),"--")</f>
        <v>--</v>
      </c>
      <c r="V66" s="4" t="str">
        <f t="shared" ca="1" si="12"/>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53</v>
      </c>
      <c r="C67" s="874" t="s">
        <v>324</v>
      </c>
      <c r="D67" s="874" t="s">
        <v>323</v>
      </c>
      <c r="E67" s="874" t="s">
        <v>322</v>
      </c>
      <c r="F67" s="874" t="s">
        <v>221</v>
      </c>
      <c r="G67" s="874" t="str">
        <f t="shared" si="15"/>
        <v>Euribor1M</v>
      </c>
      <c r="H67" s="873" t="str">
        <f t="shared" si="16"/>
        <v>EURAB1EBASIS3Y_Quote</v>
      </c>
      <c r="I67" s="966">
        <v>0</v>
      </c>
      <c r="J67" s="43"/>
      <c r="L67" s="894" t="str">
        <f t="shared" si="13"/>
        <v>BasSw</v>
      </c>
      <c r="M67" s="890" t="str">
        <f t="shared" si="14"/>
        <v>--</v>
      </c>
      <c r="N67" s="893" t="str">
        <f ca="1">IFERROR(_xll.qlRateHelperQuoteName(M67,Trigger),"--")</f>
        <v>--</v>
      </c>
      <c r="O67" s="892" t="str">
        <f ca="1">IFERROR(_xll.qlRateHelperQuoteValue($M67,Trigger),"--")</f>
        <v>--</v>
      </c>
      <c r="P67" s="969" t="b">
        <v>0</v>
      </c>
      <c r="Q67" s="890">
        <v>40</v>
      </c>
      <c r="R67" s="890">
        <v>1</v>
      </c>
      <c r="S67" s="889" t="str">
        <f ca="1">IFERROR(_xll.qlRateHelperEarliestDate(M67,Trigger),"--")</f>
        <v>--</v>
      </c>
      <c r="T67" s="889" t="str">
        <f ca="1">IFERROR(_xll.qlRateHelperPillarDate(M67,Trigger),"--")</f>
        <v>--</v>
      </c>
      <c r="V67" s="4" t="str">
        <f t="shared" ref="V67:V92" ca="1" si="17">IFERROR(INDEX($L$3:$L$92,MATCH(X67,$N$3:$N$92,0),1),"")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52</v>
      </c>
      <c r="C68" s="874" t="s">
        <v>324</v>
      </c>
      <c r="D68" s="874" t="s">
        <v>323</v>
      </c>
      <c r="E68" s="874" t="s">
        <v>322</v>
      </c>
      <c r="F68" s="874" t="s">
        <v>221</v>
      </c>
      <c r="G68" s="874" t="str">
        <f t="shared" si="15"/>
        <v>Euribor1M</v>
      </c>
      <c r="H68" s="873" t="str">
        <f t="shared" si="16"/>
        <v>EURAB1EBASIS4Y_Quote</v>
      </c>
      <c r="I68" s="966">
        <v>0</v>
      </c>
      <c r="J68" s="43"/>
      <c r="L68" s="894" t="str">
        <f t="shared" si="13"/>
        <v>BasSw</v>
      </c>
      <c r="M68" s="890" t="str">
        <f t="shared" si="14"/>
        <v>--</v>
      </c>
      <c r="N68" s="893" t="str">
        <f ca="1">IFERROR(_xll.qlRateHelperQuoteName(M68,Trigger),"--")</f>
        <v>--</v>
      </c>
      <c r="O68" s="892" t="str">
        <f ca="1">IFERROR(_xll.qlRateHelperQuoteValue($M68,Trigger),"--")</f>
        <v>--</v>
      </c>
      <c r="P68" s="969" t="b">
        <v>0</v>
      </c>
      <c r="Q68" s="890">
        <v>40</v>
      </c>
      <c r="R68" s="890">
        <v>1</v>
      </c>
      <c r="S68" s="889" t="str">
        <f ca="1">IFERROR(_xll.qlRateHelperEarliestDate(M68,Trigger),"--")</f>
        <v>--</v>
      </c>
      <c r="T68" s="889"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51</v>
      </c>
      <c r="C69" s="874" t="s">
        <v>324</v>
      </c>
      <c r="D69" s="874" t="s">
        <v>323</v>
      </c>
      <c r="E69" s="874" t="s">
        <v>322</v>
      </c>
      <c r="F69" s="874" t="s">
        <v>221</v>
      </c>
      <c r="G69" s="874" t="str">
        <f t="shared" si="15"/>
        <v>Euribor1M</v>
      </c>
      <c r="H69" s="873" t="str">
        <f t="shared" si="16"/>
        <v>EURAB1EBASIS5Y_Quote</v>
      </c>
      <c r="I69" s="966">
        <v>0</v>
      </c>
      <c r="J69" s="43"/>
      <c r="L69" s="894" t="str">
        <f t="shared" si="13"/>
        <v>BasSw</v>
      </c>
      <c r="M69" s="890" t="str">
        <f t="shared" si="14"/>
        <v>--</v>
      </c>
      <c r="N69" s="893" t="str">
        <f ca="1">IFERROR(_xll.qlRateHelperQuoteName(M69,Trigger),"--")</f>
        <v>--</v>
      </c>
      <c r="O69" s="892" t="str">
        <f ca="1">IFERROR(_xll.qlRateHelperQuoteValue($M69,Trigger),"--")</f>
        <v>--</v>
      </c>
      <c r="P69" s="969" t="b">
        <v>0</v>
      </c>
      <c r="Q69" s="890">
        <v>40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50</v>
      </c>
      <c r="C70" s="874" t="s">
        <v>324</v>
      </c>
      <c r="D70" s="874" t="s">
        <v>323</v>
      </c>
      <c r="E70" s="874" t="s">
        <v>322</v>
      </c>
      <c r="F70" s="874" t="s">
        <v>221</v>
      </c>
      <c r="G70" s="874" t="str">
        <f t="shared" si="15"/>
        <v>Euribor1M</v>
      </c>
      <c r="H70" s="873" t="str">
        <f t="shared" si="16"/>
        <v>EURAB1EBASIS6Y_Quote</v>
      </c>
      <c r="I70" s="966">
        <v>0</v>
      </c>
      <c r="J70" s="43"/>
      <c r="L70" s="894" t="str">
        <f t="shared" si="13"/>
        <v>BasSw</v>
      </c>
      <c r="M70" s="890" t="str">
        <f t="shared" si="14"/>
        <v>--</v>
      </c>
      <c r="N70" s="893" t="str">
        <f ca="1">IFERROR(_xll.qlRateHelperQuoteName(M70,Trigger),"--")</f>
        <v>--</v>
      </c>
      <c r="O70" s="892" t="str">
        <f ca="1">IFERROR(_xll.qlRateHelperQuoteValue($M70,Trigger),"--")</f>
        <v>--</v>
      </c>
      <c r="P70" s="969" t="b">
        <v>0</v>
      </c>
      <c r="Q70" s="890">
        <v>40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49</v>
      </c>
      <c r="C71" s="874" t="s">
        <v>324</v>
      </c>
      <c r="D71" s="874" t="s">
        <v>323</v>
      </c>
      <c r="E71" s="874" t="s">
        <v>322</v>
      </c>
      <c r="F71" s="874" t="s">
        <v>221</v>
      </c>
      <c r="G71" s="874" t="str">
        <f t="shared" si="15"/>
        <v>Euribor1M</v>
      </c>
      <c r="H71" s="873" t="str">
        <f t="shared" si="16"/>
        <v>EURAB1EBASIS7Y_Quote</v>
      </c>
      <c r="I71" s="966">
        <v>0</v>
      </c>
      <c r="J71" s="43"/>
      <c r="L71" s="894" t="str">
        <f t="shared" si="13"/>
        <v>BasSw</v>
      </c>
      <c r="M71" s="890" t="str">
        <f t="shared" si="14"/>
        <v>--</v>
      </c>
      <c r="N71" s="893" t="str">
        <f ca="1">IFERROR(_xll.qlRateHelperQuoteName(M71,Trigger),"--")</f>
        <v>--</v>
      </c>
      <c r="O71" s="892" t="str">
        <f ca="1">IFERROR(_xll.qlRateHelperQuoteValue($M71,Trigger),"--")</f>
        <v>--</v>
      </c>
      <c r="P71" s="969" t="b">
        <v>0</v>
      </c>
      <c r="Q71" s="890">
        <v>40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48</v>
      </c>
      <c r="C72" s="874" t="s">
        <v>324</v>
      </c>
      <c r="D72" s="874" t="s">
        <v>323</v>
      </c>
      <c r="E72" s="874" t="s">
        <v>322</v>
      </c>
      <c r="F72" s="874" t="s">
        <v>221</v>
      </c>
      <c r="G72" s="874" t="str">
        <f t="shared" si="15"/>
        <v>Euribor1M</v>
      </c>
      <c r="H72" s="873" t="str">
        <f t="shared" si="16"/>
        <v>EURAB1EBASIS8Y_Quote</v>
      </c>
      <c r="I72" s="966">
        <v>0</v>
      </c>
      <c r="J72" s="43"/>
      <c r="L72" s="894" t="str">
        <f t="shared" si="13"/>
        <v>BasSw</v>
      </c>
      <c r="M72" s="890" t="str">
        <f t="shared" si="14"/>
        <v>--</v>
      </c>
      <c r="N72" s="893" t="str">
        <f ca="1">IFERROR(_xll.qlRateHelperQuoteName(M72,Trigger),"--")</f>
        <v>--</v>
      </c>
      <c r="O72" s="892" t="str">
        <f ca="1">IFERROR(_xll.qlRateHelperQuoteValue($M72,Trigger),"--")</f>
        <v>--</v>
      </c>
      <c r="P72" s="969" t="b">
        <v>0</v>
      </c>
      <c r="Q72" s="890">
        <v>40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47</v>
      </c>
      <c r="C73" s="874" t="s">
        <v>324</v>
      </c>
      <c r="D73" s="874" t="s">
        <v>323</v>
      </c>
      <c r="E73" s="874" t="s">
        <v>322</v>
      </c>
      <c r="F73" s="874" t="s">
        <v>221</v>
      </c>
      <c r="G73" s="874" t="str">
        <f t="shared" si="15"/>
        <v>Euribor1M</v>
      </c>
      <c r="H73" s="873" t="str">
        <f t="shared" si="16"/>
        <v>EURAB1EBASIS9Y_Quote</v>
      </c>
      <c r="I73" s="966">
        <v>0</v>
      </c>
      <c r="J73" s="43"/>
      <c r="L73" s="894" t="str">
        <f t="shared" si="13"/>
        <v>BasSw</v>
      </c>
      <c r="M73" s="890" t="str">
        <f t="shared" si="14"/>
        <v>--</v>
      </c>
      <c r="N73" s="893" t="str">
        <f ca="1">IFERROR(_xll.qlRateHelperQuoteName(M73,Trigger),"--")</f>
        <v>--</v>
      </c>
      <c r="O73" s="892" t="str">
        <f ca="1">IFERROR(_xll.qlRateHelperQuoteValue($M73,Trigger),"--")</f>
        <v>--</v>
      </c>
      <c r="P73" s="969" t="b">
        <v>0</v>
      </c>
      <c r="Q73" s="890">
        <v>40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46</v>
      </c>
      <c r="C74" s="874" t="s">
        <v>324</v>
      </c>
      <c r="D74" s="874" t="s">
        <v>323</v>
      </c>
      <c r="E74" s="874" t="s">
        <v>322</v>
      </c>
      <c r="F74" s="874" t="s">
        <v>221</v>
      </c>
      <c r="G74" s="874" t="str">
        <f t="shared" si="15"/>
        <v>Euribor1M</v>
      </c>
      <c r="H74" s="873" t="str">
        <f t="shared" si="16"/>
        <v>EURAB1EBASIS10Y_Quote</v>
      </c>
      <c r="I74" s="966">
        <v>0</v>
      </c>
      <c r="J74" s="43"/>
      <c r="L74" s="894" t="str">
        <f t="shared" si="13"/>
        <v>BasSw</v>
      </c>
      <c r="M74" s="890" t="str">
        <f t="shared" si="14"/>
        <v>--</v>
      </c>
      <c r="N74" s="893" t="str">
        <f ca="1">IFERROR(_xll.qlRateHelperQuoteName(M74,Trigger),"--")</f>
        <v>--</v>
      </c>
      <c r="O74" s="892" t="str">
        <f ca="1">IFERROR(_xll.qlRateHelperQuoteValue($M74,Trigger),"--")</f>
        <v>--</v>
      </c>
      <c r="P74" s="969" t="b">
        <v>0</v>
      </c>
      <c r="Q74" s="890">
        <v>40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45</v>
      </c>
      <c r="C75" s="874" t="s">
        <v>324</v>
      </c>
      <c r="D75" s="874" t="s">
        <v>323</v>
      </c>
      <c r="E75" s="874" t="s">
        <v>322</v>
      </c>
      <c r="F75" s="874" t="s">
        <v>221</v>
      </c>
      <c r="G75" s="874" t="str">
        <f t="shared" si="15"/>
        <v>Euribor1M</v>
      </c>
      <c r="H75" s="873" t="str">
        <f t="shared" si="16"/>
        <v>EURAB1EBASIS11Y_Quote</v>
      </c>
      <c r="I75" s="966">
        <v>0</v>
      </c>
      <c r="J75" s="43"/>
      <c r="L75" s="894" t="str">
        <f t="shared" si="13"/>
        <v>BasSw</v>
      </c>
      <c r="M75" s="890" t="str">
        <f t="shared" si="14"/>
        <v>--</v>
      </c>
      <c r="N75" s="893" t="str">
        <f ca="1">IFERROR(_xll.qlRateHelperQuoteName(M75,Trigger),"--")</f>
        <v>--</v>
      </c>
      <c r="O75" s="892" t="str">
        <f ca="1">IFERROR(_xll.qlRateHelperQuoteValue($M75,Trigger),"--")</f>
        <v>--</v>
      </c>
      <c r="P75" s="969" t="b">
        <v>0</v>
      </c>
      <c r="Q75" s="890">
        <v>40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44</v>
      </c>
      <c r="C76" s="874" t="s">
        <v>324</v>
      </c>
      <c r="D76" s="874" t="s">
        <v>323</v>
      </c>
      <c r="E76" s="874" t="s">
        <v>322</v>
      </c>
      <c r="F76" s="874" t="s">
        <v>221</v>
      </c>
      <c r="G76" s="874" t="str">
        <f t="shared" si="15"/>
        <v>Euribor1M</v>
      </c>
      <c r="H76" s="873" t="str">
        <f t="shared" si="16"/>
        <v>EURAB1EBASIS12Y_Quote</v>
      </c>
      <c r="I76" s="966">
        <v>0</v>
      </c>
      <c r="J76" s="43"/>
      <c r="L76" s="894" t="str">
        <f t="shared" si="13"/>
        <v>BasSw</v>
      </c>
      <c r="M76" s="890" t="str">
        <f t="shared" si="14"/>
        <v>--</v>
      </c>
      <c r="N76" s="893" t="str">
        <f ca="1">IFERROR(_xll.qlRateHelperQuoteName(M76,Trigger),"--")</f>
        <v>--</v>
      </c>
      <c r="O76" s="892" t="str">
        <f ca="1">IFERROR(_xll.qlRateHelperQuoteValue($M76,Trigger),"--")</f>
        <v>--</v>
      </c>
      <c r="P76" s="969" t="b">
        <v>0</v>
      </c>
      <c r="Q76" s="890">
        <v>40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43</v>
      </c>
      <c r="C77" s="874" t="s">
        <v>324</v>
      </c>
      <c r="D77" s="874" t="s">
        <v>323</v>
      </c>
      <c r="E77" s="874" t="s">
        <v>322</v>
      </c>
      <c r="F77" s="874" t="s">
        <v>221</v>
      </c>
      <c r="G77" s="874" t="str">
        <f t="shared" si="15"/>
        <v>Euribor1M</v>
      </c>
      <c r="H77" s="873" t="str">
        <f t="shared" si="16"/>
        <v>EURAB1EBASIS13Y_Quote</v>
      </c>
      <c r="I77" s="966">
        <v>0</v>
      </c>
      <c r="J77" s="43"/>
      <c r="L77" s="894" t="str">
        <f t="shared" si="13"/>
        <v>BasSw</v>
      </c>
      <c r="M77" s="890" t="str">
        <f t="shared" si="14"/>
        <v>--</v>
      </c>
      <c r="N77" s="893" t="str">
        <f ca="1">IFERROR(_xll.qlRateHelperQuoteName(M77,Trigger),"--")</f>
        <v>--</v>
      </c>
      <c r="O77" s="892" t="str">
        <f ca="1">IFERROR(_xll.qlRateHelperQuoteValue($M77,Trigger),"--")</f>
        <v>--</v>
      </c>
      <c r="P77" s="969" t="b">
        <v>0</v>
      </c>
      <c r="Q77" s="890">
        <v>40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42</v>
      </c>
      <c r="C78" s="874" t="s">
        <v>324</v>
      </c>
      <c r="D78" s="874" t="s">
        <v>323</v>
      </c>
      <c r="E78" s="874" t="s">
        <v>322</v>
      </c>
      <c r="F78" s="874" t="s">
        <v>221</v>
      </c>
      <c r="G78" s="874" t="str">
        <f t="shared" si="15"/>
        <v>Euribor1M</v>
      </c>
      <c r="H78" s="873" t="str">
        <f t="shared" si="16"/>
        <v>EURAB1EBASIS14Y_Quote</v>
      </c>
      <c r="I78" s="966">
        <v>0</v>
      </c>
      <c r="J78" s="43"/>
      <c r="L78" s="894" t="str">
        <f t="shared" si="13"/>
        <v>BasSw</v>
      </c>
      <c r="M78" s="890" t="str">
        <f t="shared" si="14"/>
        <v>--</v>
      </c>
      <c r="N78" s="893" t="str">
        <f ca="1">IFERROR(_xll.qlRateHelperQuoteName(M78,Trigger),"--")</f>
        <v>--</v>
      </c>
      <c r="O78" s="892" t="str">
        <f ca="1">IFERROR(_xll.qlRateHelperQuoteValue($M78,Trigger),"--")</f>
        <v>--</v>
      </c>
      <c r="P78" s="969" t="b">
        <v>0</v>
      </c>
      <c r="Q78" s="890">
        <v>40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41</v>
      </c>
      <c r="C79" s="874" t="s">
        <v>324</v>
      </c>
      <c r="D79" s="874" t="s">
        <v>323</v>
      </c>
      <c r="E79" s="874" t="s">
        <v>322</v>
      </c>
      <c r="F79" s="874" t="s">
        <v>221</v>
      </c>
      <c r="G79" s="874" t="str">
        <f t="shared" si="15"/>
        <v>Euribor1M</v>
      </c>
      <c r="H79" s="873" t="str">
        <f t="shared" si="16"/>
        <v>EURAB1EBASIS15Y_Quote</v>
      </c>
      <c r="I79" s="966">
        <v>0</v>
      </c>
      <c r="J79" s="43"/>
      <c r="L79" s="894" t="str">
        <f t="shared" si="13"/>
        <v>BasSw</v>
      </c>
      <c r="M79" s="890" t="str">
        <f t="shared" si="14"/>
        <v>--</v>
      </c>
      <c r="N79" s="893" t="str">
        <f ca="1">IFERROR(_xll.qlRateHelperQuoteName(M79,Trigger),"--")</f>
        <v>--</v>
      </c>
      <c r="O79" s="892" t="str">
        <f ca="1">IFERROR(_xll.qlRateHelperQuoteValue($M79,Trigger),"--")</f>
        <v>--</v>
      </c>
      <c r="P79" s="969" t="b">
        <v>0</v>
      </c>
      <c r="Q79" s="890">
        <v>40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382</v>
      </c>
      <c r="B80" s="875" t="s">
        <v>40</v>
      </c>
      <c r="C80" s="874" t="s">
        <v>324</v>
      </c>
      <c r="D80" s="874" t="s">
        <v>323</v>
      </c>
      <c r="E80" s="874" t="s">
        <v>322</v>
      </c>
      <c r="F80" s="874" t="s">
        <v>221</v>
      </c>
      <c r="G80" s="874" t="str">
        <f t="shared" si="15"/>
        <v>Euribor1M</v>
      </c>
      <c r="H80" s="873" t="str">
        <f t="shared" si="16"/>
        <v>EURAB1EBASIS16Y_Quote</v>
      </c>
      <c r="I80" s="966">
        <v>0</v>
      </c>
      <c r="J80" s="43"/>
      <c r="L80" s="894" t="str">
        <f t="shared" si="13"/>
        <v>BasSw</v>
      </c>
      <c r="M80" s="890" t="str">
        <f t="shared" si="14"/>
        <v>--</v>
      </c>
      <c r="N80" s="893" t="str">
        <f ca="1">IFERROR(_xll.qlRateHelperQuoteName(M80,Trigger),"--")</f>
        <v>--</v>
      </c>
      <c r="O80" s="892" t="str">
        <f ca="1">IFERROR(_xll.qlRateHelperQuoteValue($M80,Trigger),"--")</f>
        <v>--</v>
      </c>
      <c r="P80" s="969" t="b">
        <v>0</v>
      </c>
      <c r="Q80" s="890">
        <v>40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382</v>
      </c>
      <c r="B81" s="875" t="s">
        <v>39</v>
      </c>
      <c r="C81" s="874" t="s">
        <v>324</v>
      </c>
      <c r="D81" s="874" t="s">
        <v>323</v>
      </c>
      <c r="E81" s="874" t="s">
        <v>322</v>
      </c>
      <c r="F81" s="874" t="s">
        <v>221</v>
      </c>
      <c r="G81" s="874" t="str">
        <f t="shared" si="15"/>
        <v>Euribor1M</v>
      </c>
      <c r="H81" s="873" t="str">
        <f t="shared" si="16"/>
        <v>EURAB1EBASIS17Y_Quote</v>
      </c>
      <c r="I81" s="966">
        <v>0</v>
      </c>
      <c r="J81" s="43"/>
      <c r="L81" s="894" t="str">
        <f t="shared" si="13"/>
        <v>BasSw</v>
      </c>
      <c r="M81" s="890" t="str">
        <f t="shared" si="14"/>
        <v>--</v>
      </c>
      <c r="N81" s="893" t="str">
        <f ca="1">IFERROR(_xll.qlRateHelperQuoteName(M81,Trigger),"--")</f>
        <v>--</v>
      </c>
      <c r="O81" s="892" t="str">
        <f ca="1">IFERROR(_xll.qlRateHelperQuoteValue($M81,Trigger),"--")</f>
        <v>--</v>
      </c>
      <c r="P81" s="969" t="b">
        <v>0</v>
      </c>
      <c r="Q81" s="890">
        <v>40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382</v>
      </c>
      <c r="B82" s="875" t="s">
        <v>38</v>
      </c>
      <c r="C82" s="874" t="s">
        <v>324</v>
      </c>
      <c r="D82" s="874" t="s">
        <v>323</v>
      </c>
      <c r="E82" s="874" t="s">
        <v>322</v>
      </c>
      <c r="F82" s="874" t="s">
        <v>221</v>
      </c>
      <c r="G82" s="874" t="str">
        <f t="shared" si="15"/>
        <v>Euribor1M</v>
      </c>
      <c r="H82" s="873" t="str">
        <f t="shared" si="16"/>
        <v>EURAB1EBASIS18Y_Quote</v>
      </c>
      <c r="I82" s="966">
        <v>0</v>
      </c>
      <c r="J82" s="43"/>
      <c r="L82" s="894" t="str">
        <f t="shared" si="13"/>
        <v>BasSw</v>
      </c>
      <c r="M82" s="890" t="str">
        <f t="shared" si="14"/>
        <v>--</v>
      </c>
      <c r="N82" s="893" t="str">
        <f ca="1">IFERROR(_xll.qlRateHelperQuoteName(M82,Trigger),"--")</f>
        <v>--</v>
      </c>
      <c r="O82" s="892" t="str">
        <f ca="1">IFERROR(_xll.qlRateHelperQuoteValue($M82,Trigger),"--")</f>
        <v>--</v>
      </c>
      <c r="P82" s="969" t="b">
        <v>0</v>
      </c>
      <c r="Q82" s="890">
        <v>40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382</v>
      </c>
      <c r="B83" s="875" t="s">
        <v>37</v>
      </c>
      <c r="C83" s="874" t="s">
        <v>324</v>
      </c>
      <c r="D83" s="874" t="s">
        <v>323</v>
      </c>
      <c r="E83" s="874" t="s">
        <v>322</v>
      </c>
      <c r="F83" s="874" t="s">
        <v>221</v>
      </c>
      <c r="G83" s="874" t="str">
        <f t="shared" si="15"/>
        <v>Euribor1M</v>
      </c>
      <c r="H83" s="873" t="str">
        <f t="shared" si="16"/>
        <v>EURAB1EBASIS19Y_Quote</v>
      </c>
      <c r="I83" s="966">
        <v>0</v>
      </c>
      <c r="J83" s="43"/>
      <c r="L83" s="894" t="str">
        <f t="shared" si="13"/>
        <v>BasSw</v>
      </c>
      <c r="M83" s="890" t="str">
        <f t="shared" si="14"/>
        <v>--</v>
      </c>
      <c r="N83" s="893" t="str">
        <f ca="1">IFERROR(_xll.qlRateHelperQuoteName(M83,Trigger),"--")</f>
        <v>--</v>
      </c>
      <c r="O83" s="892" t="str">
        <f ca="1">IFERROR(_xll.qlRateHelperQuoteValue($M83,Trigger),"--")</f>
        <v>--</v>
      </c>
      <c r="P83" s="969" t="b">
        <v>0</v>
      </c>
      <c r="Q83" s="890">
        <v>40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382</v>
      </c>
      <c r="B84" s="875" t="s">
        <v>36</v>
      </c>
      <c r="C84" s="874" t="s">
        <v>324</v>
      </c>
      <c r="D84" s="874" t="s">
        <v>323</v>
      </c>
      <c r="E84" s="874" t="s">
        <v>322</v>
      </c>
      <c r="F84" s="874" t="s">
        <v>221</v>
      </c>
      <c r="G84" s="874" t="str">
        <f t="shared" si="15"/>
        <v>Euribor1M</v>
      </c>
      <c r="H84" s="873" t="str">
        <f t="shared" si="16"/>
        <v>EURAB1EBASIS20Y_Quote</v>
      </c>
      <c r="I84" s="966">
        <v>0</v>
      </c>
      <c r="J84" s="43"/>
      <c r="L84" s="894" t="str">
        <f t="shared" si="13"/>
        <v>BasSw</v>
      </c>
      <c r="M84" s="890" t="str">
        <f t="shared" si="14"/>
        <v>--</v>
      </c>
      <c r="N84" s="893" t="str">
        <f ca="1">IFERROR(_xll.qlRateHelperQuoteName(M84,Trigger),"--")</f>
        <v>--</v>
      </c>
      <c r="O84" s="892" t="str">
        <f ca="1">IFERROR(_xll.qlRateHelperQuoteValue($M84,Trigger),"--")</f>
        <v>--</v>
      </c>
      <c r="P84" s="969" t="b">
        <v>0</v>
      </c>
      <c r="Q84" s="890">
        <v>40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382</v>
      </c>
      <c r="B85" s="875" t="s">
        <v>35</v>
      </c>
      <c r="C85" s="874" t="s">
        <v>324</v>
      </c>
      <c r="D85" s="874" t="s">
        <v>323</v>
      </c>
      <c r="E85" s="874" t="s">
        <v>322</v>
      </c>
      <c r="F85" s="874" t="s">
        <v>221</v>
      </c>
      <c r="G85" s="874" t="str">
        <f t="shared" si="15"/>
        <v>Euribor1M</v>
      </c>
      <c r="H85" s="873" t="str">
        <f t="shared" si="16"/>
        <v>EURAB1EBASIS21Y_Quote</v>
      </c>
      <c r="I85" s="966">
        <v>0</v>
      </c>
      <c r="J85" s="43"/>
      <c r="L85" s="894" t="str">
        <f t="shared" si="13"/>
        <v>BasSw</v>
      </c>
      <c r="M85" s="890" t="str">
        <f t="shared" si="14"/>
        <v>--</v>
      </c>
      <c r="N85" s="893" t="str">
        <f ca="1">IFERROR(_xll.qlRateHelperQuoteName(M85,Trigger),"--")</f>
        <v>--</v>
      </c>
      <c r="O85" s="892" t="str">
        <f ca="1">IFERROR(_xll.qlRateHelperQuoteValue($M85,Trigger),"--")</f>
        <v>--</v>
      </c>
      <c r="P85" s="969" t="b">
        <v>0</v>
      </c>
      <c r="Q85" s="890">
        <v>40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382</v>
      </c>
      <c r="B86" s="875" t="s">
        <v>34</v>
      </c>
      <c r="C86" s="874" t="s">
        <v>324</v>
      </c>
      <c r="D86" s="874" t="s">
        <v>323</v>
      </c>
      <c r="E86" s="874" t="s">
        <v>322</v>
      </c>
      <c r="F86" s="874" t="s">
        <v>221</v>
      </c>
      <c r="G86" s="874" t="str">
        <f t="shared" si="15"/>
        <v>Euribor1M</v>
      </c>
      <c r="H86" s="873" t="str">
        <f t="shared" si="16"/>
        <v>EURAB1EBASIS22Y_Quote</v>
      </c>
      <c r="I86" s="966">
        <v>0</v>
      </c>
      <c r="J86" s="43"/>
      <c r="L86" s="894" t="str">
        <f t="shared" si="13"/>
        <v>BasSw</v>
      </c>
      <c r="M86" s="890" t="str">
        <f t="shared" si="14"/>
        <v>--</v>
      </c>
      <c r="N86" s="893" t="str">
        <f ca="1">IFERROR(_xll.qlRateHelperQuoteName(M86,Trigger),"--")</f>
        <v>--</v>
      </c>
      <c r="O86" s="892" t="str">
        <f ca="1">IFERROR(_xll.qlRateHelperQuoteValue($M86,Trigger),"--")</f>
        <v>--</v>
      </c>
      <c r="P86" s="969" t="b">
        <v>0</v>
      </c>
      <c r="Q86" s="890">
        <v>40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382</v>
      </c>
      <c r="B87" s="875" t="s">
        <v>33</v>
      </c>
      <c r="C87" s="874" t="s">
        <v>324</v>
      </c>
      <c r="D87" s="874" t="s">
        <v>323</v>
      </c>
      <c r="E87" s="874" t="s">
        <v>322</v>
      </c>
      <c r="F87" s="874" t="s">
        <v>221</v>
      </c>
      <c r="G87" s="874" t="str">
        <f t="shared" si="15"/>
        <v>Euribor1M</v>
      </c>
      <c r="H87" s="873" t="str">
        <f t="shared" si="16"/>
        <v>EURAB1EBASIS23Y_Quote</v>
      </c>
      <c r="I87" s="966">
        <v>0</v>
      </c>
      <c r="J87" s="43"/>
      <c r="L87" s="894" t="str">
        <f t="shared" si="13"/>
        <v>BasSw</v>
      </c>
      <c r="M87" s="890" t="str">
        <f t="shared" si="14"/>
        <v>--</v>
      </c>
      <c r="N87" s="893" t="str">
        <f ca="1">IFERROR(_xll.qlRateHelperQuoteName(M87,Trigger),"--")</f>
        <v>--</v>
      </c>
      <c r="O87" s="892" t="str">
        <f ca="1">IFERROR(_xll.qlRateHelperQuoteValue($M87,Trigger),"--")</f>
        <v>--</v>
      </c>
      <c r="P87" s="969" t="b">
        <v>0</v>
      </c>
      <c r="Q87" s="890">
        <v>40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382</v>
      </c>
      <c r="B88" s="875" t="s">
        <v>32</v>
      </c>
      <c r="C88" s="874" t="s">
        <v>324</v>
      </c>
      <c r="D88" s="874" t="s">
        <v>323</v>
      </c>
      <c r="E88" s="874" t="s">
        <v>322</v>
      </c>
      <c r="F88" s="874" t="s">
        <v>221</v>
      </c>
      <c r="G88" s="874" t="str">
        <f t="shared" si="15"/>
        <v>Euribor1M</v>
      </c>
      <c r="H88" s="873" t="str">
        <f t="shared" si="16"/>
        <v>EURAB1EBASIS24Y_Quote</v>
      </c>
      <c r="I88" s="966">
        <v>0</v>
      </c>
      <c r="J88" s="43"/>
      <c r="L88" s="894" t="str">
        <f t="shared" si="13"/>
        <v>BasSw</v>
      </c>
      <c r="M88" s="890" t="str">
        <f t="shared" si="14"/>
        <v>--</v>
      </c>
      <c r="N88" s="893" t="str">
        <f ca="1">IFERROR(_xll.qlRateHelperQuoteName(M88,Trigger),"--")</f>
        <v>--</v>
      </c>
      <c r="O88" s="892" t="str">
        <f ca="1">IFERROR(_xll.qlRateHelperQuoteValue($M88,Trigger),"--")</f>
        <v>--</v>
      </c>
      <c r="P88" s="969" t="b">
        <v>0</v>
      </c>
      <c r="Q88" s="890">
        <v>40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382</v>
      </c>
      <c r="B89" s="875" t="s">
        <v>31</v>
      </c>
      <c r="C89" s="874" t="s">
        <v>324</v>
      </c>
      <c r="D89" s="874" t="s">
        <v>323</v>
      </c>
      <c r="E89" s="874" t="s">
        <v>322</v>
      </c>
      <c r="F89" s="874" t="s">
        <v>221</v>
      </c>
      <c r="G89" s="874" t="str">
        <f t="shared" si="15"/>
        <v>Euribor1M</v>
      </c>
      <c r="H89" s="873" t="str">
        <f t="shared" si="16"/>
        <v>EURAB1EBASIS25Y_Quote</v>
      </c>
      <c r="I89" s="966">
        <v>0</v>
      </c>
      <c r="J89" s="43"/>
      <c r="L89" s="894" t="str">
        <f t="shared" si="13"/>
        <v>BasSw</v>
      </c>
      <c r="M89" s="890" t="str">
        <f t="shared" si="14"/>
        <v>--</v>
      </c>
      <c r="N89" s="893" t="str">
        <f ca="1">IFERROR(_xll.qlRateHelperQuoteName(M89,Trigger),"--")</f>
        <v>--</v>
      </c>
      <c r="O89" s="892" t="str">
        <f ca="1">IFERROR(_xll.qlRateHelperQuoteValue($M89,Trigger),"--")</f>
        <v>--</v>
      </c>
      <c r="P89" s="969" t="b">
        <v>0</v>
      </c>
      <c r="Q89" s="890">
        <v>40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382</v>
      </c>
      <c r="B90" s="875" t="s">
        <v>30</v>
      </c>
      <c r="C90" s="874" t="s">
        <v>324</v>
      </c>
      <c r="D90" s="874" t="s">
        <v>323</v>
      </c>
      <c r="E90" s="874" t="s">
        <v>322</v>
      </c>
      <c r="F90" s="874" t="s">
        <v>221</v>
      </c>
      <c r="G90" s="874" t="str">
        <f t="shared" si="15"/>
        <v>Euribor1M</v>
      </c>
      <c r="H90" s="873" t="str">
        <f t="shared" si="16"/>
        <v>EURAB1EBASIS26Y_Quote</v>
      </c>
      <c r="I90" s="966">
        <v>0</v>
      </c>
      <c r="J90" s="43"/>
      <c r="K90" s="1" t="s">
        <v>148</v>
      </c>
      <c r="L90" s="894" t="str">
        <f t="shared" si="13"/>
        <v>BasSw</v>
      </c>
      <c r="M90" s="890" t="str">
        <f t="shared" si="14"/>
        <v>--</v>
      </c>
      <c r="N90" s="893" t="str">
        <f ca="1">IFERROR(_xll.qlRateHelperQuoteName(M90,Trigger),"--")</f>
        <v>--</v>
      </c>
      <c r="O90" s="892" t="str">
        <f ca="1">IFERROR(_xll.qlRateHelperQuoteValue($M90,Trigger),"--")</f>
        <v>--</v>
      </c>
      <c r="P90" s="969" t="b">
        <v>0</v>
      </c>
      <c r="Q90" s="890">
        <v>40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382</v>
      </c>
      <c r="B91" s="875" t="s">
        <v>29</v>
      </c>
      <c r="C91" s="874" t="s">
        <v>324</v>
      </c>
      <c r="D91" s="874" t="s">
        <v>323</v>
      </c>
      <c r="E91" s="874" t="s">
        <v>322</v>
      </c>
      <c r="F91" s="874" t="s">
        <v>221</v>
      </c>
      <c r="G91" s="874" t="str">
        <f t="shared" si="15"/>
        <v>Euribor1M</v>
      </c>
      <c r="H91" s="873" t="str">
        <f t="shared" si="16"/>
        <v>EURAB1EBASIS27Y_Quote</v>
      </c>
      <c r="I91" s="966">
        <v>0</v>
      </c>
      <c r="J91" s="43"/>
      <c r="L91" s="894" t="str">
        <f t="shared" si="13"/>
        <v>BasSw</v>
      </c>
      <c r="M91" s="890" t="str">
        <f t="shared" si="14"/>
        <v>--</v>
      </c>
      <c r="N91" s="893" t="str">
        <f ca="1">IFERROR(_xll.qlRateHelperQuoteName(M91,Trigger),"--")</f>
        <v>--</v>
      </c>
      <c r="O91" s="892" t="str">
        <f ca="1">IFERROR(_xll.qlRateHelperQuoteValue($M91,Trigger),"--")</f>
        <v>--</v>
      </c>
      <c r="P91" s="969" t="b">
        <v>0</v>
      </c>
      <c r="Q91" s="890">
        <v>40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73" t="s">
        <v>382</v>
      </c>
      <c r="B92" s="875" t="s">
        <v>28</v>
      </c>
      <c r="C92" s="874" t="s">
        <v>324</v>
      </c>
      <c r="D92" s="874" t="s">
        <v>323</v>
      </c>
      <c r="E92" s="874" t="s">
        <v>322</v>
      </c>
      <c r="F92" s="874" t="s">
        <v>221</v>
      </c>
      <c r="G92" s="874" t="str">
        <f t="shared" si="15"/>
        <v>Euribor1M</v>
      </c>
      <c r="H92" s="873" t="str">
        <f t="shared" si="16"/>
        <v>EURAB1EBASIS28Y_Quote</v>
      </c>
      <c r="I92" s="966">
        <v>0</v>
      </c>
      <c r="J92" s="43"/>
      <c r="L92" s="885" t="str">
        <f t="shared" si="13"/>
        <v>BasSw</v>
      </c>
      <c r="M92" s="881" t="str">
        <f t="shared" si="14"/>
        <v>--</v>
      </c>
      <c r="N92" s="884" t="str">
        <f ca="1">IFERROR(_xll.qlRateHelperQuoteName(M92,Trigger),"--")</f>
        <v>--</v>
      </c>
      <c r="O92" s="883" t="str">
        <f ca="1">IFERROR(_xll.qlRateHelperQuoteValue($M92,Trigger),"--")</f>
        <v>--</v>
      </c>
      <c r="P92" s="968" t="b">
        <v>0</v>
      </c>
      <c r="Q92" s="881">
        <v>40</v>
      </c>
      <c r="R92" s="881">
        <v>1</v>
      </c>
      <c r="S92" s="880" t="str">
        <f ca="1">IFERROR(_xll.qlRateHelperEarliestDate(M92,Trigger),"--")</f>
        <v>--</v>
      </c>
      <c r="T92" s="880" t="str">
        <f ca="1">IFERROR(_xll.qlRateHelperPillarDate(M92,Trigger),"--")</f>
        <v>--</v>
      </c>
      <c r="V92" s="2" t="str">
        <f t="shared" ca="1" si="17"/>
        <v/>
      </c>
      <c r="W92" s="2" t="e">
        <f ca="1"/>
        <v>#NAME?</v>
      </c>
      <c r="X92" s="2" t="str">
        <f ca="1">IFERROR(_xll.qlRateHelperQuoteName(W92,Trigger),"")</f>
        <v/>
      </c>
      <c r="Y92" s="879" t="str">
        <f ca="1">IFERROR(_xll.qlRateHelperRate(W92,Trigger),"")</f>
        <v/>
      </c>
      <c r="Z92" s="878"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7" t="e">
        <f ca="1"/>
        <v>#NAME?</v>
      </c>
    </row>
    <row r="93" spans="1:29" x14ac:dyDescent="0.2">
      <c r="A93" s="873" t="s">
        <v>382</v>
      </c>
      <c r="B93" s="875" t="s">
        <v>27</v>
      </c>
      <c r="C93" s="874" t="s">
        <v>324</v>
      </c>
      <c r="D93" s="874" t="s">
        <v>323</v>
      </c>
      <c r="E93" s="874" t="s">
        <v>322</v>
      </c>
      <c r="F93" s="874" t="s">
        <v>221</v>
      </c>
      <c r="G93" s="874" t="str">
        <f t="shared" si="15"/>
        <v>Euribor1M</v>
      </c>
      <c r="H93" s="873" t="str">
        <f t="shared" si="16"/>
        <v>EURAB1EBASIS29Y_Quote</v>
      </c>
      <c r="I93" s="966">
        <v>0</v>
      </c>
      <c r="J93" s="43"/>
      <c r="L93" s="967"/>
    </row>
    <row r="94" spans="1:29" x14ac:dyDescent="0.2">
      <c r="A94" s="873" t="s">
        <v>382</v>
      </c>
      <c r="B94" s="875" t="s">
        <v>26</v>
      </c>
      <c r="C94" s="874" t="s">
        <v>324</v>
      </c>
      <c r="D94" s="874" t="s">
        <v>323</v>
      </c>
      <c r="E94" s="874" t="s">
        <v>322</v>
      </c>
      <c r="F94" s="874" t="s">
        <v>221</v>
      </c>
      <c r="G94" s="874" t="str">
        <f t="shared" si="15"/>
        <v>Euribor1M</v>
      </c>
      <c r="H94" s="873" t="str">
        <f t="shared" si="16"/>
        <v>EURAB1EBASIS30Y_Quote</v>
      </c>
      <c r="I94" s="966">
        <v>0</v>
      </c>
      <c r="J94" s="43"/>
    </row>
    <row r="95" spans="1:29" x14ac:dyDescent="0.2">
      <c r="A95" s="873" t="s">
        <v>382</v>
      </c>
      <c r="B95" s="875" t="s">
        <v>25</v>
      </c>
      <c r="C95" s="874" t="s">
        <v>324</v>
      </c>
      <c r="D95" s="874" t="s">
        <v>323</v>
      </c>
      <c r="E95" s="874" t="s">
        <v>322</v>
      </c>
      <c r="F95" s="874" t="s">
        <v>221</v>
      </c>
      <c r="G95" s="874" t="str">
        <f t="shared" si="15"/>
        <v>Euribor1M</v>
      </c>
      <c r="H95" s="873" t="str">
        <f t="shared" si="16"/>
        <v>EURAB1EBASIS35Y_Quote</v>
      </c>
      <c r="I95" s="966">
        <v>0</v>
      </c>
      <c r="J95" s="43"/>
    </row>
    <row r="96" spans="1:29" x14ac:dyDescent="0.2">
      <c r="A96" s="873" t="s">
        <v>382</v>
      </c>
      <c r="B96" s="875" t="s">
        <v>24</v>
      </c>
      <c r="C96" s="874" t="s">
        <v>324</v>
      </c>
      <c r="D96" s="874" t="s">
        <v>323</v>
      </c>
      <c r="E96" s="874" t="s">
        <v>322</v>
      </c>
      <c r="F96" s="874" t="s">
        <v>221</v>
      </c>
      <c r="G96" s="874" t="str">
        <f t="shared" si="15"/>
        <v>Euribor1M</v>
      </c>
      <c r="H96" s="873" t="str">
        <f t="shared" si="16"/>
        <v>EURAB1EBASIS40Y_Quote</v>
      </c>
      <c r="I96" s="966">
        <v>0</v>
      </c>
      <c r="J96" s="43"/>
    </row>
    <row r="97" spans="1:10" x14ac:dyDescent="0.2">
      <c r="A97" s="873" t="s">
        <v>382</v>
      </c>
      <c r="B97" s="875" t="s">
        <v>23</v>
      </c>
      <c r="C97" s="874" t="s">
        <v>324</v>
      </c>
      <c r="D97" s="874" t="s">
        <v>323</v>
      </c>
      <c r="E97" s="874" t="s">
        <v>322</v>
      </c>
      <c r="F97" s="874" t="s">
        <v>221</v>
      </c>
      <c r="G97" s="874" t="str">
        <f t="shared" si="15"/>
        <v>Euribor1M</v>
      </c>
      <c r="H97" s="873" t="str">
        <f t="shared" si="16"/>
        <v>EURAB1EBASIS50Y_Quote</v>
      </c>
      <c r="I97" s="966">
        <v>0</v>
      </c>
      <c r="J97" s="43"/>
    </row>
    <row r="98" spans="1:10" x14ac:dyDescent="0.2">
      <c r="A98" s="869" t="s">
        <v>382</v>
      </c>
      <c r="B98" s="871" t="s">
        <v>22</v>
      </c>
      <c r="C98" s="870" t="s">
        <v>324</v>
      </c>
      <c r="D98" s="870" t="s">
        <v>323</v>
      </c>
      <c r="E98" s="870" t="s">
        <v>322</v>
      </c>
      <c r="F98" s="870" t="s">
        <v>221</v>
      </c>
      <c r="G98" s="870" t="str">
        <f t="shared" si="15"/>
        <v>Euribor1M</v>
      </c>
      <c r="H98" s="869" t="str">
        <f t="shared" si="16"/>
        <v>EURAB1EBASIS60Y_Quote</v>
      </c>
      <c r="I98" s="965">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4.42578125" style="866"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8" t="s">
        <v>58</v>
      </c>
      <c r="H1" s="238" t="str">
        <f>"_SYNTH"&amp;$G$1</f>
        <v>_SYNTH1Y</v>
      </c>
      <c r="L1" s="964" t="s">
        <v>383</v>
      </c>
      <c r="M1" s="963"/>
      <c r="N1" s="963"/>
      <c r="O1" s="963"/>
      <c r="P1" s="963"/>
      <c r="Q1" s="963"/>
      <c r="R1" s="963"/>
      <c r="S1" s="963"/>
      <c r="T1" s="962"/>
      <c r="U1" s="957"/>
      <c r="V1" s="961" t="str">
        <f>Currency&amp;$G$1</f>
        <v>EUR1Y</v>
      </c>
      <c r="W1" s="959"/>
      <c r="X1" s="959"/>
      <c r="Y1" s="960"/>
      <c r="Z1" s="960"/>
      <c r="AA1" s="959"/>
      <c r="AB1" s="959"/>
      <c r="AC1" s="958" t="s">
        <v>378</v>
      </c>
    </row>
    <row r="2" spans="1:36"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79" ca="1">_xll.qlPiecewiseYieldCurveData(YieldCurve_1Y,Trigger)</f>
        <v>#NAME?</v>
      </c>
      <c r="AF2" s="953" t="s">
        <v>397</v>
      </c>
      <c r="AG2" s="952"/>
    </row>
    <row r="3" spans="1:36"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8" si="0">Currency&amp;$B3&amp;"D"&amp;$H$1&amp;QuoteSuffix</f>
        <v>EURSND_SYNTH1Y_Quote</v>
      </c>
      <c r="I3" s="946"/>
      <c r="J3" s="945"/>
      <c r="K3" s="153"/>
      <c r="L3" s="908" t="str">
        <f t="shared" ref="L3:L18" si="1">A3</f>
        <v>Dp</v>
      </c>
      <c r="M3" s="904" t="str">
        <f t="shared" ref="M3:M18"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G3" s="943">
        <v>0</v>
      </c>
      <c r="AI3" s="1360" t="s">
        <v>529</v>
      </c>
      <c r="AJ3" s="1363" t="e">
        <f ca="1">_xll.ohTrigger(GeneralSettings!Trigger)</f>
        <v>#NAME?</v>
      </c>
    </row>
    <row r="4" spans="1:36" ht="11.25" customHeight="1" thickBot="1" x14ac:dyDescent="0.3">
      <c r="A4" s="896" t="s">
        <v>391</v>
      </c>
      <c r="B4" s="898" t="s">
        <v>178</v>
      </c>
      <c r="C4" s="916" t="s">
        <v>353</v>
      </c>
      <c r="D4" s="914"/>
      <c r="E4" s="914"/>
      <c r="F4" s="914"/>
      <c r="G4" s="897" t="str">
        <f>PROPER(Currency)&amp;FamilyName&amp;B4</f>
        <v>EuriborSW</v>
      </c>
      <c r="H4" s="944" t="str">
        <f t="shared" si="0"/>
        <v>EURSWD_SYNTH1Y_Quote</v>
      </c>
      <c r="I4" s="914"/>
      <c r="J4" s="47"/>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G4" s="943">
        <v>0</v>
      </c>
      <c r="AI4" s="1361" t="s">
        <v>530</v>
      </c>
      <c r="AJ4" s="1364" t="e">
        <f ca="1">_xll.ohTrigger(RateHelpers)</f>
        <v>#NAME?</v>
      </c>
    </row>
    <row r="5" spans="1:36" ht="11.25" customHeight="1" x14ac:dyDescent="0.2">
      <c r="A5" s="873" t="s">
        <v>391</v>
      </c>
      <c r="B5" s="875" t="s">
        <v>177</v>
      </c>
      <c r="C5" s="911" t="str">
        <f t="shared" ref="C5:C18" si="4">B5</f>
        <v>2W</v>
      </c>
      <c r="D5" s="909"/>
      <c r="E5" s="909"/>
      <c r="F5" s="909"/>
      <c r="G5" s="874" t="str">
        <f>PROPER(Currency)&amp;FamilyName&amp;B5</f>
        <v>Euribor2W</v>
      </c>
      <c r="H5" s="933" t="str">
        <f t="shared" si="0"/>
        <v>EUR2WD_SYNTH1Y_Quote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F5" s="935" t="s">
        <v>394</v>
      </c>
      <c r="AG5" s="943">
        <v>0</v>
      </c>
    </row>
    <row r="6" spans="1:36" ht="11.25" customHeight="1" x14ac:dyDescent="0.2">
      <c r="A6" s="942" t="s">
        <v>391</v>
      </c>
      <c r="B6" s="941" t="s">
        <v>176</v>
      </c>
      <c r="C6" s="940" t="str">
        <f t="shared" si="4"/>
        <v>3W</v>
      </c>
      <c r="D6" s="937"/>
      <c r="E6" s="937"/>
      <c r="F6" s="937"/>
      <c r="G6" s="939" t="e">
        <f ca="1">_xll.qlEuribor(,C6,,Permanent,Trigger,ObjectOverwrite)</f>
        <v>#NAME?</v>
      </c>
      <c r="H6" s="938" t="str">
        <f t="shared" si="0"/>
        <v>EUR3WD_SYNTH1Y_Quote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G6" s="934" t="s">
        <v>392</v>
      </c>
    </row>
    <row r="7" spans="1:36" ht="11.25" customHeight="1" x14ac:dyDescent="0.2">
      <c r="A7" s="873" t="s">
        <v>391</v>
      </c>
      <c r="B7" s="875" t="s">
        <v>175</v>
      </c>
      <c r="C7" s="911" t="str">
        <f t="shared" si="4"/>
        <v>1M</v>
      </c>
      <c r="D7" s="909"/>
      <c r="E7" s="909"/>
      <c r="F7" s="909"/>
      <c r="G7" s="874" t="str">
        <f>PROPER(Currency)&amp;FamilyName&amp;B7</f>
        <v>Euribor1M</v>
      </c>
      <c r="H7" s="933" t="str">
        <f t="shared" si="0"/>
        <v>EUR1MD_SYNTH1Y_Quote</v>
      </c>
      <c r="I7" s="909"/>
      <c r="J7" s="43"/>
      <c r="K7" s="23"/>
      <c r="L7" s="894" t="str">
        <f t="shared" si="1"/>
        <v>Dp</v>
      </c>
      <c r="M7" s="890" t="str">
        <f t="shared" si="2"/>
        <v>--</v>
      </c>
      <c r="N7" s="893" t="str">
        <f ca="1">IFERROR(_xll.qlRateHelperQuoteName(M7,Trigger),"--")</f>
        <v>--</v>
      </c>
      <c r="O7" s="892" t="str">
        <f ca="1">IFERROR(_xll.qlRateHelperQuoteValue($M7,Trigger),"--")</f>
        <v>--</v>
      </c>
      <c r="P7" s="891" t="b">
        <v>0</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36" ht="11.25" customHeight="1" x14ac:dyDescent="0.2">
      <c r="A8" s="873" t="s">
        <v>391</v>
      </c>
      <c r="B8" s="875" t="s">
        <v>174</v>
      </c>
      <c r="C8" s="911" t="str">
        <f t="shared" si="4"/>
        <v>2M</v>
      </c>
      <c r="D8" s="909"/>
      <c r="E8" s="909"/>
      <c r="F8" s="909"/>
      <c r="G8" s="874" t="str">
        <f>PROPER(Currency)&amp;FamilyName&amp;B8</f>
        <v>Euribor2M</v>
      </c>
      <c r="H8" s="933" t="str">
        <f t="shared" si="0"/>
        <v>EUR2MD_SYNTH1Y_Quote</v>
      </c>
      <c r="I8" s="909"/>
      <c r="J8" s="43"/>
      <c r="K8" s="23"/>
      <c r="L8" s="894" t="str">
        <f t="shared" si="1"/>
        <v>Dp</v>
      </c>
      <c r="M8" s="890" t="str">
        <f t="shared" si="2"/>
        <v>--</v>
      </c>
      <c r="N8" s="893" t="str">
        <f ca="1">IFERROR(_xll.qlRateHelperQuoteName(M8,Trigger),"--")</f>
        <v>--</v>
      </c>
      <c r="O8" s="892" t="str">
        <f ca="1">IFERROR(_xll.qlRateHelperQuoteValue($M8,Trigger),"--")</f>
        <v>--</v>
      </c>
      <c r="P8" s="891" t="b">
        <v>0</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36" ht="11.25" customHeight="1" x14ac:dyDescent="0.2">
      <c r="A9" s="873" t="s">
        <v>391</v>
      </c>
      <c r="B9" s="875" t="s">
        <v>127</v>
      </c>
      <c r="C9" s="911" t="str">
        <f t="shared" si="4"/>
        <v>3M</v>
      </c>
      <c r="D9" s="909"/>
      <c r="E9" s="909"/>
      <c r="F9" s="909"/>
      <c r="G9" s="874" t="str">
        <f>PROPER(Currency)&amp;FamilyName&amp;B9</f>
        <v>Euribor3M</v>
      </c>
      <c r="H9" s="933" t="str">
        <f t="shared" si="0"/>
        <v>EUR3MD_SYNTH1Y_Quote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row>
    <row r="10" spans="1:36" ht="11.25" customHeight="1" x14ac:dyDescent="0.2">
      <c r="A10" s="932" t="s">
        <v>391</v>
      </c>
      <c r="B10" s="931" t="s">
        <v>173</v>
      </c>
      <c r="C10" s="930" t="str">
        <f t="shared" si="4"/>
        <v>4M</v>
      </c>
      <c r="D10" s="927"/>
      <c r="E10" s="927"/>
      <c r="F10" s="927"/>
      <c r="G10" s="929" t="e">
        <f ca="1">_xll.qlEuribor(,C10,,Permanent,Trigger,ObjectOverwrite)</f>
        <v>#NAME?</v>
      </c>
      <c r="H10" s="928" t="str">
        <f t="shared" si="0"/>
        <v>EUR4MD_SYNTH1Y_Quote</v>
      </c>
      <c r="I10" s="927"/>
      <c r="J10" s="926"/>
      <c r="K10" s="23"/>
      <c r="L10" s="894" t="str">
        <f t="shared" si="1"/>
        <v>Dp</v>
      </c>
      <c r="M10" s="890" t="str">
        <f t="shared" si="2"/>
        <v>--</v>
      </c>
      <c r="N10" s="893" t="str">
        <f ca="1">IFERROR(_xll.qlRateHelperQuoteName(M10,Trigger),"--")</f>
        <v>--</v>
      </c>
      <c r="O10" s="892" t="str">
        <f ca="1">IFERROR(_xll.qlRateHelperQuoteValue($M10,Trigger),"--")</f>
        <v>--</v>
      </c>
      <c r="P10" s="891" t="b">
        <v>0</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row>
    <row r="11" spans="1:36" ht="11.25" customHeight="1" x14ac:dyDescent="0.2">
      <c r="A11" s="925" t="s">
        <v>391</v>
      </c>
      <c r="B11" s="924" t="s">
        <v>172</v>
      </c>
      <c r="C11" s="923" t="str">
        <f t="shared" si="4"/>
        <v>5M</v>
      </c>
      <c r="D11" s="920"/>
      <c r="E11" s="920"/>
      <c r="F11" s="920"/>
      <c r="G11" s="922" t="e">
        <f ca="1">_xll.qlEuribor(,C11,,Permanent,Trigger,ObjectOverwrite)</f>
        <v>#NAME?</v>
      </c>
      <c r="H11" s="921" t="str">
        <f t="shared" si="0"/>
        <v>EUR5MD_SYNTH1Y_Quote</v>
      </c>
      <c r="I11" s="920"/>
      <c r="J11" s="919"/>
      <c r="K11" s="23"/>
      <c r="L11" s="894" t="str">
        <f t="shared" si="1"/>
        <v>Dp</v>
      </c>
      <c r="M11" s="890" t="str">
        <f t="shared" si="2"/>
        <v>--</v>
      </c>
      <c r="N11" s="893" t="str">
        <f ca="1">IFERROR(_xll.qlRateHelperQuoteName(M11,Trigger),"--")</f>
        <v>--</v>
      </c>
      <c r="O11" s="892" t="str">
        <f ca="1">IFERROR(_xll.qlRateHelperQuoteValue($M11,Trigger),"--")</f>
        <v>--</v>
      </c>
      <c r="P11" s="891" t="b">
        <v>0</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row>
    <row r="12" spans="1:36" ht="11.25" customHeight="1" x14ac:dyDescent="0.2">
      <c r="A12" s="873" t="s">
        <v>391</v>
      </c>
      <c r="B12" s="875" t="s">
        <v>92</v>
      </c>
      <c r="C12" s="911" t="str">
        <f t="shared" si="4"/>
        <v>6M</v>
      </c>
      <c r="D12" s="909"/>
      <c r="E12" s="909"/>
      <c r="F12" s="909"/>
      <c r="G12" s="874" t="str">
        <f>PROPER(Currency)&amp;FamilyName&amp;B12</f>
        <v>Euribor6M</v>
      </c>
      <c r="H12" s="933" t="str">
        <f t="shared" si="0"/>
        <v>EUR6MD_SYNTH1Y_Quote</v>
      </c>
      <c r="I12" s="909"/>
      <c r="J12" s="43" t="e">
        <f ca="1">_xll.qlDepositRateHelper(,H12,G12,Permanent,Trigger,ObjectOverwrite)</f>
        <v>#NAME?</v>
      </c>
      <c r="K12" s="23" t="s">
        <v>148</v>
      </c>
      <c r="L12" s="894" t="str">
        <f t="shared" si="1"/>
        <v>Dp</v>
      </c>
      <c r="M12" s="890" t="e">
        <f t="shared" ca="1" si="2"/>
        <v>#NAME?</v>
      </c>
      <c r="N12" s="893" t="str">
        <f ca="1">IFERROR(_xll.qlRateHelperQuoteName(M12,Trigger),"--")</f>
        <v>--</v>
      </c>
      <c r="O12" s="892" t="str">
        <f ca="1">IFERROR(_xll.qlRateHelperQuoteValue($M12,Trigger),"--")</f>
        <v>--</v>
      </c>
      <c r="P12" s="891" t="b">
        <v>1</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row>
    <row r="13" spans="1:36" ht="11.25" customHeight="1" x14ac:dyDescent="0.2">
      <c r="A13" s="932" t="s">
        <v>391</v>
      </c>
      <c r="B13" s="931" t="s">
        <v>171</v>
      </c>
      <c r="C13" s="930" t="str">
        <f t="shared" si="4"/>
        <v>7M</v>
      </c>
      <c r="D13" s="927"/>
      <c r="E13" s="927"/>
      <c r="F13" s="927"/>
      <c r="G13" s="929" t="e">
        <f ca="1">_xll.qlEuribor(,C13,,Permanent,Trigger,ObjectOverwrite)</f>
        <v>#NAME?</v>
      </c>
      <c r="H13" s="928" t="str">
        <f t="shared" si="0"/>
        <v>EUR7MD_SYNTH1Y_Quote</v>
      </c>
      <c r="I13" s="927"/>
      <c r="J13" s="926"/>
      <c r="K13" s="23"/>
      <c r="L13" s="894" t="str">
        <f t="shared" si="1"/>
        <v>Dp</v>
      </c>
      <c r="M13" s="890" t="str">
        <f t="shared" si="2"/>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row>
    <row r="14" spans="1:36" ht="11.25" customHeight="1" x14ac:dyDescent="0.2">
      <c r="A14" s="925" t="s">
        <v>391</v>
      </c>
      <c r="B14" s="924" t="s">
        <v>170</v>
      </c>
      <c r="C14" s="923" t="str">
        <f t="shared" si="4"/>
        <v>8M</v>
      </c>
      <c r="D14" s="920"/>
      <c r="E14" s="920"/>
      <c r="F14" s="920"/>
      <c r="G14" s="922" t="e">
        <f ca="1">_xll.qlEuribor(,C14,,Permanent,Trigger,ObjectOverwrite)</f>
        <v>#NAME?</v>
      </c>
      <c r="H14" s="921" t="str">
        <f t="shared" si="0"/>
        <v>EUR8MD_SYNTH1Y_Quote</v>
      </c>
      <c r="I14" s="920"/>
      <c r="J14" s="919"/>
      <c r="K14" s="23"/>
      <c r="L14" s="894" t="str">
        <f t="shared" si="1"/>
        <v>Dp</v>
      </c>
      <c r="M14" s="890" t="str">
        <f t="shared" si="2"/>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row>
    <row r="15" spans="1:36" ht="11.25" customHeight="1" x14ac:dyDescent="0.2">
      <c r="A15" s="873" t="s">
        <v>391</v>
      </c>
      <c r="B15" s="875" t="s">
        <v>169</v>
      </c>
      <c r="C15" s="911" t="str">
        <f t="shared" si="4"/>
        <v>9M</v>
      </c>
      <c r="D15" s="909"/>
      <c r="E15" s="909"/>
      <c r="F15" s="909"/>
      <c r="G15" s="874" t="str">
        <f>PROPER(Currency)&amp;FamilyName&amp;B15</f>
        <v>Euribor9M</v>
      </c>
      <c r="H15" s="933" t="str">
        <f t="shared" si="0"/>
        <v>EUR9MD_SYNTH1Y_Quote</v>
      </c>
      <c r="I15" s="909"/>
      <c r="J15" s="43" t="e">
        <f ca="1">_xll.qlDepositRateHelper(,H15,G15,Permanent,Trigger,ObjectOverwrite)</f>
        <v>#NAME?</v>
      </c>
      <c r="K15" s="23"/>
      <c r="L15" s="894" t="str">
        <f t="shared" si="1"/>
        <v>Dp</v>
      </c>
      <c r="M15" s="890" t="e">
        <f t="shared" ca="1" si="2"/>
        <v>#NAME?</v>
      </c>
      <c r="N15" s="893" t="str">
        <f ca="1">IFERROR(_xll.qlRateHelperQuoteName(M15,Trigger),"--")</f>
        <v>--</v>
      </c>
      <c r="O15" s="892" t="str">
        <f ca="1">IFERROR(_xll.qlRateHelperQuoteValue($M15,Trigger),"--")</f>
        <v>--</v>
      </c>
      <c r="P15" s="891" t="b">
        <v>1</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row>
    <row r="16" spans="1:36" ht="11.25" customHeight="1" x14ac:dyDescent="0.2">
      <c r="A16" s="932" t="s">
        <v>391</v>
      </c>
      <c r="B16" s="931" t="s">
        <v>168</v>
      </c>
      <c r="C16" s="930" t="str">
        <f t="shared" si="4"/>
        <v>10M</v>
      </c>
      <c r="D16" s="927"/>
      <c r="E16" s="927"/>
      <c r="F16" s="927"/>
      <c r="G16" s="929" t="e">
        <f ca="1">_xll.qlEuribor(,C16,,Permanent,Trigger,ObjectOverwrite)</f>
        <v>#NAME?</v>
      </c>
      <c r="H16" s="928" t="str">
        <f t="shared" si="0"/>
        <v>EUR10MD_SYNTH1Y_Quote</v>
      </c>
      <c r="I16" s="927"/>
      <c r="J16" s="926"/>
      <c r="K16" s="23"/>
      <c r="L16" s="894" t="str">
        <f t="shared" si="1"/>
        <v>Dp</v>
      </c>
      <c r="M16" s="890" t="str">
        <f t="shared" si="2"/>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row>
    <row r="17" spans="1:30" ht="11.25" customHeight="1" x14ac:dyDescent="0.2">
      <c r="A17" s="925" t="s">
        <v>391</v>
      </c>
      <c r="B17" s="924" t="s">
        <v>167</v>
      </c>
      <c r="C17" s="923" t="str">
        <f t="shared" si="4"/>
        <v>11M</v>
      </c>
      <c r="D17" s="920"/>
      <c r="E17" s="920"/>
      <c r="F17" s="920"/>
      <c r="G17" s="922" t="e">
        <f ca="1">_xll.qlEuribor(,C17,,Permanent,Trigger,ObjectOverwrite)</f>
        <v>#NAME?</v>
      </c>
      <c r="H17" s="921" t="str">
        <f t="shared" si="0"/>
        <v>EUR11MD_SYNTH1Y_Quote</v>
      </c>
      <c r="I17" s="920"/>
      <c r="J17" s="919"/>
      <c r="K17" s="23"/>
      <c r="L17" s="894" t="str">
        <f t="shared" si="1"/>
        <v>Dp</v>
      </c>
      <c r="M17" s="890" t="str">
        <f t="shared" si="2"/>
        <v>--</v>
      </c>
      <c r="N17" s="893" t="str">
        <f ca="1">IFERROR(_xll.qlRateHelperQuoteName(M17,Trigger),"--")</f>
        <v>--</v>
      </c>
      <c r="O17" s="892" t="str">
        <f ca="1">IFERROR(_xll.qlRateHelperQuoteValue($M17,Trigger),"--")</f>
        <v>--</v>
      </c>
      <c r="P17" s="891" t="b">
        <v>0</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row>
    <row r="18" spans="1:30" ht="11.25" customHeight="1" x14ac:dyDescent="0.2">
      <c r="A18" s="869" t="s">
        <v>391</v>
      </c>
      <c r="B18" s="871" t="s">
        <v>58</v>
      </c>
      <c r="C18" s="901" t="str">
        <f t="shared" si="4"/>
        <v>1Y</v>
      </c>
      <c r="D18" s="899"/>
      <c r="E18" s="899"/>
      <c r="F18" s="899"/>
      <c r="G18" s="870" t="str">
        <f>PROPER(Currency)&amp;FamilyName&amp;B18</f>
        <v>Euribor1Y</v>
      </c>
      <c r="H18" s="918" t="str">
        <f t="shared" si="0"/>
        <v>EUR1YD_SYNTH1Y_Quote</v>
      </c>
      <c r="I18" s="899"/>
      <c r="J18" s="38" t="e">
        <f ca="1">_xll.qlDepositRateHelper(,H18,G18,Permanent,Trigger,ObjectOverwrite)</f>
        <v>#NAME?</v>
      </c>
      <c r="K18" s="23"/>
      <c r="L18" s="885" t="str">
        <f t="shared" si="1"/>
        <v>Dp</v>
      </c>
      <c r="M18" s="881" t="e">
        <f t="shared" ca="1" si="2"/>
        <v>#NAME?</v>
      </c>
      <c r="N18" s="884" t="str">
        <f ca="1">IFERROR(_xll.qlRateHelperQuoteName(M18,Trigger),"--")</f>
        <v>--</v>
      </c>
      <c r="O18" s="883" t="str">
        <f ca="1">IFERROR(_xll.qlRateHelperQuoteValue($M18,Trigger),"--")</f>
        <v>--</v>
      </c>
      <c r="P18" s="882" t="b">
        <v>1</v>
      </c>
      <c r="Q18" s="881">
        <v>10</v>
      </c>
      <c r="R18" s="881">
        <v>1</v>
      </c>
      <c r="S18" s="880" t="str">
        <f ca="1">IFERROR(_xll.qlRateHelperEarliestDate(M18,Trigger),"--")</f>
        <v>--</v>
      </c>
      <c r="T18" s="880"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row>
    <row r="19" spans="1:30" ht="11.25" customHeight="1" x14ac:dyDescent="0.2">
      <c r="B19" s="1"/>
      <c r="C19" s="1" t="s">
        <v>318</v>
      </c>
      <c r="D19" s="1"/>
      <c r="E19" s="1"/>
      <c r="F19" s="1"/>
      <c r="G19" s="1"/>
      <c r="H19" s="1"/>
      <c r="K19" s="23"/>
      <c r="L19" s="908" t="str">
        <f t="shared" ref="L19:L42" si="5">A21</f>
        <v>FRA</v>
      </c>
      <c r="M19" s="904" t="e">
        <f t="shared" ref="M19:M42" ca="1" si="6">IF(ISBLANK(J21),"--",J21)</f>
        <v>#NAME?</v>
      </c>
      <c r="N19" s="907" t="str">
        <f ca="1">IFERROR(_xll.qlRateHelperQuoteName(M19,Trigger),"--")</f>
        <v>--</v>
      </c>
      <c r="O19" s="906" t="str">
        <f ca="1">IFERROR(_xll.qlRateHelperQuoteValue($M19,Trigger),"--")</f>
        <v>--</v>
      </c>
      <c r="P19" s="905" t="b">
        <v>1</v>
      </c>
      <c r="Q19" s="904">
        <v>20</v>
      </c>
      <c r="R19" s="904">
        <v>7</v>
      </c>
      <c r="S19" s="903" t="str">
        <f ca="1">IFERROR(_xll.qlRateHelperEarliestDate(M19,Trigger),"--")</f>
        <v>--</v>
      </c>
      <c r="T19" s="903"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row>
    <row r="20" spans="1:30" ht="11.25" customHeight="1" x14ac:dyDescent="0.2">
      <c r="A20" s="145" t="s">
        <v>388</v>
      </c>
      <c r="B20" s="145" t="s">
        <v>390</v>
      </c>
      <c r="C20" s="145" t="s">
        <v>389</v>
      </c>
      <c r="D20" s="145"/>
      <c r="E20" s="145"/>
      <c r="F20" s="145"/>
      <c r="G20" s="145" t="s">
        <v>14</v>
      </c>
      <c r="H20" s="145" t="s">
        <v>384</v>
      </c>
      <c r="I20" s="145"/>
      <c r="J20" s="145" t="s">
        <v>383</v>
      </c>
      <c r="K20" s="23"/>
      <c r="L20" s="894" t="str">
        <f t="shared" si="5"/>
        <v>FRA</v>
      </c>
      <c r="M20" s="890" t="e">
        <f t="shared" ca="1" si="6"/>
        <v>#NAME?</v>
      </c>
      <c r="N20" s="893" t="str">
        <f ca="1">IFERROR(_xll.qlRateHelperQuoteName(M20,Trigger),"--")</f>
        <v>--</v>
      </c>
      <c r="O20" s="892" t="str">
        <f ca="1">IFERROR(_xll.qlRateHelperQuoteValue($M20,Trigger),"--")</f>
        <v>--</v>
      </c>
      <c r="P20" s="891" t="b">
        <v>1</v>
      </c>
      <c r="Q20" s="890">
        <v>20</v>
      </c>
      <c r="R20" s="890">
        <v>7</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row>
    <row r="21" spans="1:30" ht="11.25" customHeight="1" x14ac:dyDescent="0.2">
      <c r="A21" s="896" t="s">
        <v>181</v>
      </c>
      <c r="B21" s="917">
        <v>1</v>
      </c>
      <c r="C21" s="916" t="str">
        <f t="shared" ref="C21:C44" si="7">"x"&amp;B21+SUBSTITUTE($C$19,"M","")&amp;"F"</f>
        <v>x13F</v>
      </c>
      <c r="D21" s="914"/>
      <c r="E21" s="914"/>
      <c r="F21" s="914"/>
      <c r="G21" s="897" t="str">
        <f t="shared" ref="G21:G44" si="8">PROPER(Currency)&amp;FamilyName&amp;Tenor</f>
        <v>Euribor1Y</v>
      </c>
      <c r="H21" s="915" t="str">
        <f t="shared" ref="H21:H44" si="9">Currency&amp;B21&amp;C21&amp;QuoteSuffix</f>
        <v>EUR1x13F_Quote</v>
      </c>
      <c r="I21" s="914"/>
      <c r="J21" s="47" t="e">
        <f ca="1">_xll.qlFraRateHelper(,H21,B21&amp;"M",G21,PillarDate,,Permanent,Trigger,ObjectOverwrite)</f>
        <v>#NAME?</v>
      </c>
      <c r="K21" s="23"/>
      <c r="L21" s="894" t="str">
        <f t="shared" si="5"/>
        <v>FRA</v>
      </c>
      <c r="M21" s="890" t="e">
        <f t="shared" ca="1" si="6"/>
        <v>#NAME?</v>
      </c>
      <c r="N21" s="893" t="str">
        <f ca="1">IFERROR(_xll.qlRateHelperQuoteName(M21,Trigger),"--")</f>
        <v>--</v>
      </c>
      <c r="O21" s="892" t="str">
        <f ca="1">IFERROR(_xll.qlRateHelperQuoteValue($M21,Trigger),"--")</f>
        <v>--</v>
      </c>
      <c r="P21" s="891" t="b">
        <v>1</v>
      </c>
      <c r="Q21" s="890">
        <v>20</v>
      </c>
      <c r="R21" s="890">
        <v>7</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row>
    <row r="22" spans="1:30" ht="11.25" customHeight="1" x14ac:dyDescent="0.2">
      <c r="A22" s="873" t="s">
        <v>181</v>
      </c>
      <c r="B22" s="912">
        <v>2</v>
      </c>
      <c r="C22" s="911" t="str">
        <f t="shared" si="7"/>
        <v>x14F</v>
      </c>
      <c r="D22" s="909"/>
      <c r="E22" s="909"/>
      <c r="F22" s="909"/>
      <c r="G22" s="874" t="str">
        <f t="shared" si="8"/>
        <v>Euribor1Y</v>
      </c>
      <c r="H22" s="910" t="str">
        <f t="shared" si="9"/>
        <v>EUR2x14F_Quote</v>
      </c>
      <c r="I22" s="909"/>
      <c r="J22" s="43" t="e">
        <f ca="1">_xll.qlFraRateHelper(,H22,B22&amp;"M",G22,PillarDate,,Permanent,Trigger,ObjectOverwrite)</f>
        <v>#NAME?</v>
      </c>
      <c r="K22" s="23"/>
      <c r="L22" s="894" t="str">
        <f t="shared" si="5"/>
        <v>FRA</v>
      </c>
      <c r="M22" s="890" t="e">
        <f t="shared" ca="1" si="6"/>
        <v>#NAME?</v>
      </c>
      <c r="N22" s="893" t="str">
        <f ca="1">IFERROR(_xll.qlRateHelperQuoteName(M22,Trigger),"--")</f>
        <v>--</v>
      </c>
      <c r="O22" s="892" t="str">
        <f ca="1">IFERROR(_xll.qlRateHelperQuoteValue($M22,Trigger),"--")</f>
        <v>--</v>
      </c>
      <c r="P22" s="891" t="b">
        <v>1</v>
      </c>
      <c r="Q22" s="890">
        <v>20</v>
      </c>
      <c r="R22" s="890">
        <v>7</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row>
    <row r="23" spans="1:30" ht="11.25" customHeight="1" x14ac:dyDescent="0.2">
      <c r="A23" s="873" t="s">
        <v>181</v>
      </c>
      <c r="B23" s="912">
        <v>3</v>
      </c>
      <c r="C23" s="911" t="str">
        <f t="shared" si="7"/>
        <v>x15F</v>
      </c>
      <c r="D23" s="909"/>
      <c r="E23" s="909"/>
      <c r="F23" s="909"/>
      <c r="G23" s="874" t="str">
        <f t="shared" si="8"/>
        <v>Euribor1Y</v>
      </c>
      <c r="H23" s="910" t="str">
        <f t="shared" si="9"/>
        <v>EUR3x15F_Quote</v>
      </c>
      <c r="I23" s="909"/>
      <c r="J23" s="43" t="e">
        <f ca="1">_xll.qlFraRateHelper(,H23,B23&amp;"M",G23,PillarDate,,Permanent,Trigger,ObjectOverwrite)</f>
        <v>#NAME?</v>
      </c>
      <c r="K23" s="23"/>
      <c r="L23" s="894" t="str">
        <f t="shared" si="5"/>
        <v>FRA</v>
      </c>
      <c r="M23" s="890" t="e">
        <f t="shared" ca="1" si="6"/>
        <v>#NAME?</v>
      </c>
      <c r="N23" s="893" t="str">
        <f ca="1">IFERROR(_xll.qlRateHelperQuoteName(M23,Trigger),"--")</f>
        <v>--</v>
      </c>
      <c r="O23" s="892" t="str">
        <f ca="1">IFERROR(_xll.qlRateHelperQuoteValue($M23,Trigger),"--")</f>
        <v>--</v>
      </c>
      <c r="P23" s="891" t="b">
        <v>1</v>
      </c>
      <c r="Q23" s="890">
        <v>20</v>
      </c>
      <c r="R23" s="890">
        <v>7</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row>
    <row r="24" spans="1:30" ht="11.25" customHeight="1" x14ac:dyDescent="0.2">
      <c r="A24" s="873" t="s">
        <v>181</v>
      </c>
      <c r="B24" s="912">
        <v>4</v>
      </c>
      <c r="C24" s="911" t="str">
        <f t="shared" si="7"/>
        <v>x16F</v>
      </c>
      <c r="D24" s="909"/>
      <c r="E24" s="909"/>
      <c r="F24" s="909"/>
      <c r="G24" s="874" t="str">
        <f t="shared" si="8"/>
        <v>Euribor1Y</v>
      </c>
      <c r="H24" s="910" t="str">
        <f t="shared" si="9"/>
        <v>EUR4x16F_Quote</v>
      </c>
      <c r="I24" s="909"/>
      <c r="J24" s="43" t="e">
        <f ca="1">_xll.qlFraRateHelper(,H24,B24&amp;"M",G24,PillarDate,,Permanent,Trigger,ObjectOverwrite)</f>
        <v>#NAME?</v>
      </c>
      <c r="K24" s="23"/>
      <c r="L24" s="894" t="str">
        <f t="shared" si="5"/>
        <v>FRA</v>
      </c>
      <c r="M24" s="890" t="e">
        <f t="shared" ca="1" si="6"/>
        <v>#NAME?</v>
      </c>
      <c r="N24" s="893" t="str">
        <f ca="1">IFERROR(_xll.qlRateHelperQuoteName(M24,Trigger),"--")</f>
        <v>--</v>
      </c>
      <c r="O24" s="892" t="str">
        <f ca="1">IFERROR(_xll.qlRateHelperQuoteValue($M24,Trigger),"--")</f>
        <v>--</v>
      </c>
      <c r="P24" s="891" t="b">
        <v>1</v>
      </c>
      <c r="Q24" s="890">
        <v>20</v>
      </c>
      <c r="R24" s="890">
        <v>7</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0" ht="11.25" customHeight="1" x14ac:dyDescent="0.2">
      <c r="A25" s="873" t="s">
        <v>181</v>
      </c>
      <c r="B25" s="912">
        <v>5</v>
      </c>
      <c r="C25" s="911" t="str">
        <f t="shared" si="7"/>
        <v>x17F</v>
      </c>
      <c r="D25" s="909"/>
      <c r="E25" s="909"/>
      <c r="F25" s="909"/>
      <c r="G25" s="874" t="str">
        <f t="shared" si="8"/>
        <v>Euribor1Y</v>
      </c>
      <c r="H25" s="910" t="str">
        <f t="shared" si="9"/>
        <v>EUR5x17F_Quote</v>
      </c>
      <c r="I25" s="909"/>
      <c r="J25" s="43" t="e">
        <f ca="1">_xll.qlFraRateHelper(,H25,B25&amp;"M",G25,PillarDate,,Permanent,Trigger,ObjectOverwrite)</f>
        <v>#NAME?</v>
      </c>
      <c r="K25" s="23"/>
      <c r="L25" s="894" t="str">
        <f t="shared" si="5"/>
        <v>FRA</v>
      </c>
      <c r="M25" s="890" t="e">
        <f t="shared" ca="1" si="6"/>
        <v>#NAME?</v>
      </c>
      <c r="N25" s="893" t="str">
        <f ca="1">IFERROR(_xll.qlRateHelperQuoteName(M25,Trigger),"--")</f>
        <v>--</v>
      </c>
      <c r="O25" s="892" t="str">
        <f ca="1">IFERROR(_xll.qlRateHelperQuoteValue($M25,Trigger),"--")</f>
        <v>--</v>
      </c>
      <c r="P25" s="891" t="b">
        <v>1</v>
      </c>
      <c r="Q25" s="890">
        <v>20</v>
      </c>
      <c r="R25" s="890">
        <v>7</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0" ht="11.25" customHeight="1" x14ac:dyDescent="0.2">
      <c r="A26" s="873" t="s">
        <v>181</v>
      </c>
      <c r="B26" s="912">
        <v>6</v>
      </c>
      <c r="C26" s="911" t="str">
        <f t="shared" si="7"/>
        <v>x18F</v>
      </c>
      <c r="D26" s="909"/>
      <c r="E26" s="909"/>
      <c r="F26" s="909"/>
      <c r="G26" s="874" t="str">
        <f t="shared" si="8"/>
        <v>Euribor1Y</v>
      </c>
      <c r="H26" s="910" t="str">
        <f t="shared" si="9"/>
        <v>EUR6x18F_Quote</v>
      </c>
      <c r="I26" s="909"/>
      <c r="J26" s="43" t="e">
        <f ca="1">_xll.qlFraRateHelper(,H26,B26&amp;"M",G26,PillarDate,,Permanent,Trigger,ObjectOverwrite)</f>
        <v>#NAME?</v>
      </c>
      <c r="K26" s="23"/>
      <c r="L26" s="894" t="str">
        <f t="shared" si="5"/>
        <v>FRA</v>
      </c>
      <c r="M26" s="890" t="e">
        <f t="shared" ca="1" si="6"/>
        <v>#NAME?</v>
      </c>
      <c r="N26" s="893" t="str">
        <f ca="1">IFERROR(_xll.qlRateHelperQuoteName(M26,Trigger),"--")</f>
        <v>--</v>
      </c>
      <c r="O26" s="892" t="str">
        <f ca="1">IFERROR(_xll.qlRateHelperQuoteValue($M26,Trigger),"--")</f>
        <v>--</v>
      </c>
      <c r="P26" s="891" t="b">
        <v>1</v>
      </c>
      <c r="Q26" s="890">
        <v>20</v>
      </c>
      <c r="R26" s="890">
        <v>7</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0" ht="11.25" customHeight="1" x14ac:dyDescent="0.2">
      <c r="A27" s="873" t="s">
        <v>181</v>
      </c>
      <c r="B27" s="912">
        <v>7</v>
      </c>
      <c r="C27" s="911" t="str">
        <f t="shared" si="7"/>
        <v>x19F</v>
      </c>
      <c r="D27" s="909"/>
      <c r="E27" s="909"/>
      <c r="F27" s="909"/>
      <c r="G27" s="874" t="str">
        <f t="shared" si="8"/>
        <v>Euribor1Y</v>
      </c>
      <c r="H27" s="910" t="str">
        <f t="shared" si="9"/>
        <v>EUR7x19F_Quote</v>
      </c>
      <c r="I27" s="909"/>
      <c r="J27" s="43" t="e">
        <f ca="1">_xll.qlFraRateHelper(,H27,B27&amp;"M",G27,PillarDate,,Permanent,Trigger,ObjectOverwrite)</f>
        <v>#NAME?</v>
      </c>
      <c r="K27" s="23"/>
      <c r="L27" s="894" t="str">
        <f t="shared" si="5"/>
        <v>FRA</v>
      </c>
      <c r="M27" s="890" t="e">
        <f t="shared" ca="1" si="6"/>
        <v>#NAME?</v>
      </c>
      <c r="N27" s="893" t="str">
        <f ca="1">IFERROR(_xll.qlRateHelperQuoteName(M27,Trigger),"--")</f>
        <v>--</v>
      </c>
      <c r="O27" s="892" t="str">
        <f ca="1">IFERROR(_xll.qlRateHelperQuoteValue($M27,Trigger),"--")</f>
        <v>--</v>
      </c>
      <c r="P27" s="891" t="b">
        <v>1</v>
      </c>
      <c r="Q27" s="890">
        <v>20</v>
      </c>
      <c r="R27" s="890">
        <v>7</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0" ht="11.25" customHeight="1" x14ac:dyDescent="0.2">
      <c r="A28" s="873" t="s">
        <v>181</v>
      </c>
      <c r="B28" s="912">
        <v>8</v>
      </c>
      <c r="C28" s="911" t="str">
        <f t="shared" si="7"/>
        <v>x20F</v>
      </c>
      <c r="D28" s="909"/>
      <c r="E28" s="909"/>
      <c r="F28" s="909"/>
      <c r="G28" s="874" t="str">
        <f t="shared" si="8"/>
        <v>Euribor1Y</v>
      </c>
      <c r="H28" s="910" t="str">
        <f t="shared" si="9"/>
        <v>EUR8x20F_Quote</v>
      </c>
      <c r="I28" s="909"/>
      <c r="J28" s="43" t="e">
        <f ca="1">_xll.qlFraRateHelper(,H28,B28&amp;"M",G28,PillarDate,,Permanent,Trigger,ObjectOverwrite)</f>
        <v>#NAME?</v>
      </c>
      <c r="K28" s="23"/>
      <c r="L28" s="894" t="str">
        <f t="shared" si="5"/>
        <v>FRA</v>
      </c>
      <c r="M28" s="890" t="e">
        <f t="shared" ca="1" si="6"/>
        <v>#NAME?</v>
      </c>
      <c r="N28" s="893" t="str">
        <f ca="1">IFERROR(_xll.qlRateHelperQuoteName(M28,Trigger),"--")</f>
        <v>--</v>
      </c>
      <c r="O28" s="892" t="str">
        <f ca="1">IFERROR(_xll.qlRateHelperQuoteValue($M28,Trigger),"--")</f>
        <v>--</v>
      </c>
      <c r="P28" s="891" t="b">
        <v>1</v>
      </c>
      <c r="Q28" s="890">
        <v>20</v>
      </c>
      <c r="R28" s="890">
        <v>7</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0" ht="11.25" customHeight="1" x14ac:dyDescent="0.2">
      <c r="A29" s="873" t="s">
        <v>181</v>
      </c>
      <c r="B29" s="912">
        <v>9</v>
      </c>
      <c r="C29" s="911" t="str">
        <f t="shared" si="7"/>
        <v>x21F</v>
      </c>
      <c r="D29" s="909"/>
      <c r="E29" s="909"/>
      <c r="F29" s="909"/>
      <c r="G29" s="874" t="str">
        <f t="shared" si="8"/>
        <v>Euribor1Y</v>
      </c>
      <c r="H29" s="910" t="str">
        <f t="shared" si="9"/>
        <v>EUR9x21F_Quote</v>
      </c>
      <c r="I29" s="909"/>
      <c r="J29" s="43" t="e">
        <f ca="1">_xll.qlFraRateHelper(,H29,B29&amp;"M",G29,PillarDate,,Permanent,Trigger,ObjectOverwrite)</f>
        <v>#NAME?</v>
      </c>
      <c r="K29" s="23"/>
      <c r="L29" s="894" t="str">
        <f t="shared" si="5"/>
        <v>FRA</v>
      </c>
      <c r="M29" s="890" t="e">
        <f t="shared" ca="1" si="6"/>
        <v>#NAME?</v>
      </c>
      <c r="N29" s="893" t="str">
        <f ca="1">IFERROR(_xll.qlRateHelperQuoteName(M29,Trigger),"--")</f>
        <v>--</v>
      </c>
      <c r="O29" s="892" t="str">
        <f ca="1">IFERROR(_xll.qlRateHelperQuoteValue($M29,Trigger),"--")</f>
        <v>--</v>
      </c>
      <c r="P29" s="891" t="b">
        <v>1</v>
      </c>
      <c r="Q29" s="890">
        <v>20</v>
      </c>
      <c r="R29" s="890">
        <v>7</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0" ht="11.25" customHeight="1" x14ac:dyDescent="0.2">
      <c r="A30" s="873" t="s">
        <v>181</v>
      </c>
      <c r="B30" s="912">
        <v>10</v>
      </c>
      <c r="C30" s="911" t="str">
        <f t="shared" si="7"/>
        <v>x22F</v>
      </c>
      <c r="D30" s="909"/>
      <c r="E30" s="909"/>
      <c r="F30" s="909"/>
      <c r="G30" s="874" t="str">
        <f t="shared" si="8"/>
        <v>Euribor1Y</v>
      </c>
      <c r="H30" s="910" t="str">
        <f t="shared" si="9"/>
        <v>EUR10x22F_Quote</v>
      </c>
      <c r="I30" s="909"/>
      <c r="J30" s="43" t="e">
        <f ca="1">_xll.qlFraRateHelper(,H30,B30&amp;"M",G30,PillarDate,,Permanent,Trigger,ObjectOverwrite)</f>
        <v>#NAME?</v>
      </c>
      <c r="K30" s="23"/>
      <c r="L30" s="894" t="str">
        <f t="shared" si="5"/>
        <v>FRA</v>
      </c>
      <c r="M30" s="890" t="e">
        <f t="shared" ca="1" si="6"/>
        <v>#NAME?</v>
      </c>
      <c r="N30" s="893" t="str">
        <f ca="1">IFERROR(_xll.qlRateHelperQuoteName(M30,Trigger),"--")</f>
        <v>--</v>
      </c>
      <c r="O30" s="892" t="str">
        <f ca="1">IFERROR(_xll.qlRateHelperQuoteValue($M30,Trigger),"--")</f>
        <v>--</v>
      </c>
      <c r="P30" s="891" t="b">
        <v>1</v>
      </c>
      <c r="Q30" s="890">
        <v>20</v>
      </c>
      <c r="R30" s="890">
        <v>7</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0" ht="11.25" customHeight="1" x14ac:dyDescent="0.2">
      <c r="A31" s="873" t="s">
        <v>181</v>
      </c>
      <c r="B31" s="912">
        <v>11</v>
      </c>
      <c r="C31" s="911" t="str">
        <f t="shared" si="7"/>
        <v>x23F</v>
      </c>
      <c r="D31" s="909"/>
      <c r="E31" s="909"/>
      <c r="F31" s="909"/>
      <c r="G31" s="874" t="str">
        <f t="shared" si="8"/>
        <v>Euribor1Y</v>
      </c>
      <c r="H31" s="910" t="str">
        <f t="shared" si="9"/>
        <v>EUR11x23F_Quote</v>
      </c>
      <c r="I31" s="909"/>
      <c r="J31" s="43" t="e">
        <f ca="1">_xll.qlFraRateHelper(,H31,B31&amp;"M",G31,PillarDate,,Permanent,Trigger,ObjectOverwrite)</f>
        <v>#NAME?</v>
      </c>
      <c r="K31" s="23"/>
      <c r="L31" s="894" t="str">
        <f t="shared" si="5"/>
        <v>FRA</v>
      </c>
      <c r="M31" s="890" t="str">
        <f t="shared" si="6"/>
        <v>--</v>
      </c>
      <c r="N31" s="893" t="str">
        <f ca="1">IFERROR(_xll.qlRateHelperQuoteName(M31,Trigger),"--")</f>
        <v>--</v>
      </c>
      <c r="O31" s="892" t="str">
        <f ca="1">IFERROR(_xll.qlRateHelperQuoteValue($M31,Trigger),"--")</f>
        <v>--</v>
      </c>
      <c r="P31" s="891" t="b">
        <v>0</v>
      </c>
      <c r="Q31" s="890">
        <v>20</v>
      </c>
      <c r="R31" s="890">
        <v>7</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0" ht="11.25" customHeight="1" x14ac:dyDescent="0.2">
      <c r="A32" s="873" t="s">
        <v>181</v>
      </c>
      <c r="B32" s="912">
        <v>12</v>
      </c>
      <c r="C32" s="911" t="str">
        <f t="shared" si="7"/>
        <v>x24F</v>
      </c>
      <c r="D32" s="909"/>
      <c r="E32" s="909"/>
      <c r="F32" s="909"/>
      <c r="G32" s="874" t="str">
        <f t="shared" si="8"/>
        <v>Euribor1Y</v>
      </c>
      <c r="H32" s="910" t="str">
        <f t="shared" si="9"/>
        <v>EUR12x24F_Quote</v>
      </c>
      <c r="I32" s="909"/>
      <c r="J32" s="43" t="e">
        <f ca="1">_xll.qlFraRateHelper(,H32,B32&amp;"M",G32,PillarDate,,Permanent,Trigger,ObjectOverwrite)</f>
        <v>#NAME?</v>
      </c>
      <c r="K32" s="23"/>
      <c r="L32" s="894" t="str">
        <f t="shared" si="5"/>
        <v>FRA</v>
      </c>
      <c r="M32" s="890" t="str">
        <f t="shared" si="6"/>
        <v>--</v>
      </c>
      <c r="N32" s="893" t="str">
        <f ca="1">IFERROR(_xll.qlRateHelperQuoteName(M32,Trigger),"--")</f>
        <v>--</v>
      </c>
      <c r="O32" s="892" t="str">
        <f ca="1">IFERROR(_xll.qlRateHelperQuoteValue($M32,Trigger),"--")</f>
        <v>--</v>
      </c>
      <c r="P32" s="891" t="b">
        <v>0</v>
      </c>
      <c r="Q32" s="890">
        <v>20</v>
      </c>
      <c r="R32" s="890">
        <v>7</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A33" s="873" t="s">
        <v>181</v>
      </c>
      <c r="B33" s="912">
        <v>13</v>
      </c>
      <c r="C33" s="911" t="str">
        <f t="shared" si="7"/>
        <v>x25F</v>
      </c>
      <c r="D33" s="909"/>
      <c r="E33" s="909"/>
      <c r="F33" s="909"/>
      <c r="G33" s="874" t="str">
        <f t="shared" si="8"/>
        <v>Euribor1Y</v>
      </c>
      <c r="H33" s="910" t="str">
        <f t="shared" si="9"/>
        <v>EUR13x25F_Quote</v>
      </c>
      <c r="I33" s="909"/>
      <c r="J33" s="43"/>
      <c r="K33" s="23"/>
      <c r="L33" s="894" t="str">
        <f t="shared" si="5"/>
        <v>FRA</v>
      </c>
      <c r="M33" s="890" t="str">
        <f t="shared" si="6"/>
        <v>--</v>
      </c>
      <c r="N33" s="893" t="str">
        <f ca="1">IFERROR(_xll.qlRateHelperQuoteName(M33,Trigger),"--")</f>
        <v>--</v>
      </c>
      <c r="O33" s="892" t="str">
        <f ca="1">IFERROR(_xll.qlRateHelperQuoteValue($M33,Trigger),"--")</f>
        <v>--</v>
      </c>
      <c r="P33" s="891" t="b">
        <v>0</v>
      </c>
      <c r="Q33" s="890">
        <v>20</v>
      </c>
      <c r="R33" s="890">
        <v>7</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873" t="s">
        <v>181</v>
      </c>
      <c r="B34" s="912">
        <v>14</v>
      </c>
      <c r="C34" s="911" t="str">
        <f t="shared" si="7"/>
        <v>x26F</v>
      </c>
      <c r="D34" s="909"/>
      <c r="E34" s="909"/>
      <c r="F34" s="909"/>
      <c r="G34" s="874" t="str">
        <f t="shared" si="8"/>
        <v>Euribor1Y</v>
      </c>
      <c r="H34" s="910" t="str">
        <f t="shared" si="9"/>
        <v>EUR14x26F_Quote</v>
      </c>
      <c r="I34" s="909"/>
      <c r="J34" s="43"/>
      <c r="K34" s="23"/>
      <c r="L34" s="894" t="str">
        <f t="shared" si="5"/>
        <v>FRA</v>
      </c>
      <c r="M34" s="890" t="str">
        <f t="shared" si="6"/>
        <v>--</v>
      </c>
      <c r="N34" s="893" t="str">
        <f ca="1">IFERROR(_xll.qlRateHelperQuoteName(M34,Trigger),"--")</f>
        <v>--</v>
      </c>
      <c r="O34" s="892" t="str">
        <f ca="1">IFERROR(_xll.qlRateHelperQuoteValue($M34,Trigger),"--")</f>
        <v>--</v>
      </c>
      <c r="P34" s="891" t="b">
        <v>0</v>
      </c>
      <c r="Q34" s="890">
        <v>20</v>
      </c>
      <c r="R34" s="890">
        <v>7</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73" t="s">
        <v>181</v>
      </c>
      <c r="B35" s="912">
        <v>15</v>
      </c>
      <c r="C35" s="911" t="str">
        <f t="shared" si="7"/>
        <v>x27F</v>
      </c>
      <c r="D35" s="909"/>
      <c r="E35" s="909"/>
      <c r="F35" s="909"/>
      <c r="G35" s="874" t="str">
        <f t="shared" si="8"/>
        <v>Euribor1Y</v>
      </c>
      <c r="H35" s="910" t="str">
        <f t="shared" si="9"/>
        <v>EUR15x27F_Quote</v>
      </c>
      <c r="I35" s="909"/>
      <c r="J35" s="43"/>
      <c r="K35" s="23"/>
      <c r="L35" s="894" t="str">
        <f t="shared" si="5"/>
        <v>FRA</v>
      </c>
      <c r="M35" s="890" t="str">
        <f t="shared" si="6"/>
        <v>--</v>
      </c>
      <c r="N35" s="893" t="str">
        <f ca="1">IFERROR(_xll.qlRateHelperQuoteName(M35,Trigger),"--")</f>
        <v>--</v>
      </c>
      <c r="O35" s="892" t="str">
        <f ca="1">IFERROR(_xll.qlRateHelperQuoteValue($M35,Trigger),"--")</f>
        <v>--</v>
      </c>
      <c r="P35" s="891" t="b">
        <v>0</v>
      </c>
      <c r="Q35" s="890">
        <v>20</v>
      </c>
      <c r="R35" s="890">
        <v>7</v>
      </c>
      <c r="S35" s="889" t="str">
        <f ca="1">IFERROR(_xll.qlRateHelperEarliestDate(M35,Trigger),"--")</f>
        <v>--</v>
      </c>
      <c r="T35" s="889" t="str">
        <f ca="1">IFERROR(_xll.qlRateHelperPillarDate(M35,Trigger),"--")</f>
        <v>--</v>
      </c>
      <c r="V35" s="4" t="str">
        <f t="shared" ref="V35:V66" ca="1" si="10">IFERROR(INDEX($L$3:$L$79,MATCH(X35,$N$3:$N$79,0),1),"")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181</v>
      </c>
      <c r="B36" s="912">
        <v>16</v>
      </c>
      <c r="C36" s="911" t="str">
        <f t="shared" si="7"/>
        <v>x28F</v>
      </c>
      <c r="D36" s="909"/>
      <c r="E36" s="909"/>
      <c r="F36" s="909"/>
      <c r="G36" s="874" t="str">
        <f t="shared" si="8"/>
        <v>Euribor1Y</v>
      </c>
      <c r="H36" s="910" t="str">
        <f t="shared" si="9"/>
        <v>EUR16x28F_Quote</v>
      </c>
      <c r="I36" s="909"/>
      <c r="J36" s="43"/>
      <c r="K36" s="23"/>
      <c r="L36" s="894" t="str">
        <f t="shared" si="5"/>
        <v>FRA</v>
      </c>
      <c r="M36" s="890" t="str">
        <f t="shared" si="6"/>
        <v>--</v>
      </c>
      <c r="N36" s="893" t="str">
        <f ca="1">IFERROR(_xll.qlRateHelperQuoteName(M36,Trigger),"--")</f>
        <v>--</v>
      </c>
      <c r="O36" s="892" t="str">
        <f ca="1">IFERROR(_xll.qlRateHelperQuoteValue($M36,Trigger),"--")</f>
        <v>--</v>
      </c>
      <c r="P36" s="891" t="b">
        <v>0</v>
      </c>
      <c r="Q36" s="890">
        <v>20</v>
      </c>
      <c r="R36" s="890">
        <v>7</v>
      </c>
      <c r="S36" s="889" t="str">
        <f ca="1">IFERROR(_xll.qlRateHelperEarliestDate(M36,Trigger),"--")</f>
        <v>--</v>
      </c>
      <c r="T36" s="889" t="str">
        <f ca="1">IFERROR(_xll.qlRateHelperPillarDate(M36,Trigger),"--")</f>
        <v>--</v>
      </c>
      <c r="V36" s="4" t="str">
        <f t="shared" ca="1" si="10"/>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181</v>
      </c>
      <c r="B37" s="912">
        <v>17</v>
      </c>
      <c r="C37" s="911" t="str">
        <f t="shared" si="7"/>
        <v>x29F</v>
      </c>
      <c r="D37" s="909"/>
      <c r="E37" s="909"/>
      <c r="F37" s="909"/>
      <c r="G37" s="874" t="str">
        <f t="shared" si="8"/>
        <v>Euribor1Y</v>
      </c>
      <c r="H37" s="910" t="str">
        <f t="shared" si="9"/>
        <v>EUR17x29F_Quote</v>
      </c>
      <c r="I37" s="909"/>
      <c r="J37" s="43"/>
      <c r="K37" s="23"/>
      <c r="L37" s="894" t="str">
        <f t="shared" si="5"/>
        <v>FRA</v>
      </c>
      <c r="M37" s="890" t="str">
        <f t="shared" si="6"/>
        <v>--</v>
      </c>
      <c r="N37" s="893" t="str">
        <f ca="1">IFERROR(_xll.qlRateHelperQuoteName(M37,Trigger),"--")</f>
        <v>--</v>
      </c>
      <c r="O37" s="892" t="str">
        <f ca="1">IFERROR(_xll.qlRateHelperQuoteValue($M37,Trigger),"--")</f>
        <v>--</v>
      </c>
      <c r="P37" s="891" t="b">
        <v>0</v>
      </c>
      <c r="Q37" s="890">
        <v>20</v>
      </c>
      <c r="R37" s="890">
        <v>7</v>
      </c>
      <c r="S37" s="889" t="str">
        <f ca="1">IFERROR(_xll.qlRateHelperEarliestDate(M37,Trigger),"--")</f>
        <v>--</v>
      </c>
      <c r="T37" s="889" t="str">
        <f ca="1">IFERROR(_xll.qlRateHelperPillarDate(M37,Trigger),"--")</f>
        <v>--</v>
      </c>
      <c r="V37" s="4" t="str">
        <f t="shared" ca="1" si="10"/>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181</v>
      </c>
      <c r="B38" s="912">
        <v>18</v>
      </c>
      <c r="C38" s="911" t="str">
        <f t="shared" si="7"/>
        <v>x30F</v>
      </c>
      <c r="D38" s="909"/>
      <c r="E38" s="909"/>
      <c r="F38" s="909"/>
      <c r="G38" s="874" t="str">
        <f t="shared" si="8"/>
        <v>Euribor1Y</v>
      </c>
      <c r="H38" s="910" t="str">
        <f t="shared" si="9"/>
        <v>EUR18x30F_Quote</v>
      </c>
      <c r="I38" s="909"/>
      <c r="J38" s="43"/>
      <c r="K38" s="23"/>
      <c r="L38" s="894" t="str">
        <f t="shared" si="5"/>
        <v>FRA</v>
      </c>
      <c r="M38" s="890" t="str">
        <f t="shared" si="6"/>
        <v>--</v>
      </c>
      <c r="N38" s="893" t="str">
        <f ca="1">IFERROR(_xll.qlRateHelperQuoteName(M38,Trigger),"--")</f>
        <v>--</v>
      </c>
      <c r="O38" s="892" t="str">
        <f ca="1">IFERROR(_xll.qlRateHelperQuoteValue($M38,Trigger),"--")</f>
        <v>--</v>
      </c>
      <c r="P38" s="891" t="b">
        <v>0</v>
      </c>
      <c r="Q38" s="890">
        <v>20</v>
      </c>
      <c r="R38" s="890">
        <v>7</v>
      </c>
      <c r="S38" s="889" t="str">
        <f ca="1">IFERROR(_xll.qlRateHelperEarliestDate(M38,Trigger),"--")</f>
        <v>--</v>
      </c>
      <c r="T38" s="889" t="str">
        <f ca="1">IFERROR(_xll.qlRateHelperPillarDate(M38,Trigger),"--")</f>
        <v>--</v>
      </c>
      <c r="V38" s="4" t="str">
        <f t="shared" ca="1" si="10"/>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181</v>
      </c>
      <c r="B39" s="912">
        <v>19</v>
      </c>
      <c r="C39" s="911" t="str">
        <f t="shared" si="7"/>
        <v>x31F</v>
      </c>
      <c r="D39" s="909"/>
      <c r="E39" s="909"/>
      <c r="F39" s="909"/>
      <c r="G39" s="874" t="str">
        <f t="shared" si="8"/>
        <v>Euribor1Y</v>
      </c>
      <c r="H39" s="910" t="str">
        <f t="shared" si="9"/>
        <v>EUR19x31F_Quote</v>
      </c>
      <c r="I39" s="909"/>
      <c r="J39" s="43"/>
      <c r="K39" s="23"/>
      <c r="L39" s="894" t="str">
        <f t="shared" si="5"/>
        <v>FRA</v>
      </c>
      <c r="M39" s="890" t="str">
        <f t="shared" si="6"/>
        <v>--</v>
      </c>
      <c r="N39" s="893" t="str">
        <f ca="1">IFERROR(_xll.qlRateHelperQuoteName(M39,Trigger),"--")</f>
        <v>--</v>
      </c>
      <c r="O39" s="892" t="str">
        <f ca="1">IFERROR(_xll.qlRateHelperQuoteValue($M39,Trigger),"--")</f>
        <v>--</v>
      </c>
      <c r="P39" s="891" t="b">
        <v>0</v>
      </c>
      <c r="Q39" s="890">
        <v>20</v>
      </c>
      <c r="R39" s="890">
        <v>7</v>
      </c>
      <c r="S39" s="889" t="str">
        <f ca="1">IFERROR(_xll.qlRateHelperEarliestDate(M39,Trigger),"--")</f>
        <v>--</v>
      </c>
      <c r="T39" s="889" t="str">
        <f ca="1">IFERROR(_xll.qlRateHelperPillarDate(M39,Trigger),"--")</f>
        <v>--</v>
      </c>
      <c r="V39" s="4" t="str">
        <f t="shared" ca="1" si="10"/>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181</v>
      </c>
      <c r="B40" s="912">
        <v>20</v>
      </c>
      <c r="C40" s="911" t="str">
        <f t="shared" si="7"/>
        <v>x32F</v>
      </c>
      <c r="D40" s="909"/>
      <c r="E40" s="909"/>
      <c r="F40" s="909"/>
      <c r="G40" s="874" t="str">
        <f t="shared" si="8"/>
        <v>Euribor1Y</v>
      </c>
      <c r="H40" s="910" t="str">
        <f t="shared" si="9"/>
        <v>EUR20x32F_Quote</v>
      </c>
      <c r="I40" s="909"/>
      <c r="J40" s="43"/>
      <c r="K40" s="23"/>
      <c r="L40" s="894" t="str">
        <f t="shared" si="5"/>
        <v>FRA</v>
      </c>
      <c r="M40" s="890" t="str">
        <f t="shared" si="6"/>
        <v>--</v>
      </c>
      <c r="N40" s="893" t="str">
        <f ca="1">IFERROR(_xll.qlRateHelperQuoteName(M40,Trigger),"--")</f>
        <v>--</v>
      </c>
      <c r="O40" s="892" t="str">
        <f ca="1">IFERROR(_xll.qlRateHelperQuoteValue($M40,Trigger),"--")</f>
        <v>--</v>
      </c>
      <c r="P40" s="891" t="b">
        <v>0</v>
      </c>
      <c r="Q40" s="890">
        <v>20</v>
      </c>
      <c r="R40" s="890">
        <v>7</v>
      </c>
      <c r="S40" s="889" t="str">
        <f ca="1">IFERROR(_xll.qlRateHelperEarliestDate(M40,Trigger),"--")</f>
        <v>--</v>
      </c>
      <c r="T40" s="889" t="str">
        <f ca="1">IFERROR(_xll.qlRateHelperPillarDate(M40,Trigger),"--")</f>
        <v>--</v>
      </c>
      <c r="V40" s="4" t="str">
        <f t="shared" ca="1" si="10"/>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181</v>
      </c>
      <c r="B41" s="912">
        <v>21</v>
      </c>
      <c r="C41" s="911" t="str">
        <f t="shared" si="7"/>
        <v>x33F</v>
      </c>
      <c r="D41" s="909"/>
      <c r="E41" s="909"/>
      <c r="F41" s="909"/>
      <c r="G41" s="874" t="str">
        <f t="shared" si="8"/>
        <v>Euribor1Y</v>
      </c>
      <c r="H41" s="910" t="str">
        <f t="shared" si="9"/>
        <v>EUR21x33F_Quote</v>
      </c>
      <c r="I41" s="909"/>
      <c r="J41" s="43"/>
      <c r="L41" s="894" t="str">
        <f t="shared" si="5"/>
        <v>FRA</v>
      </c>
      <c r="M41" s="890" t="str">
        <f t="shared" si="6"/>
        <v>--</v>
      </c>
      <c r="N41" s="893" t="str">
        <f ca="1">IFERROR(_xll.qlRateHelperQuoteName(M41,Trigger),"--")</f>
        <v>--</v>
      </c>
      <c r="O41" s="892" t="str">
        <f ca="1">IFERROR(_xll.qlRateHelperQuoteValue($M41,Trigger),"--")</f>
        <v>--</v>
      </c>
      <c r="P41" s="891" t="b">
        <v>0</v>
      </c>
      <c r="Q41" s="890">
        <v>20</v>
      </c>
      <c r="R41" s="890">
        <v>7</v>
      </c>
      <c r="S41" s="889" t="str">
        <f ca="1">IFERROR(_xll.qlRateHelperEarliestDate(M41,Trigger),"--")</f>
        <v>--</v>
      </c>
      <c r="T41" s="889" t="str">
        <f ca="1">IFERROR(_xll.qlRateHelperPillarDate(M41,Trigger),"--")</f>
        <v>--</v>
      </c>
      <c r="V41" s="4" t="str">
        <f t="shared" ca="1" si="10"/>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181</v>
      </c>
      <c r="B42" s="912">
        <v>22</v>
      </c>
      <c r="C42" s="911" t="str">
        <f t="shared" si="7"/>
        <v>x34F</v>
      </c>
      <c r="D42" s="909"/>
      <c r="E42" s="909"/>
      <c r="F42" s="909"/>
      <c r="G42" s="874" t="str">
        <f t="shared" si="8"/>
        <v>Euribor1Y</v>
      </c>
      <c r="H42" s="910" t="str">
        <f t="shared" si="9"/>
        <v>EUR22x34F_Quote</v>
      </c>
      <c r="I42" s="909"/>
      <c r="J42" s="43"/>
      <c r="L42" s="885" t="str">
        <f t="shared" si="5"/>
        <v>FRA</v>
      </c>
      <c r="M42" s="881" t="str">
        <f t="shared" si="6"/>
        <v>--</v>
      </c>
      <c r="N42" s="884" t="str">
        <f ca="1">IFERROR(_xll.qlRateHelperQuoteName(M42,Trigger),"--")</f>
        <v>--</v>
      </c>
      <c r="O42" s="883" t="str">
        <f ca="1">IFERROR(_xll.qlRateHelperQuoteValue($M42,Trigger),"--")</f>
        <v>--</v>
      </c>
      <c r="P42" s="882" t="b">
        <v>0</v>
      </c>
      <c r="Q42" s="881">
        <v>20</v>
      </c>
      <c r="R42" s="881">
        <v>7</v>
      </c>
      <c r="S42" s="880" t="str">
        <f ca="1">IFERROR(_xll.qlRateHelperEarliestDate(M42,Trigger),"--")</f>
        <v>--</v>
      </c>
      <c r="T42" s="880" t="str">
        <f ca="1">IFERROR(_xll.qlRateHelperPillarDate(M42,Trigger),"--")</f>
        <v>--</v>
      </c>
      <c r="V42" s="4" t="str">
        <f t="shared" ca="1" si="10"/>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181</v>
      </c>
      <c r="B43" s="912">
        <v>23</v>
      </c>
      <c r="C43" s="911" t="str">
        <f t="shared" si="7"/>
        <v>x35F</v>
      </c>
      <c r="D43" s="909"/>
      <c r="E43" s="909"/>
      <c r="F43" s="909"/>
      <c r="G43" s="874" t="str">
        <f t="shared" si="8"/>
        <v>Euribor1Y</v>
      </c>
      <c r="H43" s="910" t="str">
        <f t="shared" si="9"/>
        <v>EUR23x35F_Quote</v>
      </c>
      <c r="I43" s="909"/>
      <c r="J43" s="43"/>
      <c r="L43" s="908" t="str">
        <f t="shared" ref="L43:L79" si="11">A47</f>
        <v>BasSw</v>
      </c>
      <c r="M43" s="904" t="str">
        <f t="shared" ref="M43:M79" si="12">IF(ISBLANK(J47),"--",J47)</f>
        <v>--</v>
      </c>
      <c r="N43" s="907" t="str">
        <f ca="1">IFERROR(_xll.qlRateHelperQuoteName(M43,Trigger),"--")</f>
        <v>--</v>
      </c>
      <c r="O43" s="906" t="str">
        <f ca="1">IFERROR(_xll.qlRateHelperQuoteValue($M43,Trigger),"--")</f>
        <v>--</v>
      </c>
      <c r="P43" s="905" t="b">
        <v>0</v>
      </c>
      <c r="Q43" s="904">
        <v>40</v>
      </c>
      <c r="R43" s="904">
        <v>1</v>
      </c>
      <c r="S43" s="903" t="str">
        <f ca="1">IFERROR(_xll.qlRateHelperEarliestDate(M43,Trigger),"--")</f>
        <v>--</v>
      </c>
      <c r="T43" s="903" t="str">
        <f ca="1">IFERROR(_xll.qlRateHelperPillarDate(M43,Trigger),"--")</f>
        <v>--</v>
      </c>
      <c r="V43" s="4" t="str">
        <f t="shared" ca="1" si="10"/>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69" t="s">
        <v>181</v>
      </c>
      <c r="B44" s="902">
        <v>24</v>
      </c>
      <c r="C44" s="901" t="str">
        <f t="shared" si="7"/>
        <v>x36F</v>
      </c>
      <c r="D44" s="899"/>
      <c r="E44" s="899"/>
      <c r="F44" s="899"/>
      <c r="G44" s="870" t="str">
        <f t="shared" si="8"/>
        <v>Euribor1Y</v>
      </c>
      <c r="H44" s="900" t="str">
        <f t="shared" si="9"/>
        <v>EUR24x36F_Quote</v>
      </c>
      <c r="I44" s="899"/>
      <c r="J44" s="38"/>
      <c r="L44" s="894" t="str">
        <f t="shared" si="11"/>
        <v>BasSw</v>
      </c>
      <c r="M44" s="890" t="str">
        <f t="shared" si="12"/>
        <v>--</v>
      </c>
      <c r="N44" s="893" t="str">
        <f ca="1">IFERROR(_xll.qlRateHelperQuoteName(M44,Trigger),"--")</f>
        <v>--</v>
      </c>
      <c r="O44" s="892" t="str">
        <f ca="1">IFERROR(_xll.qlRateHelperQuoteValue($M44,Trigger),"--")</f>
        <v>--</v>
      </c>
      <c r="P44" s="891" t="b">
        <v>0</v>
      </c>
      <c r="Q44" s="890">
        <v>40</v>
      </c>
      <c r="R44" s="890">
        <v>1</v>
      </c>
      <c r="S44" s="889" t="str">
        <f ca="1">IFERROR(_xll.qlRateHelperEarliestDate(M44,Trigger),"--")</f>
        <v>--</v>
      </c>
      <c r="T44" s="889" t="str">
        <f ca="1">IFERROR(_xll.qlRateHelperPillarDate(M44,Trigger),"--")</f>
        <v>--</v>
      </c>
      <c r="V44" s="4" t="str">
        <f t="shared" ca="1" si="10"/>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B45" s="1"/>
      <c r="C45" s="1"/>
      <c r="D45" s="1"/>
      <c r="E45" s="1"/>
      <c r="F45" s="1"/>
      <c r="G45" s="1" t="s">
        <v>21</v>
      </c>
      <c r="H45" s="1" t="s">
        <v>20</v>
      </c>
      <c r="L45" s="894" t="str">
        <f t="shared" si="11"/>
        <v>BasSw</v>
      </c>
      <c r="M45" s="890" t="str">
        <f t="shared" si="12"/>
        <v>--</v>
      </c>
      <c r="N45" s="893" t="str">
        <f ca="1">IFERROR(_xll.qlRateHelperQuoteName(M45,Trigger),"--")</f>
        <v>--</v>
      </c>
      <c r="O45" s="892" t="str">
        <f ca="1">IFERROR(_xll.qlRateHelperQuoteValue($M45,Trigger),"--")</f>
        <v>--</v>
      </c>
      <c r="P45" s="891" t="b">
        <v>0</v>
      </c>
      <c r="Q45" s="890">
        <v>40</v>
      </c>
      <c r="R45" s="890">
        <v>1</v>
      </c>
      <c r="S45" s="889" t="str">
        <f ca="1">IFERROR(_xll.qlRateHelperEarliestDate(M45,Trigger),"--")</f>
        <v>--</v>
      </c>
      <c r="T45" s="889" t="str">
        <f ca="1">IFERROR(_xll.qlRateHelperPillarDate(M45,Trigger),"--")</f>
        <v>--</v>
      </c>
      <c r="V45" s="4" t="str">
        <f t="shared" ca="1" si="10"/>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145" t="s">
        <v>388</v>
      </c>
      <c r="B46" s="145" t="s">
        <v>107</v>
      </c>
      <c r="C46" s="145" t="s">
        <v>387</v>
      </c>
      <c r="D46" s="145" t="s">
        <v>330</v>
      </c>
      <c r="E46" s="145" t="s">
        <v>386</v>
      </c>
      <c r="F46" s="145" t="s">
        <v>385</v>
      </c>
      <c r="G46" s="145" t="s">
        <v>14</v>
      </c>
      <c r="H46" s="145" t="s">
        <v>384</v>
      </c>
      <c r="I46" s="145" t="s">
        <v>62</v>
      </c>
      <c r="J46" s="145" t="s">
        <v>383</v>
      </c>
      <c r="L46" s="894" t="str">
        <f t="shared" si="11"/>
        <v>BasSw</v>
      </c>
      <c r="M46" s="890" t="str">
        <f t="shared" si="12"/>
        <v>--</v>
      </c>
      <c r="N46" s="893" t="str">
        <f ca="1">IFERROR(_xll.qlRateHelperQuoteName(M46,Trigger),"--")</f>
        <v>--</v>
      </c>
      <c r="O46" s="892" t="str">
        <f ca="1">IFERROR(_xll.qlRateHelperQuoteValue($M46,Trigger),"--")</f>
        <v>--</v>
      </c>
      <c r="P46" s="891" t="b">
        <v>0</v>
      </c>
      <c r="Q46" s="890">
        <v>40</v>
      </c>
      <c r="R46" s="890">
        <v>1</v>
      </c>
      <c r="S46" s="889" t="str">
        <f ca="1">IFERROR(_xll.qlRateHelperEarliestDate(M46,Trigger),"--")</f>
        <v>--</v>
      </c>
      <c r="T46" s="889" t="str">
        <f ca="1">IFERROR(_xll.qlRateHelperPillarDate(M46,Trigger),"--")</f>
        <v>--</v>
      </c>
      <c r="V46" s="4" t="str">
        <f t="shared" ca="1" si="10"/>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96" t="s">
        <v>382</v>
      </c>
      <c r="B47" s="898" t="s">
        <v>58</v>
      </c>
      <c r="C47" s="897" t="s">
        <v>324</v>
      </c>
      <c r="D47" s="897" t="s">
        <v>323</v>
      </c>
      <c r="E47" s="897" t="s">
        <v>322</v>
      </c>
      <c r="F47" s="897" t="s">
        <v>221</v>
      </c>
      <c r="G47" s="897" t="str">
        <f t="shared" ref="G47:G83" si="13">PROPER(Currency)&amp;FamilyName&amp;Tenor</f>
        <v>Euribor1Y</v>
      </c>
      <c r="H47" s="896" t="str">
        <f t="shared" ref="H47:H83" si="14">Currency&amp;$G$45&amp;$H$45&amp;"BASIS"&amp;$B47&amp;QuoteSuffix</f>
        <v>EURAB12EBASIS1Y_Quote</v>
      </c>
      <c r="I47" s="895">
        <v>0</v>
      </c>
      <c r="J47" s="43"/>
      <c r="L47" s="894" t="str">
        <f t="shared" si="11"/>
        <v>BasSw</v>
      </c>
      <c r="M47" s="890" t="str">
        <f t="shared" si="12"/>
        <v>--</v>
      </c>
      <c r="N47" s="893" t="str">
        <f ca="1">IFERROR(_xll.qlRateHelperQuoteName(M47,Trigger),"--")</f>
        <v>--</v>
      </c>
      <c r="O47" s="892" t="str">
        <f ca="1">IFERROR(_xll.qlRateHelperQuoteValue($M47,Trigger),"--")</f>
        <v>--</v>
      </c>
      <c r="P47" s="891" t="b">
        <v>0</v>
      </c>
      <c r="Q47" s="890">
        <v>40</v>
      </c>
      <c r="R47" s="890">
        <v>1</v>
      </c>
      <c r="S47" s="889" t="str">
        <f ca="1">IFERROR(_xll.qlRateHelperEarliestDate(M47,Trigger),"--")</f>
        <v>--</v>
      </c>
      <c r="T47" s="889" t="str">
        <f ca="1">IFERROR(_xll.qlRateHelperPillarDate(M47,Trigger),"--")</f>
        <v>--</v>
      </c>
      <c r="V47" s="4" t="str">
        <f t="shared" ca="1" si="10"/>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382</v>
      </c>
      <c r="B48" s="875" t="s">
        <v>57</v>
      </c>
      <c r="C48" s="874" t="s">
        <v>324</v>
      </c>
      <c r="D48" s="874" t="s">
        <v>323</v>
      </c>
      <c r="E48" s="874" t="s">
        <v>322</v>
      </c>
      <c r="F48" s="874" t="s">
        <v>221</v>
      </c>
      <c r="G48" s="874" t="str">
        <f t="shared" si="13"/>
        <v>Euribor1Y</v>
      </c>
      <c r="H48" s="873" t="str">
        <f t="shared" si="14"/>
        <v>EURAB12EBASIS15M_Quote</v>
      </c>
      <c r="I48" s="876">
        <v>0</v>
      </c>
      <c r="J48" s="43"/>
      <c r="L48" s="894" t="str">
        <f t="shared" si="11"/>
        <v>BasSw</v>
      </c>
      <c r="M48" s="890" t="e">
        <f t="shared" ca="1" si="12"/>
        <v>#NAME?</v>
      </c>
      <c r="N48" s="893" t="str">
        <f ca="1">IFERROR(_xll.qlRateHelperQuoteName(M48,Trigger),"--")</f>
        <v>--</v>
      </c>
      <c r="O48" s="892" t="str">
        <f ca="1">IFERROR(_xll.qlRateHelperQuoteValue($M48,Trigger),"--")</f>
        <v>--</v>
      </c>
      <c r="P48" s="891" t="b">
        <v>1</v>
      </c>
      <c r="Q48" s="890">
        <v>40</v>
      </c>
      <c r="R48" s="890">
        <v>1</v>
      </c>
      <c r="S48" s="889" t="str">
        <f ca="1">IFERROR(_xll.qlRateHelperEarliestDate(M48,Trigger),"--")</f>
        <v>--</v>
      </c>
      <c r="T48" s="889" t="str">
        <f ca="1">IFERROR(_xll.qlRateHelperPillarDate(M48,Trigger),"--")</f>
        <v>--</v>
      </c>
      <c r="V48" s="4" t="str">
        <f t="shared" ca="1" si="10"/>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382</v>
      </c>
      <c r="B49" s="875" t="s">
        <v>56</v>
      </c>
      <c r="C49" s="874" t="s">
        <v>324</v>
      </c>
      <c r="D49" s="874" t="s">
        <v>323</v>
      </c>
      <c r="E49" s="874" t="s">
        <v>322</v>
      </c>
      <c r="F49" s="874" t="s">
        <v>221</v>
      </c>
      <c r="G49" s="874" t="str">
        <f t="shared" si="13"/>
        <v>Euribor1Y</v>
      </c>
      <c r="H49" s="873" t="str">
        <f t="shared" si="14"/>
        <v>EURAB12EBASIS18M_Quote</v>
      </c>
      <c r="I49" s="876">
        <v>0</v>
      </c>
      <c r="J49" s="43"/>
      <c r="L49" s="894" t="str">
        <f t="shared" si="11"/>
        <v>BasSw</v>
      </c>
      <c r="M49" s="890" t="e">
        <f t="shared" ca="1" si="12"/>
        <v>#NAME?</v>
      </c>
      <c r="N49" s="893" t="str">
        <f ca="1">IFERROR(_xll.qlRateHelperQuoteName(M49,Trigger),"--")</f>
        <v>--</v>
      </c>
      <c r="O49" s="892" t="str">
        <f ca="1">IFERROR(_xll.qlRateHelperQuoteValue($M49,Trigger),"--")</f>
        <v>--</v>
      </c>
      <c r="P49" s="891" t="b">
        <v>1</v>
      </c>
      <c r="Q49" s="890">
        <v>40</v>
      </c>
      <c r="R49" s="890">
        <v>1</v>
      </c>
      <c r="S49" s="889" t="str">
        <f ca="1">IFERROR(_xll.qlRateHelperEarliestDate(M49,Trigger),"--")</f>
        <v>--</v>
      </c>
      <c r="T49" s="889" t="str">
        <f ca="1">IFERROR(_xll.qlRateHelperPillarDate(M49,Trigger),"--")</f>
        <v>--</v>
      </c>
      <c r="V49" s="4" t="str">
        <f t="shared" ca="1" si="10"/>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382</v>
      </c>
      <c r="B50" s="875" t="s">
        <v>55</v>
      </c>
      <c r="C50" s="874" t="s">
        <v>324</v>
      </c>
      <c r="D50" s="874" t="s">
        <v>323</v>
      </c>
      <c r="E50" s="874" t="s">
        <v>322</v>
      </c>
      <c r="F50" s="874" t="s">
        <v>221</v>
      </c>
      <c r="G50" s="874" t="str">
        <f t="shared" si="13"/>
        <v>Euribor1Y</v>
      </c>
      <c r="H50" s="873" t="str">
        <f t="shared" si="14"/>
        <v>EURAB12EBASIS21M_Quote</v>
      </c>
      <c r="I50" s="876">
        <v>0</v>
      </c>
      <c r="J50" s="43"/>
      <c r="L50" s="894" t="str">
        <f t="shared" si="11"/>
        <v>BasSw</v>
      </c>
      <c r="M50" s="890" t="e">
        <f t="shared" ca="1" si="12"/>
        <v>#NAME?</v>
      </c>
      <c r="N50" s="893" t="str">
        <f ca="1">IFERROR(_xll.qlRateHelperQuoteName(M50,Trigger),"--")</f>
        <v>--</v>
      </c>
      <c r="O50" s="892" t="str">
        <f ca="1">IFERROR(_xll.qlRateHelperQuoteValue($M50,Trigger),"--")</f>
        <v>--</v>
      </c>
      <c r="P50" s="891" t="b">
        <v>1</v>
      </c>
      <c r="Q50" s="890">
        <v>40</v>
      </c>
      <c r="R50" s="890">
        <v>1</v>
      </c>
      <c r="S50" s="889" t="str">
        <f ca="1">IFERROR(_xll.qlRateHelperEarliestDate(M50,Trigger),"--")</f>
        <v>--</v>
      </c>
      <c r="T50" s="889" t="str">
        <f ca="1">IFERROR(_xll.qlRateHelperPillarDate(M50,Trigger),"--")</f>
        <v>--</v>
      </c>
      <c r="V50" s="4" t="str">
        <f t="shared" ca="1" si="10"/>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382</v>
      </c>
      <c r="B51" s="875" t="s">
        <v>54</v>
      </c>
      <c r="C51" s="874" t="s">
        <v>324</v>
      </c>
      <c r="D51" s="874" t="s">
        <v>323</v>
      </c>
      <c r="E51" s="874" t="s">
        <v>322</v>
      </c>
      <c r="F51" s="874" t="s">
        <v>221</v>
      </c>
      <c r="G51" s="874" t="str">
        <f t="shared" si="13"/>
        <v>Euribor1Y</v>
      </c>
      <c r="H51" s="873" t="str">
        <f t="shared" si="14"/>
        <v>EURAB12EBASIS2Y_Quote</v>
      </c>
      <c r="I51" s="876">
        <v>0</v>
      </c>
      <c r="J51" s="43"/>
      <c r="L51" s="894" t="str">
        <f t="shared" si="11"/>
        <v>BasSw</v>
      </c>
      <c r="M51" s="890" t="e">
        <f t="shared" ca="1" si="12"/>
        <v>#NAME?</v>
      </c>
      <c r="N51" s="893" t="str">
        <f ca="1">IFERROR(_xll.qlRateHelperQuoteName(M51,Trigger),"--")</f>
        <v>--</v>
      </c>
      <c r="O51" s="892" t="str">
        <f ca="1">IFERROR(_xll.qlRateHelperQuoteValue($M51,Trigger),"--")</f>
        <v>--</v>
      </c>
      <c r="P51" s="891" t="b">
        <v>1</v>
      </c>
      <c r="Q51" s="890">
        <v>40</v>
      </c>
      <c r="R51" s="890">
        <v>1</v>
      </c>
      <c r="S51" s="889" t="str">
        <f ca="1">IFERROR(_xll.qlRateHelperEarliestDate(M51,Trigger),"--")</f>
        <v>--</v>
      </c>
      <c r="T51" s="889" t="str">
        <f ca="1">IFERROR(_xll.qlRateHelperPillarDate(M51,Trigger),"--")</f>
        <v>--</v>
      </c>
      <c r="V51" s="4" t="str">
        <f t="shared" ca="1" si="10"/>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382</v>
      </c>
      <c r="B52" s="875" t="s">
        <v>53</v>
      </c>
      <c r="C52" s="874" t="s">
        <v>324</v>
      </c>
      <c r="D52" s="874" t="s">
        <v>323</v>
      </c>
      <c r="E52" s="874" t="s">
        <v>322</v>
      </c>
      <c r="F52" s="874" t="s">
        <v>221</v>
      </c>
      <c r="G52" s="874" t="str">
        <f t="shared" si="13"/>
        <v>Euribor1Y</v>
      </c>
      <c r="H52" s="873" t="str">
        <f t="shared" si="14"/>
        <v>EURAB12EBASIS3Y_Quote</v>
      </c>
      <c r="I52" s="876">
        <v>0</v>
      </c>
      <c r="J52" s="43" t="e">
        <f ca="1">_xll.qlSwapRateHelper2(,H52,2,B52,Calendar,D52,E52,F52,G52,I52,C52,Discounting,PillarDate,,Permanent,Trigger,ObjectOverwrite)</f>
        <v>#NAME?</v>
      </c>
      <c r="L52" s="894" t="str">
        <f t="shared" si="11"/>
        <v>BasSw</v>
      </c>
      <c r="M52" s="890" t="e">
        <f t="shared" ca="1" si="12"/>
        <v>#NAME?</v>
      </c>
      <c r="N52" s="893" t="str">
        <f ca="1">IFERROR(_xll.qlRateHelperQuoteName(M52,Trigger),"--")</f>
        <v>--</v>
      </c>
      <c r="O52" s="892" t="str">
        <f ca="1">IFERROR(_xll.qlRateHelperQuoteValue($M52,Trigger),"--")</f>
        <v>--</v>
      </c>
      <c r="P52" s="891" t="b">
        <v>1</v>
      </c>
      <c r="Q52" s="890">
        <v>40</v>
      </c>
      <c r="R52" s="890">
        <v>1</v>
      </c>
      <c r="S52" s="889" t="str">
        <f ca="1">IFERROR(_xll.qlRateHelperEarliestDate(M52,Trigger),"--")</f>
        <v>--</v>
      </c>
      <c r="T52" s="889" t="str">
        <f ca="1">IFERROR(_xll.qlRateHelperPillarDate(M52,Trigger),"--")</f>
        <v>--</v>
      </c>
      <c r="V52" s="4" t="str">
        <f t="shared" ca="1" si="10"/>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382</v>
      </c>
      <c r="B53" s="875" t="s">
        <v>52</v>
      </c>
      <c r="C53" s="874" t="s">
        <v>324</v>
      </c>
      <c r="D53" s="874" t="s">
        <v>323</v>
      </c>
      <c r="E53" s="874" t="s">
        <v>322</v>
      </c>
      <c r="F53" s="874" t="s">
        <v>221</v>
      </c>
      <c r="G53" s="874" t="str">
        <f t="shared" si="13"/>
        <v>Euribor1Y</v>
      </c>
      <c r="H53" s="873" t="str">
        <f t="shared" si="14"/>
        <v>EURAB12EBASIS4Y_Quote</v>
      </c>
      <c r="I53" s="876">
        <v>0</v>
      </c>
      <c r="J53" s="43" t="e">
        <f ca="1">_xll.qlSwapRateHelper2(,H53,2,B53,Calendar,D53,E53,F53,G53,I53,C53,Discounting,PillarDate,,Permanent,Trigger,ObjectOverwrite)</f>
        <v>#NAME?</v>
      </c>
      <c r="L53" s="894" t="str">
        <f t="shared" si="11"/>
        <v>BasSw</v>
      </c>
      <c r="M53" s="890" t="e">
        <f t="shared" ca="1" si="12"/>
        <v>#NAME?</v>
      </c>
      <c r="N53" s="893" t="str">
        <f ca="1">IFERROR(_xll.qlRateHelperQuoteName(M53,Trigger),"--")</f>
        <v>--</v>
      </c>
      <c r="O53" s="892" t="str">
        <f ca="1">IFERROR(_xll.qlRateHelperQuoteValue($M53,Trigger),"--")</f>
        <v>--</v>
      </c>
      <c r="P53" s="891" t="b">
        <v>1</v>
      </c>
      <c r="Q53" s="890">
        <v>40</v>
      </c>
      <c r="R53" s="890">
        <v>1</v>
      </c>
      <c r="S53" s="889" t="str">
        <f ca="1">IFERROR(_xll.qlRateHelperEarliestDate(M53,Trigger),"--")</f>
        <v>--</v>
      </c>
      <c r="T53" s="889" t="str">
        <f ca="1">IFERROR(_xll.qlRateHelperPillarDate(M53,Trigger),"--")</f>
        <v>--</v>
      </c>
      <c r="V53" s="4" t="str">
        <f t="shared" ca="1" si="10"/>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382</v>
      </c>
      <c r="B54" s="875" t="s">
        <v>51</v>
      </c>
      <c r="C54" s="874" t="s">
        <v>324</v>
      </c>
      <c r="D54" s="874" t="s">
        <v>323</v>
      </c>
      <c r="E54" s="874" t="s">
        <v>322</v>
      </c>
      <c r="F54" s="874" t="s">
        <v>221</v>
      </c>
      <c r="G54" s="874" t="str">
        <f t="shared" si="13"/>
        <v>Euribor1Y</v>
      </c>
      <c r="H54" s="873" t="str">
        <f t="shared" si="14"/>
        <v>EURAB12EBASIS5Y_Quote</v>
      </c>
      <c r="I54" s="876">
        <v>0</v>
      </c>
      <c r="J54" s="43" t="e">
        <f ca="1">_xll.qlSwapRateHelper2(,H54,2,B54,Calendar,D54,E54,F54,G54,I54,C54,Discounting,PillarDate,,Permanent,Trigger,ObjectOverwrite)</f>
        <v>#NAME?</v>
      </c>
      <c r="L54" s="894" t="str">
        <f t="shared" si="11"/>
        <v>BasSw</v>
      </c>
      <c r="M54" s="890" t="e">
        <f t="shared" ca="1" si="12"/>
        <v>#NAME?</v>
      </c>
      <c r="N54" s="893" t="str">
        <f ca="1">IFERROR(_xll.qlRateHelperQuoteName(M54,Trigger),"--")</f>
        <v>--</v>
      </c>
      <c r="O54" s="892" t="str">
        <f ca="1">IFERROR(_xll.qlRateHelperQuoteValue($M54,Trigger),"--")</f>
        <v>--</v>
      </c>
      <c r="P54" s="891" t="b">
        <v>1</v>
      </c>
      <c r="Q54" s="890">
        <v>40</v>
      </c>
      <c r="R54" s="890">
        <v>1</v>
      </c>
      <c r="S54" s="889" t="str">
        <f ca="1">IFERROR(_xll.qlRateHelperEarliestDate(M54,Trigger),"--")</f>
        <v>--</v>
      </c>
      <c r="T54" s="889" t="str">
        <f ca="1">IFERROR(_xll.qlRateHelperPillarDate(M54,Trigger),"--")</f>
        <v>--</v>
      </c>
      <c r="V54" s="4" t="str">
        <f t="shared" ca="1" si="10"/>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382</v>
      </c>
      <c r="B55" s="875" t="s">
        <v>50</v>
      </c>
      <c r="C55" s="874" t="s">
        <v>324</v>
      </c>
      <c r="D55" s="874" t="s">
        <v>323</v>
      </c>
      <c r="E55" s="874" t="s">
        <v>322</v>
      </c>
      <c r="F55" s="874" t="s">
        <v>221</v>
      </c>
      <c r="G55" s="874" t="str">
        <f t="shared" si="13"/>
        <v>Euribor1Y</v>
      </c>
      <c r="H55" s="873" t="str">
        <f t="shared" si="14"/>
        <v>EURAB12EBASIS6Y_Quote</v>
      </c>
      <c r="I55" s="876">
        <v>0</v>
      </c>
      <c r="J55" s="43" t="e">
        <f ca="1">_xll.qlSwapRateHelper2(,H55,2,B55,Calendar,D55,E55,F55,G55,I55,C55,Discounting,PillarDate,,Permanent,Trigger,ObjectOverwrite)</f>
        <v>#NAME?</v>
      </c>
      <c r="L55" s="894" t="str">
        <f t="shared" si="11"/>
        <v>BasSw</v>
      </c>
      <c r="M55" s="890" t="e">
        <f t="shared" ca="1" si="12"/>
        <v>#NAME?</v>
      </c>
      <c r="N55" s="893" t="str">
        <f ca="1">IFERROR(_xll.qlRateHelperQuoteName(M55,Trigger),"--")</f>
        <v>--</v>
      </c>
      <c r="O55" s="892" t="str">
        <f ca="1">IFERROR(_xll.qlRateHelperQuoteValue($M55,Trigger),"--")</f>
        <v>--</v>
      </c>
      <c r="P55" s="891" t="b">
        <v>1</v>
      </c>
      <c r="Q55" s="890">
        <v>40</v>
      </c>
      <c r="R55" s="890">
        <v>1</v>
      </c>
      <c r="S55" s="889" t="str">
        <f ca="1">IFERROR(_xll.qlRateHelperEarliestDate(M55,Trigger),"--")</f>
        <v>--</v>
      </c>
      <c r="T55" s="889" t="str">
        <f ca="1">IFERROR(_xll.qlRateHelperPillarDate(M55,Trigger),"--")</f>
        <v>--</v>
      </c>
      <c r="V55" s="4" t="str">
        <f t="shared" ca="1" si="10"/>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382</v>
      </c>
      <c r="B56" s="875" t="s">
        <v>49</v>
      </c>
      <c r="C56" s="874" t="s">
        <v>324</v>
      </c>
      <c r="D56" s="874" t="s">
        <v>323</v>
      </c>
      <c r="E56" s="874" t="s">
        <v>322</v>
      </c>
      <c r="F56" s="874" t="s">
        <v>221</v>
      </c>
      <c r="G56" s="874" t="str">
        <f t="shared" si="13"/>
        <v>Euribor1Y</v>
      </c>
      <c r="H56" s="873" t="str">
        <f t="shared" si="14"/>
        <v>EURAB12EBASIS7Y_Quote</v>
      </c>
      <c r="I56" s="876">
        <v>0</v>
      </c>
      <c r="J56" s="43" t="e">
        <f ca="1">_xll.qlSwapRateHelper2(,H56,2,B56,Calendar,D56,E56,F56,G56,I56,C56,Discounting,PillarDate,,Permanent,Trigger,ObjectOverwrite)</f>
        <v>#NAME?</v>
      </c>
      <c r="L56" s="894" t="str">
        <f t="shared" si="11"/>
        <v>BasSw</v>
      </c>
      <c r="M56" s="890" t="str">
        <f t="shared" si="12"/>
        <v>--</v>
      </c>
      <c r="N56" s="893" t="str">
        <f ca="1">IFERROR(_xll.qlRateHelperQuoteName(M56,Trigger),"--")</f>
        <v>--</v>
      </c>
      <c r="O56" s="892" t="str">
        <f ca="1">IFERROR(_xll.qlRateHelperQuoteValue($M56,Trigger),"--")</f>
        <v>--</v>
      </c>
      <c r="P56" s="891" t="b">
        <v>0</v>
      </c>
      <c r="Q56" s="890">
        <v>40</v>
      </c>
      <c r="R56" s="890">
        <v>1</v>
      </c>
      <c r="S56" s="889" t="str">
        <f ca="1">IFERROR(_xll.qlRateHelperEarliestDate(M56,Trigger),"--")</f>
        <v>--</v>
      </c>
      <c r="T56" s="889" t="str">
        <f ca="1">IFERROR(_xll.qlRateHelperPillarDate(M56,Trigger),"--")</f>
        <v>--</v>
      </c>
      <c r="V56" s="4" t="str">
        <f t="shared" ca="1" si="10"/>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382</v>
      </c>
      <c r="B57" s="875" t="s">
        <v>48</v>
      </c>
      <c r="C57" s="874" t="s">
        <v>324</v>
      </c>
      <c r="D57" s="874" t="s">
        <v>323</v>
      </c>
      <c r="E57" s="874" t="s">
        <v>322</v>
      </c>
      <c r="F57" s="874" t="s">
        <v>221</v>
      </c>
      <c r="G57" s="874" t="str">
        <f t="shared" si="13"/>
        <v>Euribor1Y</v>
      </c>
      <c r="H57" s="873" t="str">
        <f t="shared" si="14"/>
        <v>EURAB12EBASIS8Y_Quote</v>
      </c>
      <c r="I57" s="876">
        <v>0</v>
      </c>
      <c r="J57" s="43" t="e">
        <f ca="1">_xll.qlSwapRateHelper2(,H57,2,B57,Calendar,D57,E57,F57,G57,I57,C57,Discounting,PillarDate,,Permanent,Trigger,ObjectOverwrite)</f>
        <v>#NAME?</v>
      </c>
      <c r="L57" s="894" t="str">
        <f t="shared" si="11"/>
        <v>BasSw</v>
      </c>
      <c r="M57" s="890" t="e">
        <f t="shared" ca="1" si="12"/>
        <v>#NAME?</v>
      </c>
      <c r="N57" s="893" t="str">
        <f ca="1">IFERROR(_xll.qlRateHelperQuoteName(M57,Trigger),"--")</f>
        <v>--</v>
      </c>
      <c r="O57" s="892" t="str">
        <f ca="1">IFERROR(_xll.qlRateHelperQuoteValue($M57,Trigger),"--")</f>
        <v>--</v>
      </c>
      <c r="P57" s="891" t="b">
        <v>1</v>
      </c>
      <c r="Q57" s="890">
        <v>40</v>
      </c>
      <c r="R57" s="890">
        <v>1</v>
      </c>
      <c r="S57" s="889" t="str">
        <f ca="1">IFERROR(_xll.qlRateHelperEarliestDate(M57,Trigger),"--")</f>
        <v>--</v>
      </c>
      <c r="T57" s="889" t="str">
        <f ca="1">IFERROR(_xll.qlRateHelperPillarDate(M57,Trigger),"--")</f>
        <v>--</v>
      </c>
      <c r="V57" s="4" t="str">
        <f t="shared" ca="1" si="10"/>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382</v>
      </c>
      <c r="B58" s="875" t="s">
        <v>47</v>
      </c>
      <c r="C58" s="874" t="s">
        <v>324</v>
      </c>
      <c r="D58" s="874" t="s">
        <v>323</v>
      </c>
      <c r="E58" s="874" t="s">
        <v>322</v>
      </c>
      <c r="F58" s="874" t="s">
        <v>221</v>
      </c>
      <c r="G58" s="874" t="str">
        <f t="shared" si="13"/>
        <v>Euribor1Y</v>
      </c>
      <c r="H58" s="873" t="str">
        <f t="shared" si="14"/>
        <v>EURAB12EBASIS9Y_Quote</v>
      </c>
      <c r="I58" s="876">
        <v>0</v>
      </c>
      <c r="J58" s="43" t="e">
        <f ca="1">_xll.qlSwapRateHelper2(,H58,2,B58,Calendar,D58,E58,F58,G58,I58,C58,Discounting,PillarDate,,Permanent,Trigger,ObjectOverwrite)</f>
        <v>#NAME?</v>
      </c>
      <c r="L58" s="894" t="str">
        <f t="shared" si="11"/>
        <v>BasSw</v>
      </c>
      <c r="M58" s="890" t="str">
        <f t="shared" si="12"/>
        <v>--</v>
      </c>
      <c r="N58" s="893" t="str">
        <f ca="1">IFERROR(_xll.qlRateHelperQuoteName(M58,Trigger),"--")</f>
        <v>--</v>
      </c>
      <c r="O58" s="892" t="str">
        <f ca="1">IFERROR(_xll.qlRateHelperQuoteValue($M58,Trigger),"--")</f>
        <v>--</v>
      </c>
      <c r="P58" s="891" t="b">
        <v>0</v>
      </c>
      <c r="Q58" s="890">
        <v>40</v>
      </c>
      <c r="R58" s="890">
        <v>1</v>
      </c>
      <c r="S58" s="889" t="str">
        <f ca="1">IFERROR(_xll.qlRateHelperEarliestDate(M58,Trigger),"--")</f>
        <v>--</v>
      </c>
      <c r="T58" s="889" t="str">
        <f ca="1">IFERROR(_xll.qlRateHelperPillarDate(M58,Trigger),"--")</f>
        <v>--</v>
      </c>
      <c r="V58" s="4" t="str">
        <f t="shared" ca="1" si="10"/>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382</v>
      </c>
      <c r="B59" s="875" t="s">
        <v>46</v>
      </c>
      <c r="C59" s="874" t="s">
        <v>324</v>
      </c>
      <c r="D59" s="874" t="s">
        <v>323</v>
      </c>
      <c r="E59" s="874" t="s">
        <v>322</v>
      </c>
      <c r="F59" s="874" t="s">
        <v>221</v>
      </c>
      <c r="G59" s="874" t="str">
        <f t="shared" si="13"/>
        <v>Euribor1Y</v>
      </c>
      <c r="H59" s="873" t="str">
        <f t="shared" si="14"/>
        <v>EURAB12EBASIS10Y_Quote</v>
      </c>
      <c r="I59" s="876">
        <v>0</v>
      </c>
      <c r="J59" s="43" t="e">
        <f ca="1">_xll.qlSwapRateHelper2(,H59,2,B59,Calendar,D59,E59,F59,G59,I59,C59,Discounting,PillarDate,,Permanent,Trigger,ObjectOverwrite)</f>
        <v>#NAME?</v>
      </c>
      <c r="L59" s="894" t="str">
        <f t="shared" si="11"/>
        <v>BasSw</v>
      </c>
      <c r="M59" s="890" t="str">
        <f t="shared" si="12"/>
        <v>--</v>
      </c>
      <c r="N59" s="893" t="str">
        <f ca="1">IFERROR(_xll.qlRateHelperQuoteName(M59,Trigger),"--")</f>
        <v>--</v>
      </c>
      <c r="O59" s="892" t="str">
        <f ca="1">IFERROR(_xll.qlRateHelperQuoteValue($M59,Trigger),"--")</f>
        <v>--</v>
      </c>
      <c r="P59" s="891" t="b">
        <v>0</v>
      </c>
      <c r="Q59" s="890">
        <v>40</v>
      </c>
      <c r="R59" s="890">
        <v>1</v>
      </c>
      <c r="S59" s="889" t="str">
        <f ca="1">IFERROR(_xll.qlRateHelperEarliestDate(M59,Trigger),"--")</f>
        <v>--</v>
      </c>
      <c r="T59" s="889" t="str">
        <f ca="1">IFERROR(_xll.qlRateHelperPillarDate(M59,Trigger),"--")</f>
        <v>--</v>
      </c>
      <c r="V59" s="4" t="str">
        <f t="shared" ca="1" si="10"/>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382</v>
      </c>
      <c r="B60" s="875" t="s">
        <v>45</v>
      </c>
      <c r="C60" s="874" t="s">
        <v>324</v>
      </c>
      <c r="D60" s="874" t="s">
        <v>323</v>
      </c>
      <c r="E60" s="874" t="s">
        <v>322</v>
      </c>
      <c r="F60" s="874" t="s">
        <v>221</v>
      </c>
      <c r="G60" s="874" t="str">
        <f t="shared" si="13"/>
        <v>Euribor1Y</v>
      </c>
      <c r="H60" s="873" t="str">
        <f t="shared" si="14"/>
        <v>EURAB12EBASIS11Y_Quote</v>
      </c>
      <c r="I60" s="876">
        <v>0</v>
      </c>
      <c r="J60" s="43"/>
      <c r="L60" s="894" t="str">
        <f t="shared" si="11"/>
        <v>BasSw</v>
      </c>
      <c r="M60" s="890" t="e">
        <f t="shared" ca="1" si="12"/>
        <v>#NAME?</v>
      </c>
      <c r="N60" s="893" t="str">
        <f ca="1">IFERROR(_xll.qlRateHelperQuoteName(M60,Trigger),"--")</f>
        <v>--</v>
      </c>
      <c r="O60" s="892" t="str">
        <f ca="1">IFERROR(_xll.qlRateHelperQuoteValue($M60,Trigger),"--")</f>
        <v>--</v>
      </c>
      <c r="P60" s="891" t="b">
        <v>1</v>
      </c>
      <c r="Q60" s="890">
        <v>40</v>
      </c>
      <c r="R60" s="890">
        <v>1</v>
      </c>
      <c r="S60" s="889" t="str">
        <f ca="1">IFERROR(_xll.qlRateHelperEarliestDate(M60,Trigger),"--")</f>
        <v>--</v>
      </c>
      <c r="T60" s="889" t="str">
        <f ca="1">IFERROR(_xll.qlRateHelperPillarDate(M60,Trigger),"--")</f>
        <v>--</v>
      </c>
      <c r="V60" s="4" t="str">
        <f t="shared" ca="1" si="10"/>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382</v>
      </c>
      <c r="B61" s="875" t="s">
        <v>44</v>
      </c>
      <c r="C61" s="874" t="s">
        <v>324</v>
      </c>
      <c r="D61" s="874" t="s">
        <v>323</v>
      </c>
      <c r="E61" s="874" t="s">
        <v>322</v>
      </c>
      <c r="F61" s="874" t="s">
        <v>221</v>
      </c>
      <c r="G61" s="874" t="str">
        <f t="shared" si="13"/>
        <v>Euribor1Y</v>
      </c>
      <c r="H61" s="873" t="str">
        <f t="shared" si="14"/>
        <v>EURAB12EBASIS12Y_Quote</v>
      </c>
      <c r="I61" s="876">
        <v>0</v>
      </c>
      <c r="J61" s="43" t="e">
        <f ca="1">_xll.qlSwapRateHelper2(,H61,2,B61,Calendar,D61,E61,F61,G61,I61,C61,Discounting,PillarDate,,Permanent,Trigger,ObjectOverwrite)</f>
        <v>#NAME?</v>
      </c>
      <c r="L61" s="894" t="str">
        <f t="shared" si="11"/>
        <v>BasSw</v>
      </c>
      <c r="M61" s="890" t="str">
        <f t="shared" si="12"/>
        <v>--</v>
      </c>
      <c r="N61" s="893" t="str">
        <f ca="1">IFERROR(_xll.qlRateHelperQuoteName(M61,Trigger),"--")</f>
        <v>--</v>
      </c>
      <c r="O61" s="892" t="str">
        <f ca="1">IFERROR(_xll.qlRateHelperQuoteValue($M61,Trigger),"--")</f>
        <v>--</v>
      </c>
      <c r="P61" s="891" t="b">
        <v>0</v>
      </c>
      <c r="Q61" s="890">
        <v>40</v>
      </c>
      <c r="R61" s="890">
        <v>1</v>
      </c>
      <c r="S61" s="889" t="str">
        <f ca="1">IFERROR(_xll.qlRateHelperEarliestDate(M61,Trigger),"--")</f>
        <v>--</v>
      </c>
      <c r="T61" s="889" t="str">
        <f ca="1">IFERROR(_xll.qlRateHelperPillarDate(M61,Trigger),"--")</f>
        <v>--</v>
      </c>
      <c r="V61" s="4" t="str">
        <f t="shared" ca="1" si="10"/>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43</v>
      </c>
      <c r="C62" s="874" t="s">
        <v>324</v>
      </c>
      <c r="D62" s="874" t="s">
        <v>323</v>
      </c>
      <c r="E62" s="874" t="s">
        <v>322</v>
      </c>
      <c r="F62" s="874" t="s">
        <v>221</v>
      </c>
      <c r="G62" s="874" t="str">
        <f t="shared" si="13"/>
        <v>Euribor1Y</v>
      </c>
      <c r="H62" s="873" t="str">
        <f t="shared" si="14"/>
        <v>EURAB12EBASIS13Y_Quote</v>
      </c>
      <c r="I62" s="876">
        <v>0</v>
      </c>
      <c r="J62" s="43"/>
      <c r="L62" s="894" t="str">
        <f t="shared" si="11"/>
        <v>BasSw</v>
      </c>
      <c r="M62" s="890" t="str">
        <f t="shared" si="12"/>
        <v>--</v>
      </c>
      <c r="N62" s="893" t="str">
        <f ca="1">IFERROR(_xll.qlRateHelperQuoteName(M62,Trigger),"--")</f>
        <v>--</v>
      </c>
      <c r="O62" s="892" t="str">
        <f ca="1">IFERROR(_xll.qlRateHelperQuoteValue($M62,Trigger),"--")</f>
        <v>--</v>
      </c>
      <c r="P62" s="891" t="b">
        <v>0</v>
      </c>
      <c r="Q62" s="890">
        <v>40</v>
      </c>
      <c r="R62" s="890">
        <v>1</v>
      </c>
      <c r="S62" s="889" t="str">
        <f ca="1">IFERROR(_xll.qlRateHelperEarliestDate(M62,Trigger),"--")</f>
        <v>--</v>
      </c>
      <c r="T62" s="889" t="str">
        <f ca="1">IFERROR(_xll.qlRateHelperPillarDate(M62,Trigger),"--")</f>
        <v>--</v>
      </c>
      <c r="V62" s="4" t="str">
        <f t="shared" ca="1" si="10"/>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42</v>
      </c>
      <c r="C63" s="874" t="s">
        <v>324</v>
      </c>
      <c r="D63" s="874" t="s">
        <v>323</v>
      </c>
      <c r="E63" s="874" t="s">
        <v>322</v>
      </c>
      <c r="F63" s="874" t="s">
        <v>221</v>
      </c>
      <c r="G63" s="874" t="str">
        <f t="shared" si="13"/>
        <v>Euribor1Y</v>
      </c>
      <c r="H63" s="873" t="str">
        <f t="shared" si="14"/>
        <v>EURAB12EBASIS14Y_Quote</v>
      </c>
      <c r="I63" s="876">
        <v>0</v>
      </c>
      <c r="J63" s="43"/>
      <c r="L63" s="894" t="str">
        <f t="shared" si="11"/>
        <v>BasSw</v>
      </c>
      <c r="M63" s="890" t="str">
        <f t="shared" si="12"/>
        <v>--</v>
      </c>
      <c r="N63" s="893" t="str">
        <f ca="1">IFERROR(_xll.qlRateHelperQuoteName(M63,Trigger),"--")</f>
        <v>--</v>
      </c>
      <c r="O63" s="892" t="str">
        <f ca="1">IFERROR(_xll.qlRateHelperQuoteValue($M63,Trigger),"--")</f>
        <v>--</v>
      </c>
      <c r="P63" s="891" t="b">
        <v>0</v>
      </c>
      <c r="Q63" s="890">
        <v>40</v>
      </c>
      <c r="R63" s="890">
        <v>1</v>
      </c>
      <c r="S63" s="889" t="str">
        <f ca="1">IFERROR(_xll.qlRateHelperEarliestDate(M63,Trigger),"--")</f>
        <v>--</v>
      </c>
      <c r="T63" s="889" t="str">
        <f ca="1">IFERROR(_xll.qlRateHelperPillarDate(M63,Trigger),"--")</f>
        <v>--</v>
      </c>
      <c r="V63" s="4" t="str">
        <f t="shared" ca="1" si="10"/>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41</v>
      </c>
      <c r="C64" s="874" t="s">
        <v>324</v>
      </c>
      <c r="D64" s="874" t="s">
        <v>323</v>
      </c>
      <c r="E64" s="874" t="s">
        <v>322</v>
      </c>
      <c r="F64" s="874" t="s">
        <v>221</v>
      </c>
      <c r="G64" s="874" t="str">
        <f t="shared" si="13"/>
        <v>Euribor1Y</v>
      </c>
      <c r="H64" s="873" t="str">
        <f t="shared" si="14"/>
        <v>EURAB12EBASIS15Y_Quote</v>
      </c>
      <c r="I64" s="876">
        <v>0</v>
      </c>
      <c r="J64" s="43" t="e">
        <f ca="1">_xll.qlSwapRateHelper2(,H64,2,B64,Calendar,D64,E64,F64,G64,I64,C64,Discounting,PillarDate,,Permanent,Trigger,ObjectOverwrite)</f>
        <v>#NAME?</v>
      </c>
      <c r="L64" s="894" t="str">
        <f t="shared" si="11"/>
        <v>BasSw</v>
      </c>
      <c r="M64" s="890" t="str">
        <f t="shared" si="12"/>
        <v>--</v>
      </c>
      <c r="N64" s="893" t="str">
        <f ca="1">IFERROR(_xll.qlRateHelperQuoteName(M64,Trigger),"--")</f>
        <v>--</v>
      </c>
      <c r="O64" s="892" t="str">
        <f ca="1">IFERROR(_xll.qlRateHelperQuoteValue($M64,Trigger),"--")</f>
        <v>--</v>
      </c>
      <c r="P64" s="891" t="b">
        <v>0</v>
      </c>
      <c r="Q64" s="890">
        <v>40</v>
      </c>
      <c r="R64" s="890">
        <v>1</v>
      </c>
      <c r="S64" s="889" t="str">
        <f ca="1">IFERROR(_xll.qlRateHelperEarliestDate(M64,Trigger),"--")</f>
        <v>--</v>
      </c>
      <c r="T64" s="889" t="str">
        <f ca="1">IFERROR(_xll.qlRateHelperPillarDate(M64,Trigger),"--")</f>
        <v>--</v>
      </c>
      <c r="V64" s="4" t="str">
        <f t="shared" ca="1" si="10"/>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40</v>
      </c>
      <c r="C65" s="874" t="s">
        <v>324</v>
      </c>
      <c r="D65" s="874" t="s">
        <v>323</v>
      </c>
      <c r="E65" s="874" t="s">
        <v>322</v>
      </c>
      <c r="F65" s="874" t="s">
        <v>221</v>
      </c>
      <c r="G65" s="874" t="str">
        <f t="shared" si="13"/>
        <v>Euribor1Y</v>
      </c>
      <c r="H65" s="873" t="str">
        <f t="shared" si="14"/>
        <v>EURAB12EBASIS16Y_Quote</v>
      </c>
      <c r="I65" s="876">
        <v>0</v>
      </c>
      <c r="J65" s="43"/>
      <c r="L65" s="894" t="str">
        <f t="shared" si="11"/>
        <v>BasSw</v>
      </c>
      <c r="M65" s="890" t="e">
        <f t="shared" ca="1" si="12"/>
        <v>#NAME?</v>
      </c>
      <c r="N65" s="893" t="str">
        <f ca="1">IFERROR(_xll.qlRateHelperQuoteName(M65,Trigger),"--")</f>
        <v>--</v>
      </c>
      <c r="O65" s="892" t="str">
        <f ca="1">IFERROR(_xll.qlRateHelperQuoteValue($M65,Trigger),"--")</f>
        <v>--</v>
      </c>
      <c r="P65" s="891" t="b">
        <v>1</v>
      </c>
      <c r="Q65" s="890">
        <v>40</v>
      </c>
      <c r="R65" s="890">
        <v>1</v>
      </c>
      <c r="S65" s="889" t="str">
        <f ca="1">IFERROR(_xll.qlRateHelperEarliestDate(M65,Trigger),"--")</f>
        <v>--</v>
      </c>
      <c r="T65" s="889" t="str">
        <f ca="1">IFERROR(_xll.qlRateHelperPillarDate(M65,Trigger),"--")</f>
        <v>--</v>
      </c>
      <c r="V65" s="4" t="str">
        <f t="shared" ca="1" si="10"/>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39</v>
      </c>
      <c r="C66" s="874" t="s">
        <v>324</v>
      </c>
      <c r="D66" s="874" t="s">
        <v>323</v>
      </c>
      <c r="E66" s="874" t="s">
        <v>322</v>
      </c>
      <c r="F66" s="874" t="s">
        <v>221</v>
      </c>
      <c r="G66" s="874" t="str">
        <f t="shared" si="13"/>
        <v>Euribor1Y</v>
      </c>
      <c r="H66" s="873" t="str">
        <f t="shared" si="14"/>
        <v>EURAB12EBASIS17Y_Quote</v>
      </c>
      <c r="I66" s="876">
        <v>0</v>
      </c>
      <c r="J66" s="43"/>
      <c r="L66" s="894" t="str">
        <f t="shared" si="11"/>
        <v>BasSw</v>
      </c>
      <c r="M66" s="890" t="str">
        <f t="shared" si="12"/>
        <v>--</v>
      </c>
      <c r="N66" s="893" t="str">
        <f ca="1">IFERROR(_xll.qlRateHelperQuoteName(M66,Trigger),"--")</f>
        <v>--</v>
      </c>
      <c r="O66" s="892" t="str">
        <f ca="1">IFERROR(_xll.qlRateHelperQuoteValue($M66,Trigger),"--")</f>
        <v>--</v>
      </c>
      <c r="P66" s="891" t="b">
        <v>0</v>
      </c>
      <c r="Q66" s="890">
        <v>40</v>
      </c>
      <c r="R66" s="890">
        <v>1</v>
      </c>
      <c r="S66" s="889" t="str">
        <f ca="1">IFERROR(_xll.qlRateHelperEarliestDate(M66,Trigger),"--")</f>
        <v>--</v>
      </c>
      <c r="T66" s="889" t="str">
        <f ca="1">IFERROR(_xll.qlRateHelperPillarDate(M66,Trigger),"--")</f>
        <v>--</v>
      </c>
      <c r="V66" s="4" t="str">
        <f t="shared" ca="1" si="10"/>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38</v>
      </c>
      <c r="C67" s="874" t="s">
        <v>324</v>
      </c>
      <c r="D67" s="874" t="s">
        <v>323</v>
      </c>
      <c r="E67" s="874" t="s">
        <v>322</v>
      </c>
      <c r="F67" s="874" t="s">
        <v>221</v>
      </c>
      <c r="G67" s="874" t="str">
        <f t="shared" si="13"/>
        <v>Euribor1Y</v>
      </c>
      <c r="H67" s="873" t="str">
        <f t="shared" si="14"/>
        <v>EURAB12EBASIS18Y_Quote</v>
      </c>
      <c r="I67" s="876">
        <v>0</v>
      </c>
      <c r="J67" s="43"/>
      <c r="L67" s="894" t="str">
        <f t="shared" si="11"/>
        <v>BasSw</v>
      </c>
      <c r="M67" s="890" t="str">
        <f t="shared" si="12"/>
        <v>--</v>
      </c>
      <c r="N67" s="893" t="str">
        <f ca="1">IFERROR(_xll.qlRateHelperQuoteName(M67,Trigger),"--")</f>
        <v>--</v>
      </c>
      <c r="O67" s="892" t="str">
        <f ca="1">IFERROR(_xll.qlRateHelperQuoteValue($M67,Trigger),"--")</f>
        <v>--</v>
      </c>
      <c r="P67" s="891" t="b">
        <v>0</v>
      </c>
      <c r="Q67" s="890">
        <v>40</v>
      </c>
      <c r="R67" s="890">
        <v>1</v>
      </c>
      <c r="S67" s="889" t="str">
        <f ca="1">IFERROR(_xll.qlRateHelperEarliestDate(M67,Trigger),"--")</f>
        <v>--</v>
      </c>
      <c r="T67" s="889" t="str">
        <f ca="1">IFERROR(_xll.qlRateHelperPillarDate(M67,Trigger),"--")</f>
        <v>--</v>
      </c>
      <c r="V67" s="4" t="str">
        <f t="shared" ref="V67:V79" ca="1" si="15">IFERROR(INDEX($L$3:$L$79,MATCH(X67,$N$3:$N$79,0),1),"")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37</v>
      </c>
      <c r="C68" s="874" t="s">
        <v>324</v>
      </c>
      <c r="D68" s="874" t="s">
        <v>323</v>
      </c>
      <c r="E68" s="874" t="s">
        <v>322</v>
      </c>
      <c r="F68" s="874" t="s">
        <v>221</v>
      </c>
      <c r="G68" s="874" t="str">
        <f t="shared" si="13"/>
        <v>Euribor1Y</v>
      </c>
      <c r="H68" s="873" t="str">
        <f t="shared" si="14"/>
        <v>EURAB12EBASIS19Y_Quote</v>
      </c>
      <c r="I68" s="876">
        <v>0</v>
      </c>
      <c r="J68" s="43"/>
      <c r="L68" s="894" t="str">
        <f t="shared" si="11"/>
        <v>BasSw</v>
      </c>
      <c r="M68" s="890" t="str">
        <f t="shared" si="12"/>
        <v>--</v>
      </c>
      <c r="N68" s="893" t="str">
        <f ca="1">IFERROR(_xll.qlRateHelperQuoteName(M68,Trigger),"--")</f>
        <v>--</v>
      </c>
      <c r="O68" s="892" t="str">
        <f ca="1">IFERROR(_xll.qlRateHelperQuoteValue($M68,Trigger),"--")</f>
        <v>--</v>
      </c>
      <c r="P68" s="891" t="b">
        <v>0</v>
      </c>
      <c r="Q68" s="890">
        <v>40</v>
      </c>
      <c r="R68" s="890">
        <v>1</v>
      </c>
      <c r="S68" s="889" t="str">
        <f ca="1">IFERROR(_xll.qlRateHelperEarliestDate(M68,Trigger),"--")</f>
        <v>--</v>
      </c>
      <c r="T68" s="889" t="str">
        <f ca="1">IFERROR(_xll.qlRateHelperPillarDate(M68,Trigger),"--")</f>
        <v>--</v>
      </c>
      <c r="V68" s="4" t="str">
        <f t="shared" ca="1" si="15"/>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36</v>
      </c>
      <c r="C69" s="874" t="s">
        <v>324</v>
      </c>
      <c r="D69" s="874" t="s">
        <v>323</v>
      </c>
      <c r="E69" s="874" t="s">
        <v>322</v>
      </c>
      <c r="F69" s="874" t="s">
        <v>221</v>
      </c>
      <c r="G69" s="874" t="str">
        <f t="shared" si="13"/>
        <v>Euribor1Y</v>
      </c>
      <c r="H69" s="873" t="str">
        <f t="shared" si="14"/>
        <v>EURAB12EBASIS20Y_Quote</v>
      </c>
      <c r="I69" s="876">
        <v>0</v>
      </c>
      <c r="J69" s="43" t="e">
        <f ca="1">_xll.qlSwapRateHelper2(,H69,2,B69,Calendar,D69,E69,F69,G69,I69,C69,Discounting,PillarDate,,Permanent,Trigger,ObjectOverwrite)</f>
        <v>#NAME?</v>
      </c>
      <c r="L69" s="894" t="str">
        <f t="shared" si="11"/>
        <v>BasSw</v>
      </c>
      <c r="M69" s="890" t="str">
        <f t="shared" si="12"/>
        <v>--</v>
      </c>
      <c r="N69" s="893" t="str">
        <f ca="1">IFERROR(_xll.qlRateHelperQuoteName(M69,Trigger),"--")</f>
        <v>--</v>
      </c>
      <c r="O69" s="892" t="str">
        <f ca="1">IFERROR(_xll.qlRateHelperQuoteValue($M69,Trigger),"--")</f>
        <v>--</v>
      </c>
      <c r="P69" s="891" t="b">
        <v>0</v>
      </c>
      <c r="Q69" s="890">
        <v>40</v>
      </c>
      <c r="R69" s="890">
        <v>1</v>
      </c>
      <c r="S69" s="889" t="str">
        <f ca="1">IFERROR(_xll.qlRateHelperEarliestDate(M69,Trigger),"--")</f>
        <v>--</v>
      </c>
      <c r="T69" s="889" t="str">
        <f ca="1">IFERROR(_xll.qlRateHelperPillarDate(M69,Trigger),"--")</f>
        <v>--</v>
      </c>
      <c r="V69" s="4" t="str">
        <f t="shared" ca="1" si="15"/>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35</v>
      </c>
      <c r="C70" s="874" t="s">
        <v>324</v>
      </c>
      <c r="D70" s="874" t="s">
        <v>323</v>
      </c>
      <c r="E70" s="874" t="s">
        <v>322</v>
      </c>
      <c r="F70" s="874" t="s">
        <v>221</v>
      </c>
      <c r="G70" s="874" t="str">
        <f t="shared" si="13"/>
        <v>Euribor1Y</v>
      </c>
      <c r="H70" s="873" t="str">
        <f t="shared" si="14"/>
        <v>EURAB12EBASIS21Y_Quote</v>
      </c>
      <c r="I70" s="876">
        <v>0</v>
      </c>
      <c r="J70" s="43"/>
      <c r="L70" s="894" t="str">
        <f t="shared" si="11"/>
        <v>BasSw</v>
      </c>
      <c r="M70" s="890" t="e">
        <f t="shared" ca="1" si="12"/>
        <v>#NAME?</v>
      </c>
      <c r="N70" s="893" t="str">
        <f ca="1">IFERROR(_xll.qlRateHelperQuoteName(M70,Trigger),"--")</f>
        <v>--</v>
      </c>
      <c r="O70" s="892" t="str">
        <f ca="1">IFERROR(_xll.qlRateHelperQuoteValue($M70,Trigger),"--")</f>
        <v>--</v>
      </c>
      <c r="P70" s="891" t="b">
        <v>1</v>
      </c>
      <c r="Q70" s="890">
        <v>40</v>
      </c>
      <c r="R70" s="890">
        <v>1</v>
      </c>
      <c r="S70" s="889" t="str">
        <f ca="1">IFERROR(_xll.qlRateHelperEarliestDate(M70,Trigger),"--")</f>
        <v>--</v>
      </c>
      <c r="T70" s="889" t="str">
        <f ca="1">IFERROR(_xll.qlRateHelperPillarDate(M70,Trigger),"--")</f>
        <v>--</v>
      </c>
      <c r="V70" s="4" t="str">
        <f t="shared" ca="1" si="15"/>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34</v>
      </c>
      <c r="C71" s="874" t="s">
        <v>324</v>
      </c>
      <c r="D71" s="874" t="s">
        <v>323</v>
      </c>
      <c r="E71" s="874" t="s">
        <v>322</v>
      </c>
      <c r="F71" s="874" t="s">
        <v>221</v>
      </c>
      <c r="G71" s="874" t="str">
        <f t="shared" si="13"/>
        <v>Euribor1Y</v>
      </c>
      <c r="H71" s="873" t="str">
        <f t="shared" si="14"/>
        <v>EURAB12EBASIS22Y_Quote</v>
      </c>
      <c r="I71" s="876">
        <v>0</v>
      </c>
      <c r="J71" s="43"/>
      <c r="L71" s="894" t="str">
        <f t="shared" si="11"/>
        <v>BasSw</v>
      </c>
      <c r="M71" s="890" t="str">
        <f t="shared" si="12"/>
        <v>--</v>
      </c>
      <c r="N71" s="893" t="str">
        <f ca="1">IFERROR(_xll.qlRateHelperQuoteName(M71,Trigger),"--")</f>
        <v>--</v>
      </c>
      <c r="O71" s="892" t="str">
        <f ca="1">IFERROR(_xll.qlRateHelperQuoteValue($M71,Trigger),"--")</f>
        <v>--</v>
      </c>
      <c r="P71" s="891" t="b">
        <v>0</v>
      </c>
      <c r="Q71" s="890">
        <v>40</v>
      </c>
      <c r="R71" s="890">
        <v>1</v>
      </c>
      <c r="S71" s="889" t="str">
        <f ca="1">IFERROR(_xll.qlRateHelperEarliestDate(M71,Trigger),"--")</f>
        <v>--</v>
      </c>
      <c r="T71" s="889" t="str">
        <f ca="1">IFERROR(_xll.qlRateHelperPillarDate(M71,Trigger),"--")</f>
        <v>--</v>
      </c>
      <c r="V71" s="4" t="str">
        <f t="shared" ca="1" si="15"/>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33</v>
      </c>
      <c r="C72" s="874" t="s">
        <v>324</v>
      </c>
      <c r="D72" s="874" t="s">
        <v>323</v>
      </c>
      <c r="E72" s="874" t="s">
        <v>322</v>
      </c>
      <c r="F72" s="874" t="s">
        <v>221</v>
      </c>
      <c r="G72" s="874" t="str">
        <f t="shared" si="13"/>
        <v>Euribor1Y</v>
      </c>
      <c r="H72" s="873" t="str">
        <f t="shared" si="14"/>
        <v>EURAB12EBASIS23Y_Quote</v>
      </c>
      <c r="I72" s="876">
        <v>0</v>
      </c>
      <c r="J72" s="43"/>
      <c r="L72" s="894" t="str">
        <f t="shared" si="11"/>
        <v>BasSw</v>
      </c>
      <c r="M72" s="890" t="str">
        <f t="shared" si="12"/>
        <v>--</v>
      </c>
      <c r="N72" s="893" t="str">
        <f ca="1">IFERROR(_xll.qlRateHelperQuoteName(M72,Trigger),"--")</f>
        <v>--</v>
      </c>
      <c r="O72" s="892" t="str">
        <f ca="1">IFERROR(_xll.qlRateHelperQuoteValue($M72,Trigger),"--")</f>
        <v>--</v>
      </c>
      <c r="P72" s="891" t="b">
        <v>0</v>
      </c>
      <c r="Q72" s="890">
        <v>40</v>
      </c>
      <c r="R72" s="890">
        <v>1</v>
      </c>
      <c r="S72" s="889" t="str">
        <f ca="1">IFERROR(_xll.qlRateHelperEarliestDate(M72,Trigger),"--")</f>
        <v>--</v>
      </c>
      <c r="T72" s="889" t="str">
        <f ca="1">IFERROR(_xll.qlRateHelperPillarDate(M72,Trigger),"--")</f>
        <v>--</v>
      </c>
      <c r="V72" s="4" t="str">
        <f t="shared" ca="1" si="15"/>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32</v>
      </c>
      <c r="C73" s="874" t="s">
        <v>324</v>
      </c>
      <c r="D73" s="874" t="s">
        <v>323</v>
      </c>
      <c r="E73" s="874" t="s">
        <v>322</v>
      </c>
      <c r="F73" s="874" t="s">
        <v>221</v>
      </c>
      <c r="G73" s="874" t="str">
        <f t="shared" si="13"/>
        <v>Euribor1Y</v>
      </c>
      <c r="H73" s="873" t="str">
        <f t="shared" si="14"/>
        <v>EURAB12EBASIS24Y_Quote</v>
      </c>
      <c r="I73" s="876">
        <v>0</v>
      </c>
      <c r="J73" s="43"/>
      <c r="L73" s="894" t="str">
        <f t="shared" si="11"/>
        <v>BasSw</v>
      </c>
      <c r="M73" s="890" t="str">
        <f t="shared" si="12"/>
        <v>--</v>
      </c>
      <c r="N73" s="893" t="str">
        <f ca="1">IFERROR(_xll.qlRateHelperQuoteName(M73,Trigger),"--")</f>
        <v>--</v>
      </c>
      <c r="O73" s="892" t="str">
        <f ca="1">IFERROR(_xll.qlRateHelperQuoteValue($M73,Trigger),"--")</f>
        <v>--</v>
      </c>
      <c r="P73" s="891" t="b">
        <v>0</v>
      </c>
      <c r="Q73" s="890">
        <v>40</v>
      </c>
      <c r="R73" s="890">
        <v>1</v>
      </c>
      <c r="S73" s="889" t="str">
        <f ca="1">IFERROR(_xll.qlRateHelperEarliestDate(M73,Trigger),"--")</f>
        <v>--</v>
      </c>
      <c r="T73" s="889" t="str">
        <f ca="1">IFERROR(_xll.qlRateHelperPillarDate(M73,Trigger),"--")</f>
        <v>--</v>
      </c>
      <c r="V73" s="4" t="str">
        <f t="shared" ca="1" si="15"/>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31</v>
      </c>
      <c r="C74" s="874" t="s">
        <v>324</v>
      </c>
      <c r="D74" s="874" t="s">
        <v>323</v>
      </c>
      <c r="E74" s="874" t="s">
        <v>322</v>
      </c>
      <c r="F74" s="874" t="s">
        <v>221</v>
      </c>
      <c r="G74" s="874" t="str">
        <f t="shared" si="13"/>
        <v>Euribor1Y</v>
      </c>
      <c r="H74" s="873" t="str">
        <f t="shared" si="14"/>
        <v>EURAB12EBASIS25Y_Quote</v>
      </c>
      <c r="I74" s="876">
        <v>0</v>
      </c>
      <c r="J74" s="43" t="e">
        <f ca="1">_xll.qlSwapRateHelper2(,H74,2,B74,Calendar,D74,E74,F74,G74,I74,C74,Discounting,PillarDate,,Permanent,Trigger,ObjectOverwrite)</f>
        <v>#NAME?</v>
      </c>
      <c r="L74" s="894" t="str">
        <f t="shared" si="11"/>
        <v>BasSw</v>
      </c>
      <c r="M74" s="890" t="str">
        <f t="shared" si="12"/>
        <v>--</v>
      </c>
      <c r="N74" s="893" t="str">
        <f ca="1">IFERROR(_xll.qlRateHelperQuoteName(M74,Trigger),"--")</f>
        <v>--</v>
      </c>
      <c r="O74" s="892" t="str">
        <f ca="1">IFERROR(_xll.qlRateHelperQuoteValue($M74,Trigger),"--")</f>
        <v>--</v>
      </c>
      <c r="P74" s="891" t="b">
        <v>0</v>
      </c>
      <c r="Q74" s="890">
        <v>40</v>
      </c>
      <c r="R74" s="890">
        <v>1</v>
      </c>
      <c r="S74" s="889" t="str">
        <f ca="1">IFERROR(_xll.qlRateHelperEarliestDate(M74,Trigger),"--")</f>
        <v>--</v>
      </c>
      <c r="T74" s="889" t="str">
        <f ca="1">IFERROR(_xll.qlRateHelperPillarDate(M74,Trigger),"--")</f>
        <v>--</v>
      </c>
      <c r="V74" s="4" t="str">
        <f t="shared" ca="1" si="15"/>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30</v>
      </c>
      <c r="C75" s="874" t="s">
        <v>324</v>
      </c>
      <c r="D75" s="874" t="s">
        <v>323</v>
      </c>
      <c r="E75" s="874" t="s">
        <v>322</v>
      </c>
      <c r="F75" s="874" t="s">
        <v>221</v>
      </c>
      <c r="G75" s="874" t="str">
        <f t="shared" si="13"/>
        <v>Euribor1Y</v>
      </c>
      <c r="H75" s="873" t="str">
        <f t="shared" si="14"/>
        <v>EURAB12EBASIS26Y_Quote</v>
      </c>
      <c r="I75" s="876">
        <v>0</v>
      </c>
      <c r="J75" s="43"/>
      <c r="L75" s="894" t="str">
        <f t="shared" si="11"/>
        <v>BasSw</v>
      </c>
      <c r="M75" s="890" t="e">
        <f t="shared" ca="1" si="12"/>
        <v>#NAME?</v>
      </c>
      <c r="N75" s="893" t="str">
        <f ca="1">IFERROR(_xll.qlRateHelperQuoteName(M75,Trigger),"--")</f>
        <v>--</v>
      </c>
      <c r="O75" s="892" t="str">
        <f ca="1">IFERROR(_xll.qlRateHelperQuoteValue($M75,Trigger),"--")</f>
        <v>--</v>
      </c>
      <c r="P75" s="891" t="b">
        <v>1</v>
      </c>
      <c r="Q75" s="890">
        <v>40</v>
      </c>
      <c r="R75" s="890">
        <v>1</v>
      </c>
      <c r="S75" s="889" t="str">
        <f ca="1">IFERROR(_xll.qlRateHelperEarliestDate(M75,Trigger),"--")</f>
        <v>--</v>
      </c>
      <c r="T75" s="889" t="str">
        <f ca="1">IFERROR(_xll.qlRateHelperPillarDate(M75,Trigger),"--")</f>
        <v>--</v>
      </c>
      <c r="V75" s="4" t="str">
        <f t="shared" ca="1" si="15"/>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29</v>
      </c>
      <c r="C76" s="874" t="s">
        <v>324</v>
      </c>
      <c r="D76" s="874" t="s">
        <v>323</v>
      </c>
      <c r="E76" s="874" t="s">
        <v>322</v>
      </c>
      <c r="F76" s="874" t="s">
        <v>221</v>
      </c>
      <c r="G76" s="874" t="str">
        <f t="shared" si="13"/>
        <v>Euribor1Y</v>
      </c>
      <c r="H76" s="873" t="str">
        <f t="shared" si="14"/>
        <v>EURAB12EBASIS27Y_Quote</v>
      </c>
      <c r="I76" s="876">
        <v>0</v>
      </c>
      <c r="J76" s="43"/>
      <c r="L76" s="894" t="str">
        <f t="shared" si="11"/>
        <v>BasSw</v>
      </c>
      <c r="M76" s="890" t="str">
        <f t="shared" si="12"/>
        <v>--</v>
      </c>
      <c r="N76" s="893" t="str">
        <f ca="1">IFERROR(_xll.qlRateHelperQuoteName(M76,Trigger),"--")</f>
        <v>--</v>
      </c>
      <c r="O76" s="892" t="str">
        <f ca="1">IFERROR(_xll.qlRateHelperQuoteValue($M76,Trigger),"--")</f>
        <v>--</v>
      </c>
      <c r="P76" s="891" t="b">
        <v>0</v>
      </c>
      <c r="Q76" s="890">
        <v>40</v>
      </c>
      <c r="R76" s="890">
        <v>1</v>
      </c>
      <c r="S76" s="889" t="str">
        <f ca="1">IFERROR(_xll.qlRateHelperEarliestDate(M76,Trigger),"--")</f>
        <v>--</v>
      </c>
      <c r="T76" s="889" t="str">
        <f ca="1">IFERROR(_xll.qlRateHelperPillarDate(M76,Trigger),"--")</f>
        <v>--</v>
      </c>
      <c r="V76" s="4" t="str">
        <f t="shared" ca="1" si="15"/>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28</v>
      </c>
      <c r="C77" s="874" t="s">
        <v>324</v>
      </c>
      <c r="D77" s="874" t="s">
        <v>323</v>
      </c>
      <c r="E77" s="874" t="s">
        <v>322</v>
      </c>
      <c r="F77" s="874" t="s">
        <v>221</v>
      </c>
      <c r="G77" s="874" t="str">
        <f t="shared" si="13"/>
        <v>Euribor1Y</v>
      </c>
      <c r="H77" s="873" t="str">
        <f t="shared" si="14"/>
        <v>EURAB12EBASIS28Y_Quote</v>
      </c>
      <c r="I77" s="876">
        <v>0</v>
      </c>
      <c r="J77" s="43"/>
      <c r="L77" s="894" t="str">
        <f t="shared" si="11"/>
        <v>BasSw</v>
      </c>
      <c r="M77" s="890" t="e">
        <f t="shared" ca="1" si="12"/>
        <v>#NAME?</v>
      </c>
      <c r="N77" s="893" t="str">
        <f ca="1">IFERROR(_xll.qlRateHelperQuoteName(M77,Trigger),"--")</f>
        <v>--</v>
      </c>
      <c r="O77" s="892" t="str">
        <f ca="1">IFERROR(_xll.qlRateHelperQuoteValue($M77,Trigger),"--")</f>
        <v>--</v>
      </c>
      <c r="P77" s="891" t="b">
        <v>1</v>
      </c>
      <c r="Q77" s="890">
        <v>40</v>
      </c>
      <c r="R77" s="890">
        <v>1</v>
      </c>
      <c r="S77" s="889" t="str">
        <f ca="1">IFERROR(_xll.qlRateHelperEarliestDate(M77,Trigger),"--")</f>
        <v>--</v>
      </c>
      <c r="T77" s="889" t="str">
        <f ca="1">IFERROR(_xll.qlRateHelperPillarDate(M77,Trigger),"--")</f>
        <v>--</v>
      </c>
      <c r="V77" s="4" t="str">
        <f t="shared" ca="1" si="15"/>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27</v>
      </c>
      <c r="C78" s="874" t="s">
        <v>324</v>
      </c>
      <c r="D78" s="874" t="s">
        <v>323</v>
      </c>
      <c r="E78" s="874" t="s">
        <v>322</v>
      </c>
      <c r="F78" s="874" t="s">
        <v>221</v>
      </c>
      <c r="G78" s="874" t="str">
        <f t="shared" si="13"/>
        <v>Euribor1Y</v>
      </c>
      <c r="H78" s="873" t="str">
        <f t="shared" si="14"/>
        <v>EURAB12EBASIS29Y_Quote</v>
      </c>
      <c r="I78" s="876">
        <v>0</v>
      </c>
      <c r="J78" s="43"/>
      <c r="L78" s="894" t="str">
        <f t="shared" si="11"/>
        <v>BasSw</v>
      </c>
      <c r="M78" s="890" t="e">
        <f t="shared" ca="1" si="12"/>
        <v>#NAME?</v>
      </c>
      <c r="N78" s="893" t="str">
        <f ca="1">IFERROR(_xll.qlRateHelperQuoteName(M78,Trigger),"--")</f>
        <v>--</v>
      </c>
      <c r="O78" s="892" t="str">
        <f ca="1">IFERROR(_xll.qlRateHelperQuoteValue($M78,Trigger),"--")</f>
        <v>--</v>
      </c>
      <c r="P78" s="891" t="b">
        <v>1</v>
      </c>
      <c r="Q78" s="890">
        <v>40</v>
      </c>
      <c r="R78" s="890">
        <v>1</v>
      </c>
      <c r="S78" s="889" t="str">
        <f ca="1">IFERROR(_xll.qlRateHelperEarliestDate(M78,Trigger),"--")</f>
        <v>--</v>
      </c>
      <c r="T78" s="889" t="str">
        <f ca="1">IFERROR(_xll.qlRateHelperPillarDate(M78,Trigger),"--")</f>
        <v>--</v>
      </c>
      <c r="V78" s="4" t="str">
        <f t="shared" ca="1" si="15"/>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26</v>
      </c>
      <c r="C79" s="874" t="s">
        <v>324</v>
      </c>
      <c r="D79" s="874" t="s">
        <v>323</v>
      </c>
      <c r="E79" s="874" t="s">
        <v>322</v>
      </c>
      <c r="F79" s="874" t="s">
        <v>221</v>
      </c>
      <c r="G79" s="874" t="str">
        <f t="shared" si="13"/>
        <v>Euribor1Y</v>
      </c>
      <c r="H79" s="873" t="str">
        <f t="shared" si="14"/>
        <v>EURAB12EBASIS30Y_Quote</v>
      </c>
      <c r="I79" s="876">
        <v>0</v>
      </c>
      <c r="J79" s="43" t="e">
        <f ca="1">_xll.qlSwapRateHelper2(,H79,2,B79,Calendar,D79,E79,F79,G79,I79,C79,Discounting,PillarDate,,Permanent,Trigger,ObjectOverwrite)</f>
        <v>#NAME?</v>
      </c>
      <c r="L79" s="885" t="str">
        <f t="shared" si="11"/>
        <v>BasSw</v>
      </c>
      <c r="M79" s="881" t="e">
        <f t="shared" ca="1" si="12"/>
        <v>#NAME?</v>
      </c>
      <c r="N79" s="884" t="str">
        <f ca="1">IFERROR(_xll.qlRateHelperQuoteName(M79,Trigger),"--")</f>
        <v>--</v>
      </c>
      <c r="O79" s="883" t="str">
        <f ca="1">IFERROR(_xll.qlRateHelperQuoteValue($M79,Trigger),"--")</f>
        <v>--</v>
      </c>
      <c r="P79" s="882" t="b">
        <v>1</v>
      </c>
      <c r="Q79" s="881">
        <v>40</v>
      </c>
      <c r="R79" s="881">
        <v>1</v>
      </c>
      <c r="S79" s="880" t="str">
        <f ca="1">IFERROR(_xll.qlRateHelperEarliestDate(M79,Trigger),"--")</f>
        <v>--</v>
      </c>
      <c r="T79" s="880" t="str">
        <f ca="1">IFERROR(_xll.qlRateHelperPillarDate(M79,Trigger),"--")</f>
        <v>--</v>
      </c>
      <c r="V79" s="2" t="str">
        <f t="shared" ca="1" si="15"/>
        <v/>
      </c>
      <c r="W79" s="2" t="e">
        <f ca="1"/>
        <v>#NAME?</v>
      </c>
      <c r="X79" s="2" t="str">
        <f ca="1">IFERROR(_xll.qlRateHelperQuoteName(W79,Trigger),"")</f>
        <v/>
      </c>
      <c r="Y79" s="879" t="str">
        <f ca="1">IFERROR(_xll.qlRateHelperRate(W79,Trigger),"")</f>
        <v/>
      </c>
      <c r="Z79" s="878"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7" t="e">
        <f ca="1"/>
        <v>#NAME?</v>
      </c>
    </row>
    <row r="80" spans="1:29" ht="11.25" customHeight="1" x14ac:dyDescent="0.2">
      <c r="A80" s="873" t="s">
        <v>382</v>
      </c>
      <c r="B80" s="875" t="s">
        <v>25</v>
      </c>
      <c r="C80" s="874" t="s">
        <v>324</v>
      </c>
      <c r="D80" s="874" t="s">
        <v>323</v>
      </c>
      <c r="E80" s="874" t="s">
        <v>322</v>
      </c>
      <c r="F80" s="874" t="s">
        <v>221</v>
      </c>
      <c r="G80" s="874" t="str">
        <f t="shared" si="13"/>
        <v>Euribor1Y</v>
      </c>
      <c r="H80" s="873" t="str">
        <f t="shared" si="14"/>
        <v>EURAB12EBASIS35Y_Quote</v>
      </c>
      <c r="I80" s="876">
        <v>0</v>
      </c>
      <c r="J80" s="43"/>
    </row>
    <row r="81" spans="1:11" x14ac:dyDescent="0.2">
      <c r="A81" s="873" t="s">
        <v>382</v>
      </c>
      <c r="B81" s="875" t="s">
        <v>24</v>
      </c>
      <c r="C81" s="874" t="s">
        <v>324</v>
      </c>
      <c r="D81" s="874" t="s">
        <v>323</v>
      </c>
      <c r="E81" s="874" t="s">
        <v>322</v>
      </c>
      <c r="F81" s="874" t="s">
        <v>221</v>
      </c>
      <c r="G81" s="874" t="str">
        <f t="shared" si="13"/>
        <v>Euribor1Y</v>
      </c>
      <c r="H81" s="873" t="str">
        <f t="shared" si="14"/>
        <v>EURAB12EBASIS40Y_Quote</v>
      </c>
      <c r="I81" s="872">
        <v>0</v>
      </c>
      <c r="J81" s="43" t="e">
        <f ca="1">_xll.qlSwapRateHelper2(,H81,2,B81,Calendar,D81,E81,F81,G81,I81,C81,Discounting,PillarDate,,Permanent,Trigger,ObjectOverwrite)</f>
        <v>#NAME?</v>
      </c>
    </row>
    <row r="82" spans="1:11" x14ac:dyDescent="0.2">
      <c r="A82" s="873" t="s">
        <v>382</v>
      </c>
      <c r="B82" s="875" t="s">
        <v>23</v>
      </c>
      <c r="C82" s="874" t="s">
        <v>324</v>
      </c>
      <c r="D82" s="874" t="s">
        <v>323</v>
      </c>
      <c r="E82" s="874" t="s">
        <v>322</v>
      </c>
      <c r="F82" s="874" t="s">
        <v>221</v>
      </c>
      <c r="G82" s="874" t="str">
        <f t="shared" si="13"/>
        <v>Euribor1Y</v>
      </c>
      <c r="H82" s="873" t="str">
        <f t="shared" si="14"/>
        <v>EURAB12EBASIS50Y_Quote</v>
      </c>
      <c r="I82" s="872">
        <v>0</v>
      </c>
      <c r="J82" s="43" t="e">
        <f ca="1">_xll.qlSwapRateHelper2(,H82,2,B82,Calendar,D82,E82,F82,G82,I82,C82,Discounting,PillarDate,,Permanent,Trigger,ObjectOverwrite)</f>
        <v>#NAME?</v>
      </c>
    </row>
    <row r="83" spans="1:11" x14ac:dyDescent="0.2">
      <c r="A83" s="869" t="s">
        <v>382</v>
      </c>
      <c r="B83" s="871" t="s">
        <v>22</v>
      </c>
      <c r="C83" s="870" t="s">
        <v>324</v>
      </c>
      <c r="D83" s="870" t="s">
        <v>323</v>
      </c>
      <c r="E83" s="870" t="s">
        <v>322</v>
      </c>
      <c r="F83" s="870" t="s">
        <v>221</v>
      </c>
      <c r="G83" s="870" t="str">
        <f t="shared" si="13"/>
        <v>Euribor1Y</v>
      </c>
      <c r="H83" s="869" t="str">
        <f t="shared" si="14"/>
        <v>EURAB12EBASIS60Y_Quote</v>
      </c>
      <c r="I83" s="868">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3" customWidth="1"/>
    <col min="3" max="3" width="23.5703125" style="493" bestFit="1" customWidth="1"/>
    <col min="4" max="4" width="30.7109375" style="493" customWidth="1"/>
    <col min="5" max="7" width="2.42578125" style="493" customWidth="1"/>
    <col min="8" max="8" width="23.5703125" style="493" bestFit="1" customWidth="1"/>
    <col min="9" max="9" width="33.7109375" style="493" bestFit="1" customWidth="1"/>
    <col min="10" max="10" width="2.42578125" style="493" customWidth="1"/>
    <col min="11" max="16384" width="9.140625" style="493"/>
  </cols>
  <sheetData>
    <row r="1" spans="1:34" x14ac:dyDescent="0.2">
      <c r="B1" s="493" t="e">
        <f ca="1">_xll.qlxlVersion(TRUE,EvaluationDate)</f>
        <v>#NAME?</v>
      </c>
    </row>
    <row r="2" spans="1:34" ht="19.5" thickBot="1" x14ac:dyDescent="0.25">
      <c r="B2" s="529" t="s">
        <v>232</v>
      </c>
      <c r="C2" s="846"/>
      <c r="D2" s="846"/>
      <c r="E2" s="845"/>
      <c r="G2" s="529" t="s">
        <v>241</v>
      </c>
      <c r="H2" s="846"/>
      <c r="I2" s="846"/>
      <c r="J2" s="845"/>
    </row>
    <row r="3" spans="1:34" ht="11.25" customHeight="1" x14ac:dyDescent="0.25">
      <c r="B3" s="500"/>
      <c r="C3" s="514"/>
      <c r="D3" s="514"/>
      <c r="E3" s="497"/>
      <c r="G3" s="864"/>
      <c r="H3" s="863"/>
      <c r="I3" s="863"/>
      <c r="J3" s="862"/>
      <c r="L3" s="1360" t="s">
        <v>529</v>
      </c>
      <c r="M3" s="1363" t="e">
        <f ca="1">_xll.ohTrigger('General Settings_2'!Trigger2)</f>
        <v>#NAME?</v>
      </c>
    </row>
    <row r="4" spans="1:34" ht="15.75" thickBot="1" x14ac:dyDescent="0.3">
      <c r="B4" s="500"/>
      <c r="C4" s="861" t="s">
        <v>231</v>
      </c>
      <c r="D4" s="844" t="s">
        <v>230</v>
      </c>
      <c r="E4" s="497"/>
      <c r="G4" s="856"/>
      <c r="H4" s="504" t="s">
        <v>239</v>
      </c>
      <c r="I4" s="860">
        <v>42357.886377314811</v>
      </c>
      <c r="J4" s="690"/>
      <c r="L4" s="1361" t="s">
        <v>530</v>
      </c>
      <c r="M4" s="1364" t="e">
        <f ca="1">_xll.ohTrigger('1MSynthDepo'!Trigger2,'3MSynthDepo'!Trigger2,'6MSynthDepo'!Trigger2,'12MSynthDepo'!Trigger2,Contribution_2!Trigger2,'Delta 1M'!Trigger2,'Delta 3M'!Trigger2,'Delta 6M '!Trigger2,'Delta 12M'!Trigger2,D31)</f>
        <v>#NAME?</v>
      </c>
    </row>
    <row r="5" spans="1:34" s="492" customFormat="1" x14ac:dyDescent="0.2">
      <c r="A5" s="493"/>
      <c r="B5" s="500"/>
      <c r="C5" s="546" t="s">
        <v>216</v>
      </c>
      <c r="D5" s="858" t="s">
        <v>215</v>
      </c>
      <c r="E5" s="497"/>
      <c r="F5" s="493"/>
      <c r="G5" s="856"/>
      <c r="H5" s="546" t="s">
        <v>307</v>
      </c>
      <c r="I5" s="859" t="e">
        <f ca="1">_xll.qlSettingsEvaluationDate(Trigger)</f>
        <v>#NAME?</v>
      </c>
      <c r="J5" s="690"/>
      <c r="K5" s="493"/>
      <c r="L5" s="493"/>
      <c r="M5" s="493"/>
      <c r="N5" s="493"/>
      <c r="O5" s="493"/>
      <c r="P5" s="493"/>
      <c r="Q5" s="493"/>
      <c r="R5" s="493"/>
      <c r="S5" s="493"/>
      <c r="T5" s="493"/>
      <c r="U5" s="493"/>
      <c r="V5" s="493"/>
      <c r="W5" s="493"/>
      <c r="X5" s="493"/>
      <c r="Y5" s="493"/>
      <c r="Z5" s="493"/>
      <c r="AA5" s="493"/>
      <c r="AB5" s="493"/>
      <c r="AC5" s="493"/>
      <c r="AD5" s="493"/>
      <c r="AE5" s="493"/>
      <c r="AF5" s="493"/>
      <c r="AG5" s="493"/>
      <c r="AH5" s="493"/>
    </row>
    <row r="6" spans="1:34" s="492" customFormat="1" x14ac:dyDescent="0.2">
      <c r="A6" s="493"/>
      <c r="B6" s="500"/>
      <c r="C6" s="546" t="s">
        <v>306</v>
      </c>
      <c r="D6" s="858" t="str">
        <f>IF(UPPER(Currency)&lt;&gt;"EUR","L","")&amp;"ibor"</f>
        <v>ibor</v>
      </c>
      <c r="E6" s="497"/>
      <c r="F6" s="493"/>
      <c r="G6" s="856"/>
      <c r="H6" s="546" t="s">
        <v>300</v>
      </c>
      <c r="I6" s="857" t="e">
        <v>#REF!</v>
      </c>
      <c r="J6" s="690"/>
      <c r="K6" s="493"/>
      <c r="L6" s="493"/>
      <c r="M6" s="493"/>
      <c r="N6" s="493"/>
      <c r="O6" s="493"/>
      <c r="P6" s="493"/>
      <c r="Q6" s="493"/>
      <c r="R6" s="493"/>
      <c r="S6" s="493"/>
      <c r="T6" s="493"/>
      <c r="U6" s="493"/>
      <c r="V6" s="493"/>
      <c r="W6" s="493"/>
      <c r="X6" s="493"/>
      <c r="Y6" s="493"/>
      <c r="Z6" s="493"/>
      <c r="AA6" s="493"/>
      <c r="AB6" s="493"/>
      <c r="AC6" s="493"/>
      <c r="AD6" s="493"/>
      <c r="AE6" s="493"/>
      <c r="AF6" s="493"/>
      <c r="AG6" s="493"/>
      <c r="AH6" s="493"/>
    </row>
    <row r="7" spans="1:34" x14ac:dyDescent="0.2">
      <c r="B7" s="500"/>
      <c r="C7" s="546" t="s">
        <v>304</v>
      </c>
      <c r="D7" s="837" t="s">
        <v>303</v>
      </c>
      <c r="E7" s="497"/>
      <c r="G7" s="856"/>
      <c r="H7" s="546" t="s">
        <v>234</v>
      </c>
      <c r="I7" s="857" t="e">
        <v>#REF!</v>
      </c>
      <c r="J7" s="690"/>
    </row>
    <row r="8" spans="1:34" x14ac:dyDescent="0.2">
      <c r="B8" s="500"/>
      <c r="C8" s="546" t="s">
        <v>228</v>
      </c>
      <c r="D8" s="837" t="s">
        <v>381</v>
      </c>
      <c r="E8" s="497"/>
      <c r="G8" s="856"/>
      <c r="H8" s="542" t="s">
        <v>235</v>
      </c>
      <c r="I8" s="855" t="e">
        <f ca="1">_xll.ohTrigger(Contribution_2!U2,Contribution_2!U8,Contribution_2!U15,Contribution_2!U25)</f>
        <v>#NAME?</v>
      </c>
      <c r="J8" s="690"/>
    </row>
    <row r="9" spans="1:34" x14ac:dyDescent="0.2">
      <c r="B9" s="500"/>
      <c r="C9" s="546" t="s">
        <v>380</v>
      </c>
      <c r="D9" s="837" t="s">
        <v>295</v>
      </c>
      <c r="E9" s="497"/>
      <c r="G9" s="854"/>
      <c r="H9" s="674"/>
      <c r="I9" s="674"/>
      <c r="J9" s="673"/>
    </row>
    <row r="10" spans="1:34" x14ac:dyDescent="0.2">
      <c r="B10" s="500"/>
      <c r="C10" s="546" t="s">
        <v>305</v>
      </c>
      <c r="D10" s="837" t="e">
        <f ca="1">_xll.qlCalendarAdvance(Calendar,EvaluationDate,"2D","f")</f>
        <v>#NAME?</v>
      </c>
      <c r="E10" s="497"/>
    </row>
    <row r="11" spans="1:34" x14ac:dyDescent="0.2">
      <c r="B11" s="500"/>
      <c r="C11" s="546" t="s">
        <v>229</v>
      </c>
      <c r="D11" s="837" t="b">
        <v>1</v>
      </c>
      <c r="E11" s="497"/>
    </row>
    <row r="12" spans="1:34" x14ac:dyDescent="0.2">
      <c r="B12" s="500"/>
      <c r="C12" s="546" t="s">
        <v>227</v>
      </c>
      <c r="D12" s="837" t="b">
        <v>1</v>
      </c>
      <c r="E12" s="497"/>
    </row>
    <row r="13" spans="1:34" x14ac:dyDescent="0.2">
      <c r="B13" s="500"/>
      <c r="C13" s="546" t="s">
        <v>224</v>
      </c>
      <c r="D13" s="837" t="s">
        <v>223</v>
      </c>
      <c r="E13" s="497"/>
    </row>
    <row r="14" spans="1:34" x14ac:dyDescent="0.2">
      <c r="B14" s="500"/>
      <c r="C14" s="546" t="s">
        <v>220</v>
      </c>
      <c r="D14" s="853">
        <v>1E-4</v>
      </c>
      <c r="E14" s="497"/>
    </row>
    <row r="15" spans="1:34" x14ac:dyDescent="0.2">
      <c r="B15" s="500"/>
      <c r="C15" s="542" t="s">
        <v>217</v>
      </c>
      <c r="D15" s="852">
        <v>-0.01</v>
      </c>
      <c r="E15" s="497"/>
    </row>
    <row r="16" spans="1:34" x14ac:dyDescent="0.2">
      <c r="B16" s="828"/>
      <c r="C16" s="827"/>
      <c r="D16" s="827"/>
      <c r="E16" s="497"/>
    </row>
    <row r="17" spans="2:5" x14ac:dyDescent="0.2">
      <c r="B17" s="500"/>
      <c r="C17" s="850" t="s">
        <v>236</v>
      </c>
      <c r="D17" s="851">
        <v>42180.648159722223</v>
      </c>
      <c r="E17" s="497"/>
    </row>
    <row r="18" spans="2:5" x14ac:dyDescent="0.2">
      <c r="B18" s="500"/>
      <c r="C18" s="850" t="s">
        <v>238</v>
      </c>
      <c r="D18" s="849" t="b">
        <v>0</v>
      </c>
      <c r="E18" s="497"/>
    </row>
    <row r="19" spans="2:5" x14ac:dyDescent="0.2">
      <c r="B19" s="496"/>
      <c r="C19" s="848"/>
      <c r="D19" s="847"/>
      <c r="E19" s="494"/>
    </row>
    <row r="21" spans="2:5" ht="18.75" x14ac:dyDescent="0.2">
      <c r="B21" s="529" t="str">
        <f>D23&amp;" Curve Settings"</f>
        <v>1M Curve Settings</v>
      </c>
      <c r="C21" s="846"/>
      <c r="D21" s="846"/>
      <c r="E21" s="845"/>
    </row>
    <row r="22" spans="2:5" x14ac:dyDescent="0.2">
      <c r="B22" s="500"/>
      <c r="C22" s="514"/>
      <c r="D22" s="514"/>
      <c r="E22" s="497"/>
    </row>
    <row r="23" spans="2:5" x14ac:dyDescent="0.2">
      <c r="B23" s="500"/>
      <c r="C23" s="840" t="s">
        <v>379</v>
      </c>
      <c r="D23" s="844" t="s">
        <v>175</v>
      </c>
      <c r="E23" s="497"/>
    </row>
    <row r="24" spans="2:5" x14ac:dyDescent="0.2">
      <c r="B24" s="500"/>
      <c r="C24" s="838" t="s">
        <v>299</v>
      </c>
      <c r="D24" s="843">
        <v>2</v>
      </c>
      <c r="E24" s="497"/>
    </row>
    <row r="25" spans="2:5" x14ac:dyDescent="0.2">
      <c r="B25" s="500"/>
      <c r="C25" s="542" t="s">
        <v>126</v>
      </c>
      <c r="D25" s="842" t="e">
        <f ca="1">_xll.qlEuribor(,"1M",D31,,Trigger)</f>
        <v>#NAME?</v>
      </c>
      <c r="E25" s="497"/>
    </row>
    <row r="26" spans="2:5" x14ac:dyDescent="0.2">
      <c r="B26" s="828"/>
      <c r="C26" s="827"/>
      <c r="D26" s="827"/>
      <c r="E26" s="841"/>
    </row>
    <row r="27" spans="2:5" x14ac:dyDescent="0.2">
      <c r="B27" s="500"/>
      <c r="C27" s="840" t="s">
        <v>294</v>
      </c>
      <c r="D27" s="839" t="e">
        <v>#N/A</v>
      </c>
      <c r="E27" s="497"/>
    </row>
    <row r="28" spans="2:5" x14ac:dyDescent="0.2">
      <c r="B28" s="500"/>
      <c r="C28" s="838" t="s">
        <v>292</v>
      </c>
      <c r="D28" s="837" t="s">
        <v>378</v>
      </c>
      <c r="E28" s="497"/>
    </row>
    <row r="29" spans="2:5" x14ac:dyDescent="0.2">
      <c r="B29" s="500"/>
      <c r="C29" s="836" t="s">
        <v>290</v>
      </c>
      <c r="D29" s="835" t="s">
        <v>377</v>
      </c>
      <c r="E29" s="497"/>
    </row>
    <row r="30" spans="2:5" x14ac:dyDescent="0.2">
      <c r="B30" s="828"/>
      <c r="C30" s="834"/>
      <c r="D30" s="833"/>
      <c r="E30" s="497"/>
    </row>
    <row r="31" spans="2:5" x14ac:dyDescent="0.2">
      <c r="B31" s="500"/>
      <c r="C31" s="832" t="s">
        <v>293</v>
      </c>
      <c r="D31" s="831" t="e">
        <f ca="1">_xll.qlPiecewiseYieldCurve(,2,Calendar,_xll.ohPack('Delta 1M'!M13:M21),"actual/365",,,,D28,D29,,Trigger)</f>
        <v>#NAME?</v>
      </c>
      <c r="E31" s="497"/>
    </row>
    <row r="32" spans="2:5" x14ac:dyDescent="0.2">
      <c r="B32" s="500"/>
      <c r="C32" s="830" t="s">
        <v>59</v>
      </c>
      <c r="D32" s="829" t="e">
        <f ca="1">_xll.ohRangeRetrieveError(D31)</f>
        <v>#NAME?</v>
      </c>
      <c r="E32" s="822"/>
    </row>
    <row r="33" spans="2:5" x14ac:dyDescent="0.2">
      <c r="B33" s="828"/>
      <c r="C33" s="827"/>
      <c r="D33" s="827"/>
      <c r="E33" s="822"/>
    </row>
    <row r="34" spans="2:5" x14ac:dyDescent="0.2">
      <c r="B34" s="500"/>
      <c r="C34" s="826" t="e">
        <f ca="1">_xll.qlTermStructureReferenceDate(D31)</f>
        <v>#NAME?</v>
      </c>
      <c r="D34" s="825" t="e">
        <f ca="1">_xll.qlYieldTSDiscount(D31,C34,,Trigger)</f>
        <v>#NAME?</v>
      </c>
      <c r="E34" s="822"/>
    </row>
    <row r="35" spans="2:5" x14ac:dyDescent="0.2">
      <c r="B35" s="500"/>
      <c r="C35" s="824" t="e">
        <f ca="1">_xll.qlTermStructureMaxDate(D31)</f>
        <v>#NAME?</v>
      </c>
      <c r="D35" s="823" t="e">
        <f ca="1">_xll.qlYieldTSDiscount(D31,C35,,Trigger)</f>
        <v>#NAME?</v>
      </c>
      <c r="E35" s="822"/>
    </row>
    <row r="36" spans="2:5" x14ac:dyDescent="0.2">
      <c r="B36" s="496"/>
      <c r="C36" s="495"/>
      <c r="D36" s="495"/>
      <c r="E36" s="494"/>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5" customWidth="1"/>
    <col min="3" max="5" width="19.5703125" style="555" customWidth="1"/>
    <col min="6" max="6" width="9" style="555" bestFit="1" customWidth="1"/>
    <col min="7" max="8" width="12.140625" style="555" bestFit="1" customWidth="1"/>
    <col min="9" max="12" width="9" style="555" bestFit="1" customWidth="1"/>
    <col min="13" max="13" width="9.28515625" style="555" customWidth="1"/>
    <col min="14" max="14" width="11.28515625" style="555" customWidth="1"/>
    <col min="15" max="17" width="5.85546875" style="555" customWidth="1"/>
    <col min="18" max="18" width="2" style="555" bestFit="1" customWidth="1"/>
    <col min="19" max="19" width="9.28515625" style="555" customWidth="1"/>
    <col min="20" max="20" width="2" style="555" bestFit="1" customWidth="1"/>
    <col min="21" max="21" width="9.28515625" style="555" customWidth="1"/>
    <col min="22" max="22" width="10.7109375" style="555" bestFit="1" customWidth="1"/>
    <col min="23" max="25" width="8" style="555" bestFit="1" customWidth="1"/>
    <col min="26" max="27" width="8.140625" style="555"/>
    <col min="28" max="28" width="17.42578125" style="555" bestFit="1" customWidth="1"/>
    <col min="29" max="29" width="7" style="555" bestFit="1" customWidth="1"/>
    <col min="30" max="31" width="8.140625" style="555" bestFit="1" customWidth="1"/>
    <col min="32" max="32" width="10.42578125" style="555" customWidth="1"/>
    <col min="33" max="16384" width="8.140625" style="555"/>
  </cols>
  <sheetData>
    <row r="2" spans="1:35" ht="19.5" customHeight="1" thickBot="1" x14ac:dyDescent="0.25">
      <c r="C2" s="593" t="s">
        <v>101</v>
      </c>
      <c r="D2" s="593" t="s">
        <v>357</v>
      </c>
      <c r="E2" s="593" t="s">
        <v>356</v>
      </c>
      <c r="F2" s="593" t="s">
        <v>311</v>
      </c>
      <c r="G2" s="593" t="s">
        <v>374</v>
      </c>
      <c r="H2" s="593" t="s">
        <v>373</v>
      </c>
      <c r="I2" s="593" t="s">
        <v>372</v>
      </c>
      <c r="J2" s="765" t="s">
        <v>371</v>
      </c>
      <c r="K2" s="593" t="s">
        <v>370</v>
      </c>
      <c r="L2" s="593" t="s">
        <v>369</v>
      </c>
      <c r="S2" s="776" t="s">
        <v>368</v>
      </c>
      <c r="W2" s="1400" t="s">
        <v>367</v>
      </c>
      <c r="X2" s="1400"/>
      <c r="Y2" s="1400"/>
      <c r="AB2" s="593" t="s">
        <v>357</v>
      </c>
      <c r="AC2" s="593" t="s">
        <v>275</v>
      </c>
      <c r="AD2" s="593" t="s">
        <v>366</v>
      </c>
      <c r="AE2" s="593" t="s">
        <v>286</v>
      </c>
      <c r="AF2" s="593" t="s">
        <v>365</v>
      </c>
    </row>
    <row r="3" spans="1:35" ht="12" customHeight="1" x14ac:dyDescent="0.25">
      <c r="C3" s="812" t="str">
        <f>$D$10&amp;"LastFixing"&amp;QuoteSuffix</f>
        <v>Euribor1MLastFixing_Quote</v>
      </c>
      <c r="D3" s="811" t="e">
        <f ca="1">_xll.qlCalendarAdvance(Calendar,_xll.qlLastFixingQuoteReferenceDate($C$3),_xll.qlInterestRateIndexFixingDays($D$10)&amp;"D","f",,LastFixingsTrigger)</f>
        <v>#NAME?</v>
      </c>
      <c r="E3" s="811" t="e">
        <f ca="1">_xll.qlInterestRateIndexMaturity($D$10,D3)</f>
        <v>#NAME?</v>
      </c>
      <c r="F3" s="807" t="e">
        <f ca="1">'Delta 1M'!X26</f>
        <v>#NAME?</v>
      </c>
      <c r="G3" s="589" t="e">
        <f ca="1">_xll.qlDayCounterYearFraction(DayCounter,SettlementDate,D3,,,Trigger)</f>
        <v>#NAME?</v>
      </c>
      <c r="H3" s="589" t="e">
        <f ca="1">_xll.qlDayCounterYearFraction(DayCounter,SettlementDate,E3,,,Trigger)</f>
        <v>#NAME?</v>
      </c>
      <c r="I3" s="589" t="e">
        <f ca="1">H3-G3</f>
        <v>#NAME?</v>
      </c>
      <c r="J3" s="589" t="e">
        <f ca="1">(H3^2-G3^2)/2</f>
        <v>#NAME?</v>
      </c>
      <c r="K3" s="589" t="e">
        <f ca="1">(H3^3-G3^3)/3</f>
        <v>#NAME?</v>
      </c>
      <c r="L3" s="806" t="b">
        <f>IF(D12="fixing",TRUE,FALSE)</f>
        <v>0</v>
      </c>
      <c r="N3" s="1401" t="s">
        <v>364</v>
      </c>
      <c r="O3" s="781" t="e">
        <f t="array" aca="1" ref="O3:O5" ca="1">_xll.ohFilter(K3:K7,L3:L7)</f>
        <v>#NAME?</v>
      </c>
      <c r="P3" s="802" t="e">
        <f t="array" aca="1" ref="P3:P5" ca="1">_xll.ohFilter(J3:J7,L3:L7)</f>
        <v>#NAME?</v>
      </c>
      <c r="Q3" s="780" t="e">
        <f t="array" aca="1" ref="Q3:Q5" ca="1">_xll.ohFilter(I3:I7,L3:L7)</f>
        <v>#NAME?</v>
      </c>
      <c r="R3" s="805"/>
      <c r="S3" s="770" t="e">
        <f t="array" aca="1" ref="S3:S5" ca="1">MMULT(W3:Y5,U3:U5)</f>
        <v>#NAME?</v>
      </c>
      <c r="T3" s="804"/>
      <c r="U3" s="816" t="e">
        <f t="array" aca="1" ref="U3:U5" ca="1">_xll.ohFilter(F3:F7,L3:L7)</f>
        <v>#NAME?</v>
      </c>
      <c r="W3" s="781" t="e">
        <f t="array" aca="1" ref="W3:Y5" ca="1">MINVERSE(O3:Q5)</f>
        <v>#NAME?</v>
      </c>
      <c r="X3" s="802" t="e">
        <f ca="1"/>
        <v>#NAME?</v>
      </c>
      <c r="Y3" s="780" t="e">
        <f ca="1"/>
        <v>#NAME?</v>
      </c>
      <c r="AB3" s="582" t="e">
        <f ca="1">SettlementDate</f>
        <v>#NAME?</v>
      </c>
      <c r="AC3" s="577" t="e">
        <f ca="1">_xll.qlDayCounterYearFraction(DayCounter,SettlementDate,AB3,,,Trigger)</f>
        <v>#NAME?</v>
      </c>
      <c r="AD3" s="579" t="e">
        <f t="shared" ref="AD3:AD26" ca="1" si="0">$S$13</f>
        <v>#NAME?</v>
      </c>
      <c r="AE3" s="579" t="e">
        <f t="shared" ref="AE3:AE26" ca="1" si="1">$S$10+$S$9*AC3</f>
        <v>#NAME?</v>
      </c>
      <c r="AF3" s="579" t="e">
        <f t="shared" ref="AF3:AF26" ca="1" si="2">($S$5+$S$4*AC3+$S$3*AC3^2)</f>
        <v>#NAME?</v>
      </c>
      <c r="AH3" s="1360" t="s">
        <v>529</v>
      </c>
      <c r="AI3" s="1363" t="e">
        <f ca="1">_xll.ohTrigger('General Settings_3'!Trigger)</f>
        <v>#NAME?</v>
      </c>
    </row>
    <row r="4" spans="1:35" ht="12" customHeight="1" thickBot="1" x14ac:dyDescent="0.3">
      <c r="A4" s="555">
        <v>0</v>
      </c>
      <c r="B4" s="818">
        <f>A4+SUBSTITUTE($D$9,"M","")</f>
        <v>1</v>
      </c>
      <c r="C4" s="801" t="str">
        <f>"Delta("&amp;A4&amp;"M,"&amp;B4&amp;"M)"</f>
        <v>Delta(0M,1M)</v>
      </c>
      <c r="D4" s="758" t="e">
        <f ca="1">SettlementDate</f>
        <v>#NAME?</v>
      </c>
      <c r="E4" s="758" t="e">
        <f ca="1">_xll.qlInterestRateIndexMaturity($D$10,D4)</f>
        <v>#NAME?</v>
      </c>
      <c r="F4" s="797" t="e">
        <f t="array" aca="1" ref="F4:F7" ca="1">Delta1M</f>
        <v>#NAME?</v>
      </c>
      <c r="G4" s="577" t="e">
        <f ca="1">_xll.qlDayCounterYearFraction(DayCounter,SettlementDate,D4,,,Trigger)</f>
        <v>#NAME?</v>
      </c>
      <c r="H4" s="577" t="e">
        <f ca="1">_xll.qlDayCounterYearFraction(DayCounter,SettlementDate,E4,,,Trigger)</f>
        <v>#NAME?</v>
      </c>
      <c r="I4" s="577" t="e">
        <f ca="1">H4-G4</f>
        <v>#NAME?</v>
      </c>
      <c r="J4" s="577" t="e">
        <f ca="1">(H4^2-G4^2)/2</f>
        <v>#NAME?</v>
      </c>
      <c r="K4" s="577" t="e">
        <f ca="1">(H4^3-G4^3)/3</f>
        <v>#NAME?</v>
      </c>
      <c r="L4" s="796" t="b">
        <f>IF(D12="fixing",FALSE,TRUE)</f>
        <v>1</v>
      </c>
      <c r="N4" s="1401"/>
      <c r="O4" s="781" t="e">
        <f ca="1"/>
        <v>#NAME?</v>
      </c>
      <c r="P4" s="802" t="e">
        <f ca="1"/>
        <v>#NAME?</v>
      </c>
      <c r="Q4" s="780" t="e">
        <f ca="1"/>
        <v>#NAME?</v>
      </c>
      <c r="R4" s="803" t="s">
        <v>180</v>
      </c>
      <c r="S4" s="770" t="e">
        <f ca="1"/>
        <v>#NAME?</v>
      </c>
      <c r="T4" s="803" t="s">
        <v>358</v>
      </c>
      <c r="U4" s="816" t="e">
        <f ca="1"/>
        <v>#NAME?</v>
      </c>
      <c r="W4" s="781" t="e">
        <f ca="1"/>
        <v>#NAME?</v>
      </c>
      <c r="X4" s="802" t="e">
        <f ca="1"/>
        <v>#NAME?</v>
      </c>
      <c r="Y4" s="780" t="e">
        <f ca="1"/>
        <v>#NAME?</v>
      </c>
      <c r="AB4" s="561" t="e">
        <f ca="1">_xll.qlCalendarAdvance(Calendar,AB3,"1d","mf",,Trigger)</f>
        <v>#NAME?</v>
      </c>
      <c r="AC4" s="577" t="e">
        <f ca="1">_xll.qlDayCounterYearFraction(DayCounter,SettlementDate,AB4,,,Trigger)</f>
        <v>#NAME?</v>
      </c>
      <c r="AD4" s="574" t="e">
        <f t="shared" ca="1" si="0"/>
        <v>#NAME?</v>
      </c>
      <c r="AE4" s="574" t="e">
        <f t="shared" ca="1" si="1"/>
        <v>#NAME?</v>
      </c>
      <c r="AF4" s="574" t="e">
        <f t="shared" ca="1" si="2"/>
        <v>#NAME?</v>
      </c>
      <c r="AH4" s="1361" t="s">
        <v>530</v>
      </c>
      <c r="AI4" s="1364" t="e">
        <f ca="1">_xll.ohTrigger(AB3:AB26)</f>
        <v>#NAME?</v>
      </c>
    </row>
    <row r="5" spans="1:35" ht="12" customHeight="1" x14ac:dyDescent="0.2">
      <c r="A5" s="564">
        <v>1</v>
      </c>
      <c r="B5" s="818">
        <f>A5+SUBSTITUTE($D$9,"M","")</f>
        <v>2</v>
      </c>
      <c r="C5" s="801" t="str">
        <f>"Delta("&amp;A5&amp;"M,"&amp;B5&amp;"M)"</f>
        <v>Delta(1M,2M)</v>
      </c>
      <c r="D5" s="758" t="e">
        <f ca="1">_xll.qlCalendarAdvance(Calendar,SettlementDate,A5&amp;"M","f")</f>
        <v>#NAME?</v>
      </c>
      <c r="E5" s="758" t="e">
        <f ca="1">_xll.qlInterestRateIndexMaturity($D$10,D5)</f>
        <v>#NAME?</v>
      </c>
      <c r="F5" s="797" t="e">
        <f ca="1"/>
        <v>#NAME?</v>
      </c>
      <c r="G5" s="577" t="e">
        <f ca="1">_xll.qlDayCounterYearFraction(DayCounter,SettlementDate,D5,,,Trigger)</f>
        <v>#NAME?</v>
      </c>
      <c r="H5" s="577" t="e">
        <f ca="1">_xll.qlDayCounterYearFraction(DayCounter,SettlementDate,E5,,,Trigger)</f>
        <v>#NAME?</v>
      </c>
      <c r="I5" s="577" t="e">
        <f ca="1">H5-G5</f>
        <v>#NAME?</v>
      </c>
      <c r="J5" s="577" t="e">
        <f ca="1">(H5^2-G5^2)/2</f>
        <v>#NAME?</v>
      </c>
      <c r="K5" s="577" t="e">
        <f ca="1">(H5^3-G5^3)/3</f>
        <v>#NAME?</v>
      </c>
      <c r="L5" s="796" t="b">
        <v>1</v>
      </c>
      <c r="N5" s="1401"/>
      <c r="O5" s="781" t="e">
        <f ca="1"/>
        <v>#NAME?</v>
      </c>
      <c r="P5" s="802" t="e">
        <f ca="1"/>
        <v>#NAME?</v>
      </c>
      <c r="Q5" s="780" t="e">
        <f ca="1"/>
        <v>#NAME?</v>
      </c>
      <c r="R5" s="564"/>
      <c r="S5" s="770" t="e">
        <f ca="1"/>
        <v>#NAME?</v>
      </c>
      <c r="T5" s="803"/>
      <c r="U5" s="816" t="e">
        <f ca="1"/>
        <v>#NAME?</v>
      </c>
      <c r="W5" s="781" t="e">
        <f ca="1"/>
        <v>#NAME?</v>
      </c>
      <c r="X5" s="802" t="e">
        <f ca="1"/>
        <v>#NAME?</v>
      </c>
      <c r="Y5" s="780" t="e">
        <f ca="1"/>
        <v>#NAME?</v>
      </c>
      <c r="AB5" s="561" t="e">
        <f ca="1">_xll.qlCalendarAdvance(Calendar,AB4,"1d","mf",,Trigger)</f>
        <v>#NAME?</v>
      </c>
      <c r="AC5" s="577" t="e">
        <f ca="1">_xll.qlDayCounterYearFraction(DayCounter,SettlementDate,AB5,,,Trigger)</f>
        <v>#NAME?</v>
      </c>
      <c r="AD5" s="574" t="e">
        <f t="shared" ca="1" si="0"/>
        <v>#NAME?</v>
      </c>
      <c r="AE5" s="574" t="e">
        <f t="shared" ca="1" si="1"/>
        <v>#NAME?</v>
      </c>
      <c r="AF5" s="574" t="e">
        <f t="shared" ca="1" si="2"/>
        <v>#NAME?</v>
      </c>
    </row>
    <row r="6" spans="1:35" ht="12" customHeight="1" x14ac:dyDescent="0.2">
      <c r="A6" s="564">
        <v>2</v>
      </c>
      <c r="B6" s="788">
        <f>A6+SUBSTITUTE($D$9,"M","")</f>
        <v>3</v>
      </c>
      <c r="C6" s="801" t="str">
        <f>"Delta("&amp;A6&amp;"M,"&amp;B6&amp;"M)"</f>
        <v>Delta(2M,3M)</v>
      </c>
      <c r="D6" s="758" t="e">
        <f ca="1">_xll.qlCalendarAdvance(Calendar,SettlementDate,A6&amp;"M","f")</f>
        <v>#NAME?</v>
      </c>
      <c r="E6" s="758" t="e">
        <f ca="1">_xll.qlInterestRateIndexMaturity($D$10,D6)</f>
        <v>#NAME?</v>
      </c>
      <c r="F6" s="797" t="e">
        <f ca="1"/>
        <v>#NAME?</v>
      </c>
      <c r="G6" s="577" t="e">
        <f ca="1">_xll.qlDayCounterYearFraction(DayCounter,SettlementDate,D6,,,Trigger)</f>
        <v>#NAME?</v>
      </c>
      <c r="H6" s="577" t="e">
        <f ca="1">_xll.qlDayCounterYearFraction(DayCounter,SettlementDate,E6,,,Trigger)</f>
        <v>#NAME?</v>
      </c>
      <c r="I6" s="577" t="e">
        <f ca="1">H6-G6</f>
        <v>#NAME?</v>
      </c>
      <c r="J6" s="577" t="e">
        <f ca="1">(H6^2-G6^2)/2</f>
        <v>#NAME?</v>
      </c>
      <c r="K6" s="577" t="e">
        <f ca="1">(H6^3-G6^3)/3</f>
        <v>#NAME?</v>
      </c>
      <c r="L6" s="796" t="b">
        <v>1</v>
      </c>
      <c r="S6" s="778"/>
      <c r="T6" s="775"/>
      <c r="U6" s="774"/>
      <c r="AB6" s="561" t="e">
        <f ca="1">_xll.qlCalendarAdvance(Calendar,AB5,"1d","mf",,Trigger)</f>
        <v>#NAME?</v>
      </c>
      <c r="AC6" s="577" t="e">
        <f ca="1">_xll.qlDayCounterYearFraction(DayCounter,SettlementDate,AB6,,,Trigger)</f>
        <v>#NAME?</v>
      </c>
      <c r="AD6" s="574" t="e">
        <f t="shared" ca="1" si="0"/>
        <v>#NAME?</v>
      </c>
      <c r="AE6" s="574" t="e">
        <f t="shared" ca="1" si="1"/>
        <v>#NAME?</v>
      </c>
      <c r="AF6" s="574" t="e">
        <f t="shared" ca="1" si="2"/>
        <v>#NAME?</v>
      </c>
    </row>
    <row r="7" spans="1:35" ht="12" customHeight="1" x14ac:dyDescent="0.2">
      <c r="A7" s="564">
        <v>3</v>
      </c>
      <c r="B7" s="788">
        <f>A7+SUBSTITUTE($D$9,"M","")</f>
        <v>4</v>
      </c>
      <c r="C7" s="794" t="str">
        <f>"Delta("&amp;A7&amp;"M,"&amp;B7&amp;"M)"</f>
        <v>Delta(3M,4M)</v>
      </c>
      <c r="D7" s="753" t="e">
        <f ca="1">_xll.qlCalendarAdvance(Calendar,SettlementDate,A7&amp;"M","f")</f>
        <v>#NAME?</v>
      </c>
      <c r="E7" s="753" t="e">
        <f ca="1">_xll.qlInterestRateIndexMaturity($D$10,D7)</f>
        <v>#NAME?</v>
      </c>
      <c r="F7" s="790" t="e">
        <f ca="1"/>
        <v>#NAME?</v>
      </c>
      <c r="G7" s="570" t="e">
        <f ca="1">_xll.qlDayCounterYearFraction(DayCounter,SettlementDate,D7,,,Trigger)</f>
        <v>#NAME?</v>
      </c>
      <c r="H7" s="570" t="e">
        <f ca="1">_xll.qlDayCounterYearFraction(DayCounter,SettlementDate,E7,,,Trigger)</f>
        <v>#NAME?</v>
      </c>
      <c r="I7" s="570" t="e">
        <f ca="1">H7-G7</f>
        <v>#NAME?</v>
      </c>
      <c r="J7" s="570" t="e">
        <f ca="1">(H7^2-G7^2)/2</f>
        <v>#NAME?</v>
      </c>
      <c r="K7" s="570" t="e">
        <f ca="1">(H7^3-G7^3)/3</f>
        <v>#NAME?</v>
      </c>
      <c r="L7" s="789" t="b">
        <v>0</v>
      </c>
      <c r="S7" s="778"/>
      <c r="T7" s="775"/>
      <c r="U7" s="774"/>
      <c r="AB7" s="561" t="e">
        <f ca="1">_xll.qlCalendarAdvance(Calendar,AB6,"1d","mf",,Trigger)</f>
        <v>#NAME?</v>
      </c>
      <c r="AC7" s="577" t="e">
        <f ca="1">_xll.qlDayCounterYearFraction(DayCounter,SettlementDate,AB7,,,Trigger)</f>
        <v>#NAME?</v>
      </c>
      <c r="AD7" s="574" t="e">
        <f t="shared" ca="1" si="0"/>
        <v>#NAME?</v>
      </c>
      <c r="AE7" s="574" t="e">
        <f t="shared" ca="1" si="1"/>
        <v>#NAME?</v>
      </c>
      <c r="AF7" s="574" t="e">
        <f t="shared" ca="1" si="2"/>
        <v>#NAME?</v>
      </c>
    </row>
    <row r="8" spans="1:35" ht="12" customHeight="1" x14ac:dyDescent="0.2">
      <c r="A8" s="564"/>
      <c r="B8" s="788"/>
      <c r="C8" s="788"/>
      <c r="D8" s="787"/>
      <c r="E8" s="787"/>
      <c r="F8" s="786"/>
      <c r="G8" s="785"/>
      <c r="H8" s="785"/>
      <c r="I8" s="785"/>
      <c r="J8" s="785"/>
      <c r="K8" s="785"/>
      <c r="L8" s="784"/>
      <c r="S8" s="783" t="s">
        <v>363</v>
      </c>
      <c r="T8" s="775"/>
      <c r="U8" s="774"/>
      <c r="AB8" s="561" t="e">
        <f ca="1">_xll.qlCalendarAdvance(Calendar,AB7,"1d","mf",,Trigger)</f>
        <v>#NAME?</v>
      </c>
      <c r="AC8" s="577" t="e">
        <f ca="1">_xll.qlDayCounterYearFraction(DayCounter,SettlementDate,AB8,,,Trigger)</f>
        <v>#NAME?</v>
      </c>
      <c r="AD8" s="574" t="e">
        <f t="shared" ca="1" si="0"/>
        <v>#NAME?</v>
      </c>
      <c r="AE8" s="574" t="e">
        <f t="shared" ca="1" si="1"/>
        <v>#NAME?</v>
      </c>
      <c r="AF8" s="574" t="e">
        <f t="shared" ca="1" si="2"/>
        <v>#NAME?</v>
      </c>
    </row>
    <row r="9" spans="1:35" ht="12" customHeight="1" x14ac:dyDescent="0.2">
      <c r="C9" s="593" t="s">
        <v>107</v>
      </c>
      <c r="D9" s="777" t="s">
        <v>175</v>
      </c>
      <c r="N9" s="1400" t="s">
        <v>351</v>
      </c>
      <c r="O9" s="782"/>
      <c r="P9" s="781" t="e">
        <f t="array" aca="1" ref="P9:P10" ca="1">_xll.ohFilter(J3:J7,L3:L7)</f>
        <v>#NAME?</v>
      </c>
      <c r="Q9" s="780" t="e">
        <f t="array" aca="1" ref="Q9:Q10" ca="1">_xll.ohFilter(I3:I7,L3:L7)</f>
        <v>#NAME?</v>
      </c>
      <c r="R9" s="1402" t="s">
        <v>180</v>
      </c>
      <c r="S9" s="770" t="e">
        <f t="array" aca="1" ref="S9:S10" ca="1">MMULT(W9:X10,U9:U10)</f>
        <v>#NAME?</v>
      </c>
      <c r="T9" s="1402" t="s">
        <v>358</v>
      </c>
      <c r="U9" s="816" t="e">
        <f t="array" aca="1" ref="U9:U10" ca="1">_xll.ohFilter(F3:F7,L3:L7)</f>
        <v>#NAME?</v>
      </c>
      <c r="W9" s="781" t="e">
        <f t="array" aca="1" ref="W9:X10" ca="1">MINVERSE(P9:Q10)</f>
        <v>#NAME?</v>
      </c>
      <c r="X9" s="780" t="e">
        <f ca="1"/>
        <v>#NAME?</v>
      </c>
      <c r="AB9" s="561" t="e">
        <f ca="1">_xll.qlCalendarAdvance(Calendar,AB8,"1d","mf",,Trigger)</f>
        <v>#NAME?</v>
      </c>
      <c r="AC9" s="577" t="e">
        <f ca="1">_xll.qlDayCounterYearFraction(DayCounter,SettlementDate,AB9,,,Trigger)</f>
        <v>#NAME?</v>
      </c>
      <c r="AD9" s="574" t="e">
        <f t="shared" ca="1" si="0"/>
        <v>#NAME?</v>
      </c>
      <c r="AE9" s="574" t="e">
        <f t="shared" ca="1" si="1"/>
        <v>#NAME?</v>
      </c>
      <c r="AF9" s="574" t="e">
        <f t="shared" ca="1" si="2"/>
        <v>#NAME?</v>
      </c>
    </row>
    <row r="10" spans="1:35" ht="12" customHeight="1" x14ac:dyDescent="0.2">
      <c r="C10" s="593" t="s">
        <v>14</v>
      </c>
      <c r="D10" s="777" t="str">
        <f>PROPER(Currency)&amp;IborType&amp;D9</f>
        <v>Euribor1M</v>
      </c>
      <c r="N10" s="1400"/>
      <c r="O10" s="782"/>
      <c r="P10" s="781" t="e">
        <f ca="1"/>
        <v>#NAME?</v>
      </c>
      <c r="Q10" s="780" t="e">
        <f ca="1"/>
        <v>#NAME?</v>
      </c>
      <c r="R10" s="1402"/>
      <c r="S10" s="770" t="e">
        <f ca="1"/>
        <v>#NAME?</v>
      </c>
      <c r="T10" s="1402"/>
      <c r="U10" s="816" t="e">
        <f ca="1"/>
        <v>#NAME?</v>
      </c>
      <c r="W10" s="781" t="e">
        <f ca="1"/>
        <v>#NAME?</v>
      </c>
      <c r="X10" s="780" t="e">
        <f ca="1"/>
        <v>#NAME?</v>
      </c>
      <c r="AB10" s="561" t="e">
        <f ca="1">_xll.qlCalendarAdvance(Calendar,AB9,"1d","mf",,Trigger)</f>
        <v>#NAME?</v>
      </c>
      <c r="AC10" s="577" t="e">
        <f ca="1">_xll.qlDayCounterYearFraction(DayCounter,SettlementDate,AB10,,,Trigger)</f>
        <v>#NAME?</v>
      </c>
      <c r="AD10" s="574" t="e">
        <f t="shared" ca="1" si="0"/>
        <v>#NAME?</v>
      </c>
      <c r="AE10" s="574" t="e">
        <f t="shared" ca="1" si="1"/>
        <v>#NAME?</v>
      </c>
      <c r="AF10" s="574" t="e">
        <f t="shared" ca="1" si="2"/>
        <v>#NAME?</v>
      </c>
    </row>
    <row r="11" spans="1:35" ht="12" customHeight="1" x14ac:dyDescent="0.2">
      <c r="C11" s="593" t="s">
        <v>309</v>
      </c>
      <c r="D11" s="779" t="s">
        <v>362</v>
      </c>
      <c r="S11" s="778"/>
      <c r="T11" s="775"/>
      <c r="U11" s="774"/>
      <c r="AB11" s="561" t="e">
        <f ca="1">_xll.qlCalendarAdvance(Calendar,AB10,"1d","mf",,Trigger)</f>
        <v>#NAME?</v>
      </c>
      <c r="AC11" s="577" t="e">
        <f ca="1">_xll.qlDayCounterYearFraction(DayCounter,SettlementDate,AB11,,,Trigger)</f>
        <v>#NAME?</v>
      </c>
      <c r="AD11" s="574" t="e">
        <f t="shared" ca="1" si="0"/>
        <v>#NAME?</v>
      </c>
      <c r="AE11" s="574" t="e">
        <f t="shared" ca="1" si="1"/>
        <v>#NAME?</v>
      </c>
      <c r="AF11" s="574" t="e">
        <f t="shared" ca="1" si="2"/>
        <v>#NAME?</v>
      </c>
    </row>
    <row r="12" spans="1:35" ht="12" customHeight="1" x14ac:dyDescent="0.2">
      <c r="C12" s="593" t="s">
        <v>361</v>
      </c>
      <c r="D12" s="777" t="s">
        <v>376</v>
      </c>
      <c r="S12" s="776" t="s">
        <v>359</v>
      </c>
      <c r="T12" s="775"/>
      <c r="U12" s="774"/>
      <c r="AB12" s="561" t="e">
        <f ca="1">_xll.qlCalendarAdvance(Calendar,AB11,"1d","mf",,Trigger)</f>
        <v>#NAME?</v>
      </c>
      <c r="AC12" s="577" t="e">
        <f ca="1">_xll.qlDayCounterYearFraction(DayCounter,SettlementDate,AB12,,,Trigger)</f>
        <v>#NAME?</v>
      </c>
      <c r="AD12" s="574" t="e">
        <f t="shared" ca="1" si="0"/>
        <v>#NAME?</v>
      </c>
      <c r="AE12" s="574" t="e">
        <f t="shared" ca="1" si="1"/>
        <v>#NAME?</v>
      </c>
      <c r="AF12" s="574" t="e">
        <f t="shared" ca="1" si="2"/>
        <v>#NAME?</v>
      </c>
    </row>
    <row r="13" spans="1:35" ht="12" customHeight="1" x14ac:dyDescent="0.2">
      <c r="J13" s="821" t="str">
        <f>"Synthetic Deposits "&amp;D9</f>
        <v>Synthetic Deposits 1M</v>
      </c>
      <c r="K13" s="821"/>
      <c r="L13" s="821"/>
      <c r="N13" s="769" t="s">
        <v>355</v>
      </c>
      <c r="Q13" s="767" t="e">
        <f t="array" aca="1" ref="Q13" ca="1">_xll.ohFilter(I3:I7,L3:L7)</f>
        <v>#NAME?</v>
      </c>
      <c r="R13" s="769" t="s">
        <v>180</v>
      </c>
      <c r="S13" s="770" t="e">
        <f ca="1">MMULT(W13,U13)</f>
        <v>#NAME?</v>
      </c>
      <c r="T13" s="769" t="s">
        <v>358</v>
      </c>
      <c r="U13" s="816" t="e">
        <f t="array" aca="1" ref="U13" ca="1">_xll.ohFilter(F3:F7,L3:L7)</f>
        <v>#NAME?</v>
      </c>
      <c r="W13" s="767" t="e">
        <f ca="1">MINVERSE(Q13)</f>
        <v>#NAME?</v>
      </c>
      <c r="AB13" s="561" t="e">
        <f ca="1">_xll.qlCalendarAdvance(Calendar,AB12,"1d","mf",,Trigger)</f>
        <v>#NAME?</v>
      </c>
      <c r="AC13" s="577" t="e">
        <f ca="1">_xll.qlDayCounterYearFraction(DayCounter,SettlementDate,AB13,,,Trigger)</f>
        <v>#NAME?</v>
      </c>
      <c r="AD13" s="574" t="e">
        <f t="shared" ca="1" si="0"/>
        <v>#NAME?</v>
      </c>
      <c r="AE13" s="574" t="e">
        <f t="shared" ca="1" si="1"/>
        <v>#NAME?</v>
      </c>
      <c r="AF13" s="574" t="e">
        <f t="shared" ca="1" si="2"/>
        <v>#NAME?</v>
      </c>
    </row>
    <row r="14" spans="1:35" ht="12" customHeight="1" x14ac:dyDescent="0.2">
      <c r="C14" s="593" t="s">
        <v>319</v>
      </c>
      <c r="D14" s="593" t="s">
        <v>357</v>
      </c>
      <c r="E14" s="593" t="s">
        <v>356</v>
      </c>
      <c r="F14" s="593" t="s">
        <v>275</v>
      </c>
      <c r="G14" s="593" t="s">
        <v>316</v>
      </c>
      <c r="H14" s="593" t="s">
        <v>315</v>
      </c>
      <c r="I14" s="765" t="s">
        <v>314</v>
      </c>
      <c r="J14" s="764" t="s">
        <v>355</v>
      </c>
      <c r="K14" s="764" t="s">
        <v>351</v>
      </c>
      <c r="L14" s="764" t="s">
        <v>354</v>
      </c>
      <c r="AB14" s="561" t="e">
        <f ca="1">_xll.qlCalendarAdvance(Calendar,AB13,"1d","mf",,Trigger)</f>
        <v>#NAME?</v>
      </c>
      <c r="AC14" s="577" t="e">
        <f ca="1">_xll.qlDayCounterYearFraction(DayCounter,SettlementDate,AB14,,,Trigger)</f>
        <v>#NAME?</v>
      </c>
      <c r="AD14" s="574" t="e">
        <f t="shared" ca="1" si="0"/>
        <v>#NAME?</v>
      </c>
      <c r="AE14" s="574" t="e">
        <f t="shared" ca="1" si="1"/>
        <v>#NAME?</v>
      </c>
      <c r="AF14" s="574" t="e">
        <f t="shared" ca="1" si="2"/>
        <v>#NAME?</v>
      </c>
    </row>
    <row r="15" spans="1:35" ht="12" customHeight="1" x14ac:dyDescent="0.2">
      <c r="C15" s="763" t="s">
        <v>242</v>
      </c>
      <c r="D15" s="762" t="e">
        <f ca="1">SettlementDate</f>
        <v>#NAME?</v>
      </c>
      <c r="E15" s="582" t="e">
        <f ca="1">_xll.qlCalendarAdvance(Calendar,SettlementDate,C15,"Following",,Trigger)</f>
        <v>#NAME?</v>
      </c>
      <c r="F15" s="599" t="e">
        <f ca="1">_xll.qlDayCounterYearFraction(DayCounter,D15,E15,,,Trigger)</f>
        <v>#NAME?</v>
      </c>
      <c r="G15" s="580" t="e">
        <f ca="1">_xll.qlYieldTSDiscount(Discounting,D15,,AllTriggers)</f>
        <v>#NAME?</v>
      </c>
      <c r="H15" s="580" t="e">
        <f ca="1">_xll.qlYieldTSDiscount(Discounting,E15,,AllTriggers)</f>
        <v>#NAME?</v>
      </c>
      <c r="I15" s="574" t="e">
        <f ca="1">(G15/H15-1)/F15</f>
        <v>#NAME?</v>
      </c>
      <c r="J15" s="574" t="e">
        <f ca="1">((1+I15*F15)*EXP($S$13*F15)-1)/F15</f>
        <v>#NAME?</v>
      </c>
      <c r="K15" s="574" t="e">
        <f ca="1">((1+F15*I15)*EXP($S$10*F15+0.5*$S$9*F15^2)-1)/F15</f>
        <v>#NAME?</v>
      </c>
      <c r="L15" s="574" t="e">
        <f ca="1">((1+F15*I15)*EXP($S$5*F15+0.5*$S$4*F15^2+1/3*$S$3*F15^3)-1)/F15</f>
        <v>#NAME?</v>
      </c>
      <c r="AB15" s="561" t="e">
        <f ca="1">_xll.qlCalendarAdvance(Calendar,AB14,"1d","mf",,Trigger)</f>
        <v>#NAME?</v>
      </c>
      <c r="AC15" s="577" t="e">
        <f ca="1">_xll.qlDayCounterYearFraction(DayCounter,SettlementDate,AB15,,,Trigger)</f>
        <v>#NAME?</v>
      </c>
      <c r="AD15" s="574" t="e">
        <f t="shared" ca="1" si="0"/>
        <v>#NAME?</v>
      </c>
      <c r="AE15" s="574" t="e">
        <f t="shared" ca="1" si="1"/>
        <v>#NAME?</v>
      </c>
      <c r="AF15" s="574" t="e">
        <f t="shared" ca="1" si="2"/>
        <v>#NAME?</v>
      </c>
    </row>
    <row r="16" spans="1:35" ht="12" customHeight="1" x14ac:dyDescent="0.2">
      <c r="C16" s="759" t="s">
        <v>353</v>
      </c>
      <c r="D16" s="758" t="e">
        <f ca="1">SettlementDate</f>
        <v>#NAME?</v>
      </c>
      <c r="E16" s="561" t="e">
        <f ca="1">_xll.qlCalendarAdvance(Calendar,SettlementDate,C16,"Following",,Trigger)</f>
        <v>#NAME?</v>
      </c>
      <c r="F16" s="577" t="e">
        <f ca="1">_xll.qlDayCounterYearFraction(DayCounter,D16,E16,,,Trigger)</f>
        <v>#NAME?</v>
      </c>
      <c r="G16" s="576" t="e">
        <f ca="1">_xll.qlYieldTSDiscount(Discounting,D16,,AllTriggers)</f>
        <v>#NAME?</v>
      </c>
      <c r="H16" s="820" t="e">
        <f ca="1">_xll.qlYieldTSDiscount(Discounting,E16,,AllTriggers)</f>
        <v>#NAME?</v>
      </c>
      <c r="I16" s="574" t="e">
        <f ca="1">(G16/H16-1)/F16</f>
        <v>#NAME?</v>
      </c>
      <c r="J16" s="574" t="e">
        <f ca="1">((1+I16*F16)*EXP($S$13*F16)-1)/F16</f>
        <v>#NAME?</v>
      </c>
      <c r="K16" s="574" t="e">
        <f ca="1">((1+F16*I16)*EXP($S$10*F16+0.5*$S$9*F16^2)-1)/F16</f>
        <v>#NAME?</v>
      </c>
      <c r="L16" s="574" t="e">
        <f ca="1">((1+F16*I16)*EXP($S$5*F16+0.5*$S$4*F16^2+1/3*$S$3*F16^3)-1)/F16</f>
        <v>#NAME?</v>
      </c>
      <c r="AB16" s="561" t="e">
        <f ca="1">_xll.qlCalendarAdvance(Calendar,AB15,"1d","mf",,Trigger)</f>
        <v>#NAME?</v>
      </c>
      <c r="AC16" s="577" t="e">
        <f ca="1">_xll.qlDayCounterYearFraction(DayCounter,SettlementDate,AB16,,,Trigger)</f>
        <v>#NAME?</v>
      </c>
      <c r="AD16" s="574" t="e">
        <f t="shared" ca="1" si="0"/>
        <v>#NAME?</v>
      </c>
      <c r="AE16" s="574" t="e">
        <f t="shared" ca="1" si="1"/>
        <v>#NAME?</v>
      </c>
      <c r="AF16" s="574" t="e">
        <f t="shared" ca="1" si="2"/>
        <v>#NAME?</v>
      </c>
    </row>
    <row r="17" spans="3:32" ht="12" customHeight="1" x14ac:dyDescent="0.2">
      <c r="C17" s="759" t="s">
        <v>177</v>
      </c>
      <c r="D17" s="758" t="e">
        <f ca="1">SettlementDate</f>
        <v>#NAME?</v>
      </c>
      <c r="E17" s="561" t="e">
        <f ca="1">_xll.qlCalendarAdvance(Calendar,SettlementDate,C17,"Following",,Trigger)</f>
        <v>#NAME?</v>
      </c>
      <c r="F17" s="577" t="e">
        <f ca="1">_xll.qlDayCounterYearFraction(DayCounter,D17,E17,,,Trigger)</f>
        <v>#NAME?</v>
      </c>
      <c r="G17" s="576" t="e">
        <f ca="1">_xll.qlYieldTSDiscount(Discounting,D17,,AllTriggers)</f>
        <v>#NAME?</v>
      </c>
      <c r="H17" s="820" t="e">
        <f ca="1">_xll.qlYieldTSDiscount(Discounting,E17,,AllTriggers)</f>
        <v>#NAME?</v>
      </c>
      <c r="I17" s="574" t="e">
        <f ca="1">(G17/H17-1)/F17</f>
        <v>#NAME?</v>
      </c>
      <c r="J17" s="574" t="e">
        <f ca="1">((1+I17*F17)*EXP($S$13*F17)-1)/F17</f>
        <v>#NAME?</v>
      </c>
      <c r="K17" s="574" t="e">
        <f ca="1">((1+F17*I17)*EXP($S$10*F17+0.5*$S$9*F17^2)-1)/F17</f>
        <v>#NAME?</v>
      </c>
      <c r="L17" s="574" t="e">
        <f ca="1">((1+F17*I17)*EXP($S$5*F17+0.5*$S$4*F17^2+1/3*$S$3*F17^3)-1)/F17</f>
        <v>#NAME?</v>
      </c>
      <c r="AB17" s="561" t="e">
        <f ca="1">_xll.qlCalendarAdvance(Calendar,AB16,"1d","mf",,Trigger)</f>
        <v>#NAME?</v>
      </c>
      <c r="AC17" s="577" t="e">
        <f ca="1">_xll.qlDayCounterYearFraction(DayCounter,SettlementDate,AB17,,,Trigger)</f>
        <v>#NAME?</v>
      </c>
      <c r="AD17" s="574" t="e">
        <f t="shared" ca="1" si="0"/>
        <v>#NAME?</v>
      </c>
      <c r="AE17" s="574" t="e">
        <f t="shared" ca="1" si="1"/>
        <v>#NAME?</v>
      </c>
      <c r="AF17" s="574" t="e">
        <f t="shared" ca="1" si="2"/>
        <v>#NAME?</v>
      </c>
    </row>
    <row r="18" spans="3:32" ht="12" customHeight="1" x14ac:dyDescent="0.2">
      <c r="C18" s="759" t="s">
        <v>176</v>
      </c>
      <c r="D18" s="758" t="e">
        <f ca="1">SettlementDate</f>
        <v>#NAME?</v>
      </c>
      <c r="E18" s="561" t="e">
        <f ca="1">_xll.qlCalendarAdvance(Calendar,SettlementDate,C18,"Following",,Trigger)</f>
        <v>#NAME?</v>
      </c>
      <c r="F18" s="577" t="e">
        <f ca="1">_xll.qlDayCounterYearFraction(DayCounter,D18,E18,,,Trigger)</f>
        <v>#NAME?</v>
      </c>
      <c r="G18" s="576" t="e">
        <f ca="1">_xll.qlYieldTSDiscount(Discounting,D18,,AllTriggers)</f>
        <v>#NAME?</v>
      </c>
      <c r="H18" s="820" t="e">
        <f ca="1">_xll.qlYieldTSDiscount(Discounting,E18,,AllTriggers)</f>
        <v>#NAME?</v>
      </c>
      <c r="I18" s="574" t="e">
        <f ca="1">(G18/H18-1)/F18</f>
        <v>#NAME?</v>
      </c>
      <c r="J18" s="574" t="e">
        <f ca="1">((1+I18*F18)*EXP($S$13*F18)-1)/F18</f>
        <v>#NAME?</v>
      </c>
      <c r="K18" s="574" t="e">
        <f ca="1">((1+F18*I18)*EXP($S$10*F18+0.5*$S$9*F18^2)-1)/F18</f>
        <v>#NAME?</v>
      </c>
      <c r="L18" s="574" t="e">
        <f ca="1">((1+F18*I18)*EXP($S$5*F18+0.5*$S$4*F18^2+1/3*$S$3*F18^3)-1)/F18</f>
        <v>#NAME?</v>
      </c>
      <c r="AB18" s="561" t="e">
        <f ca="1">_xll.qlCalendarAdvance(Calendar,AB17,"1d","mf",,Trigger)</f>
        <v>#NAME?</v>
      </c>
      <c r="AC18" s="577" t="e">
        <f ca="1">_xll.qlDayCounterYearFraction(DayCounter,SettlementDate,AB18,,,Trigger)</f>
        <v>#NAME?</v>
      </c>
      <c r="AD18" s="574" t="e">
        <f t="shared" ca="1" si="0"/>
        <v>#NAME?</v>
      </c>
      <c r="AE18" s="574" t="e">
        <f t="shared" ca="1" si="1"/>
        <v>#NAME?</v>
      </c>
      <c r="AF18" s="574" t="e">
        <f t="shared" ca="1" si="2"/>
        <v>#NAME?</v>
      </c>
    </row>
    <row r="19" spans="3:32" ht="12" customHeight="1" x14ac:dyDescent="0.2">
      <c r="C19" s="754" t="s">
        <v>175</v>
      </c>
      <c r="D19" s="753" t="e">
        <f ca="1">SettlementDate</f>
        <v>#NAME?</v>
      </c>
      <c r="E19" s="559" t="e">
        <f ca="1">_xll.qlCalendarAdvance(Calendar,SettlementDate,C19,"mf",TRUE,Trigger)</f>
        <v>#NAME?</v>
      </c>
      <c r="F19" s="570" t="e">
        <f ca="1">_xll.qlDayCounterYearFraction(DayCounter,D19,E19,,,Trigger)</f>
        <v>#NAME?</v>
      </c>
      <c r="G19" s="569" t="e">
        <f ca="1">_xll.qlYieldTSDiscount(Discounting,D19,,AllTriggers)</f>
        <v>#NAME?</v>
      </c>
      <c r="H19" s="819" t="e">
        <f ca="1">_xll.qlYieldTSDiscount(Discounting,E19,,AllTriggers)</f>
        <v>#NAME?</v>
      </c>
      <c r="I19" s="567" t="e">
        <f ca="1">(G19/H19-1)/F19</f>
        <v>#NAME?</v>
      </c>
      <c r="J19" s="567" t="e">
        <f ca="1">((1+I19*F19)*EXP($S$13*F19)-1)/F19</f>
        <v>#NAME?</v>
      </c>
      <c r="K19" s="567" t="e">
        <f ca="1">((1+F19*I19)*EXP($S$10*F19+0.5*$S$9*F19^2)-1)/F19</f>
        <v>#NAME?</v>
      </c>
      <c r="L19" s="567" t="e">
        <f ca="1">((1+F19*I19)*EXP($S$5*F19+0.5*$S$4*F19^2+1/3*$S$3*F19^3)-1)/F19</f>
        <v>#NAME?</v>
      </c>
      <c r="AB19" s="561" t="e">
        <f ca="1">_xll.qlCalendarAdvance(Calendar,AB18,"1d","mf",,Trigger)</f>
        <v>#NAME?</v>
      </c>
      <c r="AC19" s="577" t="e">
        <f ca="1">_xll.qlDayCounterYearFraction(DayCounter,SettlementDate,AB19,,,Trigger)</f>
        <v>#NAME?</v>
      </c>
      <c r="AD19" s="574" t="e">
        <f t="shared" ca="1" si="0"/>
        <v>#NAME?</v>
      </c>
      <c r="AE19" s="574" t="e">
        <f t="shared" ca="1" si="1"/>
        <v>#NAME?</v>
      </c>
      <c r="AF19" s="574" t="e">
        <f t="shared" ca="1" si="2"/>
        <v>#NAME?</v>
      </c>
    </row>
    <row r="20" spans="3:32" ht="12" customHeight="1" x14ac:dyDescent="0.2">
      <c r="AB20" s="561" t="e">
        <f ca="1">_xll.qlCalendarAdvance(Calendar,AB19,"1d","mf",,Trigger)</f>
        <v>#NAME?</v>
      </c>
      <c r="AC20" s="577" t="e">
        <f ca="1">_xll.qlDayCounterYearFraction(DayCounter,SettlementDate,AB20,,,Trigger)</f>
        <v>#NAME?</v>
      </c>
      <c r="AD20" s="574" t="e">
        <f t="shared" ca="1" si="0"/>
        <v>#NAME?</v>
      </c>
      <c r="AE20" s="574" t="e">
        <f t="shared" ca="1" si="1"/>
        <v>#NAME?</v>
      </c>
      <c r="AF20" s="574" t="e">
        <f t="shared" ca="1" si="2"/>
        <v>#NAME?</v>
      </c>
    </row>
    <row r="21" spans="3:32" ht="12" customHeight="1" x14ac:dyDescent="0.2">
      <c r="C21" s="593" t="s">
        <v>352</v>
      </c>
      <c r="AB21" s="561" t="e">
        <f ca="1">_xll.qlCalendarAdvance(Calendar,AB20,"1d","mf",,Trigger)</f>
        <v>#NAME?</v>
      </c>
      <c r="AC21" s="577" t="e">
        <f ca="1">_xll.qlDayCounterYearFraction(DayCounter,SettlementDate,AB21,,,Trigger)</f>
        <v>#NAME?</v>
      </c>
      <c r="AD21" s="574" t="e">
        <f t="shared" ca="1" si="0"/>
        <v>#NAME?</v>
      </c>
      <c r="AE21" s="574" t="e">
        <f t="shared" ca="1" si="1"/>
        <v>#NAME?</v>
      </c>
      <c r="AF21" s="574" t="e">
        <f t="shared" ca="1" si="2"/>
        <v>#NAME?</v>
      </c>
    </row>
    <row r="22" spans="3:32" ht="12" customHeight="1" x14ac:dyDescent="0.2">
      <c r="C22" s="749" t="s">
        <v>364</v>
      </c>
      <c r="AB22" s="561" t="e">
        <f ca="1">_xll.qlCalendarAdvance(Calendar,AB21,"1d","mf",,Trigger)</f>
        <v>#NAME?</v>
      </c>
      <c r="AC22" s="577" t="e">
        <f ca="1">_xll.qlDayCounterYearFraction(DayCounter,SettlementDate,AB22,,,Trigger)</f>
        <v>#NAME?</v>
      </c>
      <c r="AD22" s="574" t="e">
        <f t="shared" ca="1" si="0"/>
        <v>#NAME?</v>
      </c>
      <c r="AE22" s="574" t="e">
        <f t="shared" ca="1" si="1"/>
        <v>#NAME?</v>
      </c>
      <c r="AF22" s="574" t="e">
        <f t="shared" ca="1" si="2"/>
        <v>#NAME?</v>
      </c>
    </row>
    <row r="23" spans="3:32" ht="12" customHeight="1" x14ac:dyDescent="0.2">
      <c r="C23" s="574" t="e">
        <f ca="1">IF($C$22="FLAT",J15,IF($C$22="linear",K15,L15))</f>
        <v>#NAME?</v>
      </c>
      <c r="AB23" s="561" t="e">
        <f ca="1">_xll.qlCalendarAdvance(Calendar,AB22,"1d","mf",,Trigger)</f>
        <v>#NAME?</v>
      </c>
      <c r="AC23" s="577" t="e">
        <f ca="1">_xll.qlDayCounterYearFraction(DayCounter,SettlementDate,AB23,,,Trigger)</f>
        <v>#NAME?</v>
      </c>
      <c r="AD23" s="574" t="e">
        <f t="shared" ca="1" si="0"/>
        <v>#NAME?</v>
      </c>
      <c r="AE23" s="574" t="e">
        <f t="shared" ca="1" si="1"/>
        <v>#NAME?</v>
      </c>
      <c r="AF23" s="574" t="e">
        <f t="shared" ca="1" si="2"/>
        <v>#NAME?</v>
      </c>
    </row>
    <row r="24" spans="3:32" ht="12" customHeight="1" x14ac:dyDescent="0.2">
      <c r="C24" s="574" t="e">
        <f ca="1">IF($C$22="FLAT",J16,IF($C$22="linear",K16,L16))</f>
        <v>#NAME?</v>
      </c>
      <c r="AB24" s="561" t="e">
        <f ca="1">_xll.qlCalendarAdvance(Calendar,AB23,"1d","mf",,Trigger)</f>
        <v>#NAME?</v>
      </c>
      <c r="AC24" s="577" t="e">
        <f ca="1">_xll.qlDayCounterYearFraction(DayCounter,SettlementDate,AB24,,,Trigger)</f>
        <v>#NAME?</v>
      </c>
      <c r="AD24" s="574" t="e">
        <f t="shared" ca="1" si="0"/>
        <v>#NAME?</v>
      </c>
      <c r="AE24" s="574" t="e">
        <f t="shared" ca="1" si="1"/>
        <v>#NAME?</v>
      </c>
      <c r="AF24" s="574" t="e">
        <f t="shared" ca="1" si="2"/>
        <v>#NAME?</v>
      </c>
    </row>
    <row r="25" spans="3:32" ht="12" customHeight="1" x14ac:dyDescent="0.2">
      <c r="C25" s="574" t="e">
        <f ca="1">IF($C$22="FLAT",J17,IF($C$22="linear",K17,L17))</f>
        <v>#NAME?</v>
      </c>
      <c r="AB25" s="561" t="e">
        <f ca="1">_xll.qlCalendarAdvance(Calendar,AB24,"1d","mf",,Trigger)</f>
        <v>#NAME?</v>
      </c>
      <c r="AC25" s="577" t="e">
        <f ca="1">_xll.qlDayCounterYearFraction(DayCounter,SettlementDate,AB25,,,Trigger)</f>
        <v>#NAME?</v>
      </c>
      <c r="AD25" s="574" t="e">
        <f t="shared" ca="1" si="0"/>
        <v>#NAME?</v>
      </c>
      <c r="AE25" s="574" t="e">
        <f t="shared" ca="1" si="1"/>
        <v>#NAME?</v>
      </c>
      <c r="AF25" s="574" t="e">
        <f t="shared" ca="1" si="2"/>
        <v>#NAME?</v>
      </c>
    </row>
    <row r="26" spans="3:32" ht="12" customHeight="1" x14ac:dyDescent="0.2">
      <c r="C26" s="574" t="e">
        <f ca="1">IF($C$22="FLAT",J18,IF($C$22="linear",K18,L18))</f>
        <v>#NAME?</v>
      </c>
      <c r="AB26" s="559" t="e">
        <f ca="1">_xll.qlCalendarAdvance(Calendar,AB25,"1d","mf",,Trigger)</f>
        <v>#NAME?</v>
      </c>
      <c r="AC26" s="570" t="e">
        <f ca="1">_xll.qlDayCounterYearFraction(DayCounter,SettlementDate,AB26,,,Trigger)</f>
        <v>#NAME?</v>
      </c>
      <c r="AD26" s="567" t="e">
        <f t="shared" ca="1" si="0"/>
        <v>#NAME?</v>
      </c>
      <c r="AE26" s="567" t="e">
        <f t="shared" ca="1" si="1"/>
        <v>#NAME?</v>
      </c>
      <c r="AF26" s="567" t="e">
        <f t="shared" ca="1" si="2"/>
        <v>#NAME?</v>
      </c>
    </row>
    <row r="27" spans="3:32" ht="12" customHeight="1" x14ac:dyDescent="0.2">
      <c r="C27" s="567"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8"/>
      <c r="J39" s="748"/>
    </row>
    <row r="43" spans="9:13" ht="11.25" customHeight="1" x14ac:dyDescent="0.2"/>
    <row r="44" spans="9:13" x14ac:dyDescent="0.2">
      <c r="M44" s="813"/>
    </row>
    <row r="45" spans="9:13" x14ac:dyDescent="0.2">
      <c r="M45" s="813"/>
    </row>
    <row r="46" spans="9:13" x14ac:dyDescent="0.2">
      <c r="M46" s="813"/>
    </row>
    <row r="47" spans="9:13" x14ac:dyDescent="0.2">
      <c r="M47" s="813"/>
    </row>
    <row r="48" spans="9:13" x14ac:dyDescent="0.2">
      <c r="M48" s="813"/>
    </row>
    <row r="58" spans="9:10" x14ac:dyDescent="0.2">
      <c r="I58" s="748"/>
    </row>
    <row r="59" spans="9:10" x14ac:dyDescent="0.2">
      <c r="I59" s="748"/>
    </row>
    <row r="60" spans="9:10" x14ac:dyDescent="0.2">
      <c r="I60" s="748"/>
    </row>
    <row r="61" spans="9:10" x14ac:dyDescent="0.2">
      <c r="I61" s="748"/>
    </row>
    <row r="62" spans="9:10" x14ac:dyDescent="0.2">
      <c r="I62" s="748"/>
    </row>
    <row r="63" spans="9:10" x14ac:dyDescent="0.2">
      <c r="I63" s="748"/>
    </row>
    <row r="64" spans="9:10" x14ac:dyDescent="0.2">
      <c r="I64" s="748"/>
      <c r="J64" s="748"/>
    </row>
    <row r="65" spans="9:10" x14ac:dyDescent="0.2">
      <c r="I65" s="748"/>
      <c r="J65" s="748"/>
    </row>
    <row r="66" spans="9:10" x14ac:dyDescent="0.2">
      <c r="I66" s="748"/>
      <c r="J66" s="748"/>
    </row>
    <row r="67" spans="9:10" x14ac:dyDescent="0.2">
      <c r="I67" s="748"/>
      <c r="J67" s="748"/>
    </row>
    <row r="68" spans="9:10" x14ac:dyDescent="0.2">
      <c r="I68" s="748"/>
      <c r="J68" s="748"/>
    </row>
    <row r="69" spans="9:10" x14ac:dyDescent="0.2">
      <c r="I69" s="748"/>
      <c r="J69" s="748"/>
    </row>
    <row r="70" spans="9:10" x14ac:dyDescent="0.2">
      <c r="I70" s="748"/>
      <c r="J70" s="748"/>
    </row>
    <row r="71" spans="9:10" x14ac:dyDescent="0.2">
      <c r="I71" s="748"/>
      <c r="J71" s="748"/>
    </row>
    <row r="72" spans="9:10" x14ac:dyDescent="0.2">
      <c r="I72" s="748"/>
      <c r="J72" s="748"/>
    </row>
    <row r="73" spans="9:10" x14ac:dyDescent="0.2">
      <c r="I73" s="748"/>
      <c r="J73" s="748"/>
    </row>
    <row r="74" spans="9:10" x14ac:dyDescent="0.2">
      <c r="I74" s="748"/>
      <c r="J74" s="748"/>
    </row>
    <row r="75" spans="9:10" x14ac:dyDescent="0.2">
      <c r="I75" s="748"/>
      <c r="J75" s="748"/>
    </row>
    <row r="76" spans="9:10" x14ac:dyDescent="0.2">
      <c r="I76" s="748"/>
      <c r="J76" s="748"/>
    </row>
    <row r="77" spans="9:10" x14ac:dyDescent="0.2">
      <c r="I77" s="748"/>
      <c r="J77" s="748"/>
    </row>
    <row r="78" spans="9:10" x14ac:dyDescent="0.2">
      <c r="I78" s="748"/>
      <c r="J78" s="748"/>
    </row>
    <row r="79" spans="9:10" x14ac:dyDescent="0.2">
      <c r="I79" s="748"/>
      <c r="J79" s="748"/>
    </row>
    <row r="80" spans="9:10" x14ac:dyDescent="0.2">
      <c r="I80" s="748"/>
      <c r="J80" s="748"/>
    </row>
    <row r="81" spans="9:10" x14ac:dyDescent="0.2">
      <c r="I81" s="748"/>
      <c r="J81" s="748"/>
    </row>
    <row r="82" spans="9:10" x14ac:dyDescent="0.2">
      <c r="I82" s="748"/>
      <c r="J82" s="748"/>
    </row>
    <row r="83" spans="9:10" x14ac:dyDescent="0.2">
      <c r="I83" s="748"/>
      <c r="J83" s="748"/>
    </row>
    <row r="84" spans="9:10" x14ac:dyDescent="0.2">
      <c r="I84" s="748"/>
      <c r="J84" s="748"/>
    </row>
    <row r="85" spans="9:10" x14ac:dyDescent="0.2">
      <c r="I85" s="748"/>
      <c r="J85" s="748"/>
    </row>
    <row r="86" spans="9:10" x14ac:dyDescent="0.2">
      <c r="I86" s="748"/>
      <c r="J86" s="748"/>
    </row>
    <row r="87" spans="9:10" x14ac:dyDescent="0.2">
      <c r="I87" s="748"/>
      <c r="J87" s="748"/>
    </row>
    <row r="88" spans="9:10" x14ac:dyDescent="0.2">
      <c r="I88" s="748"/>
      <c r="J88" s="748"/>
    </row>
    <row r="89" spans="9:10" x14ac:dyDescent="0.2">
      <c r="I89" s="748"/>
      <c r="J89" s="748"/>
    </row>
    <row r="90" spans="9:10" x14ac:dyDescent="0.2">
      <c r="I90" s="748"/>
      <c r="J90" s="748"/>
    </row>
    <row r="91" spans="9:10" x14ac:dyDescent="0.2">
      <c r="I91" s="748"/>
      <c r="J91" s="748"/>
    </row>
    <row r="92" spans="9:10" x14ac:dyDescent="0.2">
      <c r="I92" s="748"/>
      <c r="J92" s="748"/>
    </row>
    <row r="93" spans="9:10" x14ac:dyDescent="0.2">
      <c r="I93" s="748"/>
      <c r="J93" s="748"/>
    </row>
    <row r="94" spans="9:10" x14ac:dyDescent="0.2">
      <c r="I94" s="748"/>
      <c r="J94" s="748"/>
    </row>
    <row r="95" spans="9:10" x14ac:dyDescent="0.2">
      <c r="I95" s="748"/>
      <c r="J95" s="748"/>
    </row>
    <row r="96" spans="9:10" x14ac:dyDescent="0.2">
      <c r="I96" s="748"/>
      <c r="J96" s="748"/>
    </row>
    <row r="97" spans="9:10" x14ac:dyDescent="0.2">
      <c r="I97" s="748"/>
      <c r="J97" s="748"/>
    </row>
    <row r="98" spans="9:10" x14ac:dyDescent="0.2">
      <c r="I98" s="748"/>
      <c r="J98" s="748"/>
    </row>
    <row r="99" spans="9:10" x14ac:dyDescent="0.2">
      <c r="I99" s="748"/>
      <c r="J99" s="748"/>
    </row>
    <row r="100" spans="9:10" x14ac:dyDescent="0.2">
      <c r="I100" s="748"/>
      <c r="J100" s="748"/>
    </row>
    <row r="101" spans="9:10" x14ac:dyDescent="0.2">
      <c r="I101" s="748"/>
      <c r="J101" s="748"/>
    </row>
    <row r="102" spans="9:10" x14ac:dyDescent="0.2">
      <c r="I102" s="748"/>
      <c r="J102" s="748"/>
    </row>
    <row r="103" spans="9:10" x14ac:dyDescent="0.2">
      <c r="I103" s="748"/>
      <c r="J103" s="748"/>
    </row>
    <row r="104" spans="9:10" x14ac:dyDescent="0.2">
      <c r="I104" s="748"/>
      <c r="J104" s="748"/>
    </row>
    <row r="105" spans="9:10" x14ac:dyDescent="0.2">
      <c r="I105" s="748"/>
      <c r="J105" s="748"/>
    </row>
    <row r="106" spans="9:10" x14ac:dyDescent="0.2">
      <c r="I106" s="748"/>
      <c r="J106" s="748"/>
    </row>
    <row r="107" spans="9:10" x14ac:dyDescent="0.2">
      <c r="I107" s="748"/>
      <c r="J107" s="748"/>
    </row>
    <row r="108" spans="9:10" x14ac:dyDescent="0.2">
      <c r="I108" s="748"/>
      <c r="J108" s="748"/>
    </row>
    <row r="109" spans="9:10" x14ac:dyDescent="0.2">
      <c r="I109" s="748"/>
      <c r="J109" s="748"/>
    </row>
    <row r="110" spans="9:10" x14ac:dyDescent="0.2">
      <c r="I110" s="748"/>
      <c r="J110" s="748"/>
    </row>
    <row r="111" spans="9:10" x14ac:dyDescent="0.2">
      <c r="I111" s="562"/>
      <c r="J111" s="748"/>
    </row>
    <row r="112" spans="9:10" x14ac:dyDescent="0.2">
      <c r="I112" s="562"/>
      <c r="J112" s="748"/>
    </row>
    <row r="113" spans="9:10" x14ac:dyDescent="0.2">
      <c r="I113" s="562"/>
      <c r="J113" s="748"/>
    </row>
    <row r="114" spans="9:10" x14ac:dyDescent="0.2">
      <c r="I114" s="562"/>
      <c r="J114" s="748"/>
    </row>
    <row r="115" spans="9:10" x14ac:dyDescent="0.2">
      <c r="I115" s="562"/>
      <c r="J115" s="748"/>
    </row>
    <row r="116" spans="9:10" x14ac:dyDescent="0.2">
      <c r="I116" s="562"/>
      <c r="J116" s="748"/>
    </row>
    <row r="117" spans="9:10" x14ac:dyDescent="0.2">
      <c r="I117" s="562"/>
      <c r="J117" s="562"/>
    </row>
    <row r="118" spans="9:10" x14ac:dyDescent="0.2">
      <c r="I118" s="562"/>
      <c r="J118" s="562"/>
    </row>
    <row r="119" spans="9:10" x14ac:dyDescent="0.2">
      <c r="I119" s="562"/>
      <c r="J119" s="562"/>
    </row>
    <row r="120" spans="9:10" x14ac:dyDescent="0.2">
      <c r="I120" s="562"/>
      <c r="J120" s="562"/>
    </row>
    <row r="121" spans="9:10" x14ac:dyDescent="0.2">
      <c r="I121" s="562"/>
      <c r="J121" s="562"/>
    </row>
    <row r="122" spans="9:10" x14ac:dyDescent="0.2">
      <c r="I122" s="562"/>
      <c r="J122" s="562"/>
    </row>
    <row r="123" spans="9:10" x14ac:dyDescent="0.2">
      <c r="I123" s="562"/>
      <c r="J123" s="562"/>
    </row>
    <row r="124" spans="9:10" x14ac:dyDescent="0.2">
      <c r="I124" s="562"/>
      <c r="J124" s="562"/>
    </row>
    <row r="125" spans="9:10" x14ac:dyDescent="0.2">
      <c r="I125" s="562"/>
      <c r="J125" s="562"/>
    </row>
    <row r="126" spans="9:10" x14ac:dyDescent="0.2">
      <c r="I126" s="562"/>
      <c r="J126" s="562"/>
    </row>
    <row r="127" spans="9:10" x14ac:dyDescent="0.2">
      <c r="J127" s="562"/>
    </row>
    <row r="128" spans="9:10" x14ac:dyDescent="0.2">
      <c r="J128" s="562"/>
    </row>
    <row r="129" spans="10:10" x14ac:dyDescent="0.2">
      <c r="J129" s="562"/>
    </row>
    <row r="130" spans="10:10" x14ac:dyDescent="0.2">
      <c r="J130" s="562"/>
    </row>
    <row r="131" spans="10:10" x14ac:dyDescent="0.2">
      <c r="J131" s="562"/>
    </row>
    <row r="132" spans="10:10" x14ac:dyDescent="0.2">
      <c r="J132" s="56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6" width="9" style="555" bestFit="1"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bestFit="1" customWidth="1"/>
    <col min="30" max="31" width="8.140625" style="555"/>
    <col min="32" max="32" width="17.42578125" style="555" bestFit="1" customWidth="1"/>
    <col min="33" max="33" width="7" style="555" bestFit="1" customWidth="1"/>
    <col min="34" max="35" width="8.140625" style="555" bestFit="1" customWidth="1"/>
    <col min="36" max="36" width="10.42578125" style="555"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Euribor3MLastFixing_Quote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3M'!P3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816"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92" t="e">
        <f ca="1">IF(_xll.qlIMMIsIMMdate(D4,FALSE),_xll.qlIMMcode(D4),"0")</f>
        <v>#NAME?</v>
      </c>
      <c r="B4" s="818" t="e">
        <f ca="1">A4+SUBSTITUTE($D$9,"M","")</f>
        <v>#NAME?</v>
      </c>
      <c r="C4" s="801" t="e">
        <f ca="1">"Delta("&amp;A4&amp;"M,"&amp;B4&amp;"M)extrap"</f>
        <v>#NAME?</v>
      </c>
      <c r="D4" s="758" t="e">
        <f ca="1">IF((_xll.qlIMMNextDate(SettlementDate-1,FALSE)-SettlementDate)&lt;7,_xll.qlIMMNextDate(SettlementDate-1,FALSE),SettlementDate)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LN((1+(_xll.qlInterpolationInterpolate(B3Minterpolation,D4,TRUE,AllTriggers)+I4)*H4)/(1+I4*H4))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816"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_xll.ohTrigger(AF3:AF65)</f>
        <v>#NAME?</v>
      </c>
    </row>
    <row r="5" spans="1:39" ht="12" customHeight="1" x14ac:dyDescent="0.2">
      <c r="A5" s="564" t="e">
        <f t="shared" ref="A5:B7" ca="1" si="3">MONTH(D5)</f>
        <v>#NAME?</v>
      </c>
      <c r="B5" s="818" t="e">
        <f t="shared" ca="1" si="3"/>
        <v>#NAME?</v>
      </c>
      <c r="C5" s="801" t="e">
        <f ca="1">"Delta("&amp;A5&amp;"M,"&amp;B5&amp;"M)"</f>
        <v>#NAME?</v>
      </c>
      <c r="D5" s="758" t="e">
        <f ca="1">_xll.qlIMMNextDate(D4,FALSE)</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LN((1+(_xll.qlInterpolationInterpolate(B3Minterpolation,D5,TRUE,AllTriggers)+I5)*H5)/(1+I5*H5))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816"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t="e">
        <f t="shared" ca="1" si="3"/>
        <v>#NAME?</v>
      </c>
      <c r="B6" s="818" t="e">
        <f t="shared" ca="1" si="3"/>
        <v>#NAME?</v>
      </c>
      <c r="C6" s="801" t="e">
        <f ca="1">"Delta("&amp;A6&amp;"M,"&amp;B6&amp;"M)"</f>
        <v>#NAME?</v>
      </c>
      <c r="D6" s="758" t="e">
        <f ca="1">_xll.qlIMMNextDate(D5,FALSE)</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LN((1+(_xll.qlInterpolationInterpolate(B3Minterpolation,D6,TRUE,AllTriggers)+I6)*H6)/(1+I6*H6))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t="e">
        <f t="shared" ca="1" si="3"/>
        <v>#NAME?</v>
      </c>
      <c r="B7" s="818" t="e">
        <f t="shared" ca="1" si="3"/>
        <v>#NAME?</v>
      </c>
      <c r="C7" s="794" t="e">
        <f ca="1">"Delta("&amp;A7&amp;"M,"&amp;B7&amp;"M)"</f>
        <v>#NAME?</v>
      </c>
      <c r="D7" s="753" t="e">
        <f ca="1">_xll.qlIMMNextDate(D6,FALSE)</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LN((1+(_xll.qlInterpolationInterpolate(B3Minterpolation,D7,TRUE,AllTriggers)+I7)*H7)/(1+I7*H7))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127</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816"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Euribor3M</v>
      </c>
      <c r="R10" s="1400"/>
      <c r="S10" s="782"/>
      <c r="T10" s="781" t="e">
        <f ca="1"/>
        <v>#NAME?</v>
      </c>
      <c r="U10" s="780" t="e">
        <f ca="1"/>
        <v>#NAME?</v>
      </c>
      <c r="V10" s="1402"/>
      <c r="W10" s="770" t="e">
        <f ca="1"/>
        <v>#NAME?</v>
      </c>
      <c r="X10" s="1402"/>
      <c r="Y10" s="816"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375</v>
      </c>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817" t="str">
        <f>"Synthetic Deposits "&amp;D9</f>
        <v>Synthetic Deposits 3M</v>
      </c>
      <c r="O13" s="817"/>
      <c r="P13" s="817"/>
      <c r="R13" s="769" t="s">
        <v>355</v>
      </c>
      <c r="U13" s="767" t="e">
        <f t="array" aca="1" ref="U13" ca="1">_xll.ohFilter(M3:M7,P3:P7)</f>
        <v>#NAME?</v>
      </c>
      <c r="V13" s="769" t="s">
        <v>180</v>
      </c>
      <c r="W13" s="770" t="e">
        <f ca="1">MMULT(AA13,Y13)</f>
        <v>#NAME?</v>
      </c>
      <c r="X13" s="769" t="s">
        <v>358</v>
      </c>
      <c r="Y13" s="816"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593" t="s">
        <v>315</v>
      </c>
      <c r="M14" s="765" t="s">
        <v>314</v>
      </c>
      <c r="N14" s="764" t="s">
        <v>355</v>
      </c>
      <c r="O14" s="764" t="s">
        <v>351</v>
      </c>
      <c r="P14" s="764" t="s">
        <v>354</v>
      </c>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1" ca="1" si="4">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580" t="e">
        <f ca="1">_xll.qlYieldTSDiscount(Discounting,E15,,AllTriggers)</f>
        <v>#NAME?</v>
      </c>
      <c r="M15" s="815" t="e">
        <f t="shared" ref="M15:M21" ca="1" si="5">(K15/L15-1)/J15</f>
        <v>#NAME?</v>
      </c>
      <c r="N15" s="579" t="e">
        <f t="shared" ref="N15:N21" ca="1" si="6">((1+M15*J15)*EXP($W$13*J15)-1)/J15</f>
        <v>#NAME?</v>
      </c>
      <c r="O15" s="579" t="e">
        <f t="shared" ref="O15:O21" ca="1" si="7">((1+J15*M15)*EXP($W$10*J15+0.5*$W$9*J15^2)-1)/J15</f>
        <v>#NAME?</v>
      </c>
      <c r="P15" s="579" t="e">
        <f t="shared" ref="P15:P21" ca="1" si="8">((1+J15*M15)*EXP($W$5*J15+0.5*$W$4*J15^2+1/3*$W$3*J15^3)-1)/J15</f>
        <v>#NAME?</v>
      </c>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4"/>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576" t="e">
        <f ca="1">_xll.qlYieldTSDiscount(Discounting,E16,,AllTriggers)</f>
        <v>#NAME?</v>
      </c>
      <c r="M16" s="815" t="e">
        <f t="shared" ca="1" si="5"/>
        <v>#NAME?</v>
      </c>
      <c r="N16" s="574" t="e">
        <f t="shared" ca="1" si="6"/>
        <v>#NAME?</v>
      </c>
      <c r="O16" s="574" t="e">
        <f t="shared" ca="1" si="7"/>
        <v>#NAME?</v>
      </c>
      <c r="P16" s="574" t="e">
        <f t="shared" ca="1" si="8"/>
        <v>#NAME?</v>
      </c>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4"/>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576" t="e">
        <f ca="1">_xll.qlYieldTSDiscount(Discounting,E17,,AllTriggers)</f>
        <v>#NAME?</v>
      </c>
      <c r="M17" s="815" t="e">
        <f t="shared" ca="1" si="5"/>
        <v>#NAME?</v>
      </c>
      <c r="N17" s="574" t="e">
        <f t="shared" ca="1" si="6"/>
        <v>#NAME?</v>
      </c>
      <c r="O17" s="574" t="e">
        <f t="shared" ca="1" si="7"/>
        <v>#NAME?</v>
      </c>
      <c r="P17" s="574" t="e">
        <f t="shared" ca="1" si="8"/>
        <v>#NAME?</v>
      </c>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4"/>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576" t="e">
        <f ca="1">_xll.qlYieldTSDiscount(Discounting,E18,,AllTriggers)</f>
        <v>#NAME?</v>
      </c>
      <c r="M18" s="815" t="e">
        <f t="shared" ca="1" si="5"/>
        <v>#NAME?</v>
      </c>
      <c r="N18" s="574" t="e">
        <f t="shared" ca="1" si="6"/>
        <v>#NAME?</v>
      </c>
      <c r="O18" s="574" t="e">
        <f t="shared" ca="1" si="7"/>
        <v>#NAME?</v>
      </c>
      <c r="P18" s="574" t="e">
        <f t="shared" ca="1" si="8"/>
        <v>#NAME?</v>
      </c>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4"/>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576" t="e">
        <f ca="1">_xll.qlYieldTSDiscount(Discounting,E19,,AllTriggers)</f>
        <v>#NAME?</v>
      </c>
      <c r="M19" s="815" t="e">
        <f t="shared" ca="1" si="5"/>
        <v>#NAME?</v>
      </c>
      <c r="N19" s="574" t="e">
        <f t="shared" ca="1" si="6"/>
        <v>#NAME?</v>
      </c>
      <c r="O19" s="574" t="e">
        <f t="shared" ca="1" si="7"/>
        <v>#NAME?</v>
      </c>
      <c r="P19" s="574" t="e">
        <f t="shared" ca="1" si="8"/>
        <v>#NAME?</v>
      </c>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4"/>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576" t="e">
        <f ca="1">_xll.qlYieldTSDiscount(Discounting,E20,,AllTriggers)</f>
        <v>#NAME?</v>
      </c>
      <c r="M20" s="815" t="e">
        <f t="shared" ca="1" si="5"/>
        <v>#NAME?</v>
      </c>
      <c r="N20" s="574" t="e">
        <f t="shared" ca="1" si="6"/>
        <v>#NAME?</v>
      </c>
      <c r="O20" s="574" t="e">
        <f t="shared" ca="1" si="7"/>
        <v>#NAME?</v>
      </c>
      <c r="P20" s="574" t="e">
        <f t="shared" ca="1" si="8"/>
        <v>#NAME?</v>
      </c>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4" t="s">
        <v>127</v>
      </c>
      <c r="D21" s="753" t="e">
        <f t="shared" ca="1" si="4"/>
        <v>#NAME?</v>
      </c>
      <c r="E21" s="559" t="e">
        <f ca="1">_xll.qlCalendarAdvance(Calendar,SettlementDate,C21,"mf",TRUE,Trigger)</f>
        <v>#NAME?</v>
      </c>
      <c r="F21" s="752"/>
      <c r="G21" s="752"/>
      <c r="H21" s="752"/>
      <c r="I21" s="752"/>
      <c r="J21" s="570" t="e">
        <f ca="1">_xll.qlDayCounterYearFraction(DayCounter,D21,E21,,,Trigger)</f>
        <v>#NAME?</v>
      </c>
      <c r="K21" s="751" t="e">
        <f ca="1">_xll.qlYieldTSDiscount(Discounting,D21,,AllTriggers)</f>
        <v>#NAME?</v>
      </c>
      <c r="L21" s="569" t="e">
        <f ca="1">_xll.qlYieldTSDiscount(Discounting,E21,,AllTriggers)</f>
        <v>#NAME?</v>
      </c>
      <c r="M21" s="814" t="e">
        <f t="shared" ca="1" si="5"/>
        <v>#NAME?</v>
      </c>
      <c r="N21" s="567" t="e">
        <f t="shared" ca="1" si="6"/>
        <v>#NAME?</v>
      </c>
      <c r="O21" s="567" t="e">
        <f t="shared" ca="1" si="7"/>
        <v>#NAME?</v>
      </c>
      <c r="P21" s="567" t="e">
        <f t="shared" ca="1" si="8"/>
        <v>#NAME?</v>
      </c>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593" t="s">
        <v>352</v>
      </c>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49" t="s">
        <v>364</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574" t="e">
        <f t="shared" ref="C25:C31" ca="1" si="9">IF($C$24="FLAT",N15,IF($C$24="linear",O15,P15))</f>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74" t="e">
        <f t="shared" ca="1" si="9"/>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574" t="e">
        <f t="shared" ca="1" si="9"/>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ca="1" si="9"/>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9"/>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9"/>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67" t="e">
        <f t="shared" ca="1" si="9"/>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13:36" x14ac:dyDescent="0.2">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13:36" x14ac:dyDescent="0.2">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13:36" x14ac:dyDescent="0.2">
      <c r="AF35" s="561" t="e">
        <f ca="1">_xll.qlCalendarAdvance(Calendar,AF34,"1d","mf",,Trigger)</f>
        <v>#NAME?</v>
      </c>
      <c r="AG35" s="577" t="e">
        <f ca="1">_xll.qlDayCounterYearFraction(DayCounter,SettlementDate,AF35,,,Trigger)</f>
        <v>#NAME?</v>
      </c>
      <c r="AH35" s="574" t="e">
        <f t="shared" ref="AH35:AH65" ca="1" si="10">$W$13</f>
        <v>#NAME?</v>
      </c>
      <c r="AI35" s="574" t="e">
        <f t="shared" ref="AI35:AI65" ca="1" si="11">$W$10+$W$9*AG35</f>
        <v>#NAME?</v>
      </c>
      <c r="AJ35" s="574" t="e">
        <f t="shared" ref="AJ35:AJ65" ca="1" si="12">($W$5+$W$4*AG35+$W$3*AG35^2)</f>
        <v>#NAME?</v>
      </c>
    </row>
    <row r="36" spans="13:36" x14ac:dyDescent="0.2">
      <c r="AF36" s="561" t="e">
        <f ca="1">_xll.qlCalendarAdvance(Calendar,AF35,"1d","mf",,Trigger)</f>
        <v>#NAME?</v>
      </c>
      <c r="AG36" s="577" t="e">
        <f ca="1">_xll.qlDayCounterYearFraction(DayCounter,SettlementDate,AF36,,,Trigger)</f>
        <v>#NAME?</v>
      </c>
      <c r="AH36" s="574" t="e">
        <f t="shared" ca="1" si="10"/>
        <v>#NAME?</v>
      </c>
      <c r="AI36" s="574" t="e">
        <f t="shared" ca="1" si="11"/>
        <v>#NAME?</v>
      </c>
      <c r="AJ36" s="574" t="e">
        <f t="shared" ca="1" si="12"/>
        <v>#NAME?</v>
      </c>
    </row>
    <row r="37" spans="13:36" x14ac:dyDescent="0.2">
      <c r="AF37" s="561" t="e">
        <f ca="1">_xll.qlCalendarAdvance(Calendar,AF36,"1d","mf",,Trigger)</f>
        <v>#NAME?</v>
      </c>
      <c r="AG37" s="577" t="e">
        <f ca="1">_xll.qlDayCounterYearFraction(DayCounter,SettlementDate,AF37,,,Trigger)</f>
        <v>#NAME?</v>
      </c>
      <c r="AH37" s="574" t="e">
        <f t="shared" ca="1" si="10"/>
        <v>#NAME?</v>
      </c>
      <c r="AI37" s="574" t="e">
        <f t="shared" ca="1" si="11"/>
        <v>#NAME?</v>
      </c>
      <c r="AJ37" s="574" t="e">
        <f t="shared" ca="1" si="12"/>
        <v>#NAME?</v>
      </c>
    </row>
    <row r="38" spans="13:36" x14ac:dyDescent="0.2">
      <c r="AF38" s="561" t="e">
        <f ca="1">_xll.qlCalendarAdvance(Calendar,AF37,"1d","mf",,Trigger)</f>
        <v>#NAME?</v>
      </c>
      <c r="AG38" s="577" t="e">
        <f ca="1">_xll.qlDayCounterYearFraction(DayCounter,SettlementDate,AF38,,,Trigger)</f>
        <v>#NAME?</v>
      </c>
      <c r="AH38" s="574" t="e">
        <f t="shared" ca="1" si="10"/>
        <v>#NAME?</v>
      </c>
      <c r="AI38" s="574" t="e">
        <f t="shared" ca="1" si="11"/>
        <v>#NAME?</v>
      </c>
      <c r="AJ38" s="574" t="e">
        <f t="shared" ca="1" si="12"/>
        <v>#NAME?</v>
      </c>
    </row>
    <row r="39" spans="13:36" x14ac:dyDescent="0.2">
      <c r="AF39" s="561" t="e">
        <f ca="1">_xll.qlCalendarAdvance(Calendar,AF38,"1d","mf",,Trigger)</f>
        <v>#NAME?</v>
      </c>
      <c r="AG39" s="577" t="e">
        <f ca="1">_xll.qlDayCounterYearFraction(DayCounter,SettlementDate,AF39,,,Trigger)</f>
        <v>#NAME?</v>
      </c>
      <c r="AH39" s="574" t="e">
        <f t="shared" ca="1" si="10"/>
        <v>#NAME?</v>
      </c>
      <c r="AI39" s="574" t="e">
        <f t="shared" ca="1" si="11"/>
        <v>#NAME?</v>
      </c>
      <c r="AJ39" s="574" t="e">
        <f t="shared" ca="1" si="12"/>
        <v>#NAME?</v>
      </c>
    </row>
    <row r="40" spans="13:36" x14ac:dyDescent="0.2">
      <c r="AF40" s="561" t="e">
        <f ca="1">_xll.qlCalendarAdvance(Calendar,AF39,"1d","mf",,Trigger)</f>
        <v>#NAME?</v>
      </c>
      <c r="AG40" s="577" t="e">
        <f ca="1">_xll.qlDayCounterYearFraction(DayCounter,SettlementDate,AF40,,,Trigger)</f>
        <v>#NAME?</v>
      </c>
      <c r="AH40" s="574" t="e">
        <f t="shared" ca="1" si="10"/>
        <v>#NAME?</v>
      </c>
      <c r="AI40" s="574" t="e">
        <f t="shared" ca="1" si="11"/>
        <v>#NAME?</v>
      </c>
      <c r="AJ40" s="574" t="e">
        <f t="shared" ca="1" si="12"/>
        <v>#NAME?</v>
      </c>
    </row>
    <row r="41" spans="13:36" x14ac:dyDescent="0.2">
      <c r="M41" s="748"/>
      <c r="N41" s="748"/>
      <c r="AF41" s="561" t="e">
        <f ca="1">_xll.qlCalendarAdvance(Calendar,AF40,"1d","mf",,Trigger)</f>
        <v>#NAME?</v>
      </c>
      <c r="AG41" s="577" t="e">
        <f ca="1">_xll.qlDayCounterYearFraction(DayCounter,SettlementDate,AF41,,,Trigger)</f>
        <v>#NAME?</v>
      </c>
      <c r="AH41" s="574" t="e">
        <f t="shared" ca="1" si="10"/>
        <v>#NAME?</v>
      </c>
      <c r="AI41" s="574" t="e">
        <f t="shared" ca="1" si="11"/>
        <v>#NAME?</v>
      </c>
      <c r="AJ41" s="574" t="e">
        <f t="shared" ca="1" si="12"/>
        <v>#NAME?</v>
      </c>
    </row>
    <row r="42" spans="13:36" x14ac:dyDescent="0.2">
      <c r="AF42" s="561" t="e">
        <f ca="1">_xll.qlCalendarAdvance(Calendar,AF41,"1d","mf",,Trigger)</f>
        <v>#NAME?</v>
      </c>
      <c r="AG42" s="577" t="e">
        <f ca="1">_xll.qlDayCounterYearFraction(DayCounter,SettlementDate,AF42,,,Trigger)</f>
        <v>#NAME?</v>
      </c>
      <c r="AH42" s="574" t="e">
        <f t="shared" ca="1" si="10"/>
        <v>#NAME?</v>
      </c>
      <c r="AI42" s="574" t="e">
        <f t="shared" ca="1" si="11"/>
        <v>#NAME?</v>
      </c>
      <c r="AJ42" s="574" t="e">
        <f t="shared" ca="1" si="12"/>
        <v>#NAME?</v>
      </c>
    </row>
    <row r="43" spans="13:36" ht="11.25" customHeight="1" x14ac:dyDescent="0.2">
      <c r="AF43" s="561" t="e">
        <f ca="1">_xll.qlCalendarAdvance(Calendar,AF42,"1d","mf",,Trigger)</f>
        <v>#NAME?</v>
      </c>
      <c r="AG43" s="577" t="e">
        <f ca="1">_xll.qlDayCounterYearFraction(DayCounter,SettlementDate,AF43,,,Trigger)</f>
        <v>#NAME?</v>
      </c>
      <c r="AH43" s="574" t="e">
        <f t="shared" ca="1" si="10"/>
        <v>#NAME?</v>
      </c>
      <c r="AI43" s="574" t="e">
        <f t="shared" ca="1" si="11"/>
        <v>#NAME?</v>
      </c>
      <c r="AJ43" s="574" t="e">
        <f t="shared" ca="1" si="12"/>
        <v>#NAME?</v>
      </c>
    </row>
    <row r="44" spans="13:36" x14ac:dyDescent="0.2">
      <c r="Q44" s="813"/>
      <c r="AF44" s="561" t="e">
        <f ca="1">_xll.qlCalendarAdvance(Calendar,AF43,"1d","mf",,Trigger)</f>
        <v>#NAME?</v>
      </c>
      <c r="AG44" s="577" t="e">
        <f ca="1">_xll.qlDayCounterYearFraction(DayCounter,SettlementDate,AF44,,,Trigger)</f>
        <v>#NAME?</v>
      </c>
      <c r="AH44" s="574" t="e">
        <f t="shared" ca="1" si="10"/>
        <v>#NAME?</v>
      </c>
      <c r="AI44" s="574" t="e">
        <f t="shared" ca="1" si="11"/>
        <v>#NAME?</v>
      </c>
      <c r="AJ44" s="574" t="e">
        <f t="shared" ca="1" si="12"/>
        <v>#NAME?</v>
      </c>
    </row>
    <row r="45" spans="13:36" x14ac:dyDescent="0.2">
      <c r="Q45" s="813"/>
      <c r="AF45" s="561" t="e">
        <f ca="1">_xll.qlCalendarAdvance(Calendar,AF44,"1d","mf",,Trigger)</f>
        <v>#NAME?</v>
      </c>
      <c r="AG45" s="577" t="e">
        <f ca="1">_xll.qlDayCounterYearFraction(DayCounter,SettlementDate,AF45,,,Trigger)</f>
        <v>#NAME?</v>
      </c>
      <c r="AH45" s="574" t="e">
        <f t="shared" ca="1" si="10"/>
        <v>#NAME?</v>
      </c>
      <c r="AI45" s="574" t="e">
        <f t="shared" ca="1" si="11"/>
        <v>#NAME?</v>
      </c>
      <c r="AJ45" s="574" t="e">
        <f t="shared" ca="1" si="12"/>
        <v>#NAME?</v>
      </c>
    </row>
    <row r="46" spans="13:36" x14ac:dyDescent="0.2">
      <c r="Q46" s="813"/>
      <c r="AF46" s="561" t="e">
        <f ca="1">_xll.qlCalendarAdvance(Calendar,AF45,"1d","mf",,Trigger)</f>
        <v>#NAME?</v>
      </c>
      <c r="AG46" s="577" t="e">
        <f ca="1">_xll.qlDayCounterYearFraction(DayCounter,SettlementDate,AF46,,,Trigger)</f>
        <v>#NAME?</v>
      </c>
      <c r="AH46" s="574" t="e">
        <f t="shared" ca="1" si="10"/>
        <v>#NAME?</v>
      </c>
      <c r="AI46" s="574" t="e">
        <f t="shared" ca="1" si="11"/>
        <v>#NAME?</v>
      </c>
      <c r="AJ46" s="574" t="e">
        <f t="shared" ca="1" si="12"/>
        <v>#NAME?</v>
      </c>
    </row>
    <row r="47" spans="13:36" x14ac:dyDescent="0.2">
      <c r="Q47" s="813"/>
      <c r="AF47" s="561" t="e">
        <f ca="1">_xll.qlCalendarAdvance(Calendar,AF46,"1d","mf",,Trigger)</f>
        <v>#NAME?</v>
      </c>
      <c r="AG47" s="577" t="e">
        <f ca="1">_xll.qlDayCounterYearFraction(DayCounter,SettlementDate,AF47,,,Trigger)</f>
        <v>#NAME?</v>
      </c>
      <c r="AH47" s="574" t="e">
        <f t="shared" ca="1" si="10"/>
        <v>#NAME?</v>
      </c>
      <c r="AI47" s="574" t="e">
        <f t="shared" ca="1" si="11"/>
        <v>#NAME?</v>
      </c>
      <c r="AJ47" s="574" t="e">
        <f t="shared" ca="1" si="12"/>
        <v>#NAME?</v>
      </c>
    </row>
    <row r="48" spans="13:36" x14ac:dyDescent="0.2">
      <c r="Q48" s="813"/>
      <c r="AF48" s="561" t="e">
        <f ca="1">_xll.qlCalendarAdvance(Calendar,AF47,"1d","mf",,Trigger)</f>
        <v>#NAME?</v>
      </c>
      <c r="AG48" s="577" t="e">
        <f ca="1">_xll.qlDayCounterYearFraction(DayCounter,SettlementDate,AF48,,,Trigger)</f>
        <v>#NAME?</v>
      </c>
      <c r="AH48" s="574" t="e">
        <f t="shared" ca="1" si="10"/>
        <v>#NAME?</v>
      </c>
      <c r="AI48" s="574" t="e">
        <f t="shared" ca="1" si="11"/>
        <v>#NAME?</v>
      </c>
      <c r="AJ48" s="574" t="e">
        <f t="shared" ca="1" si="12"/>
        <v>#NAME?</v>
      </c>
    </row>
    <row r="49" spans="13:36" x14ac:dyDescent="0.2">
      <c r="AF49" s="561" t="e">
        <f ca="1">_xll.qlCalendarAdvance(Calendar,AF48,"1d","mf",,Trigger)</f>
        <v>#NAME?</v>
      </c>
      <c r="AG49" s="577" t="e">
        <f ca="1">_xll.qlDayCounterYearFraction(DayCounter,SettlementDate,AF49,,,Trigger)</f>
        <v>#NAME?</v>
      </c>
      <c r="AH49" s="574" t="e">
        <f t="shared" ca="1" si="10"/>
        <v>#NAME?</v>
      </c>
      <c r="AI49" s="574" t="e">
        <f t="shared" ca="1" si="11"/>
        <v>#NAME?</v>
      </c>
      <c r="AJ49" s="574" t="e">
        <f t="shared" ca="1" si="12"/>
        <v>#NAME?</v>
      </c>
    </row>
    <row r="50" spans="13:36" x14ac:dyDescent="0.2">
      <c r="AF50" s="561" t="e">
        <f ca="1">_xll.qlCalendarAdvance(Calendar,AF49,"1d","mf",,Trigger)</f>
        <v>#NAME?</v>
      </c>
      <c r="AG50" s="577" t="e">
        <f ca="1">_xll.qlDayCounterYearFraction(DayCounter,SettlementDate,AF50,,,Trigger)</f>
        <v>#NAME?</v>
      </c>
      <c r="AH50" s="574" t="e">
        <f t="shared" ca="1" si="10"/>
        <v>#NAME?</v>
      </c>
      <c r="AI50" s="574" t="e">
        <f t="shared" ca="1" si="11"/>
        <v>#NAME?</v>
      </c>
      <c r="AJ50" s="574" t="e">
        <f t="shared" ca="1" si="12"/>
        <v>#NAME?</v>
      </c>
    </row>
    <row r="51" spans="13:36" x14ac:dyDescent="0.2">
      <c r="AF51" s="561" t="e">
        <f ca="1">_xll.qlCalendarAdvance(Calendar,AF50,"1d","mf",,Trigger)</f>
        <v>#NAME?</v>
      </c>
      <c r="AG51" s="577" t="e">
        <f ca="1">_xll.qlDayCounterYearFraction(DayCounter,SettlementDate,AF51,,,Trigger)</f>
        <v>#NAME?</v>
      </c>
      <c r="AH51" s="574" t="e">
        <f t="shared" ca="1" si="10"/>
        <v>#NAME?</v>
      </c>
      <c r="AI51" s="574" t="e">
        <f t="shared" ca="1" si="11"/>
        <v>#NAME?</v>
      </c>
      <c r="AJ51" s="574" t="e">
        <f t="shared" ca="1" si="12"/>
        <v>#NAME?</v>
      </c>
    </row>
    <row r="52" spans="13:36" x14ac:dyDescent="0.2">
      <c r="AF52" s="561" t="e">
        <f ca="1">_xll.qlCalendarAdvance(Calendar,AF51,"1d","mf",,Trigger)</f>
        <v>#NAME?</v>
      </c>
      <c r="AG52" s="577" t="e">
        <f ca="1">_xll.qlDayCounterYearFraction(DayCounter,SettlementDate,AF52,,,Trigger)</f>
        <v>#NAME?</v>
      </c>
      <c r="AH52" s="574" t="e">
        <f t="shared" ca="1" si="10"/>
        <v>#NAME?</v>
      </c>
      <c r="AI52" s="574" t="e">
        <f t="shared" ca="1" si="11"/>
        <v>#NAME?</v>
      </c>
      <c r="AJ52" s="574" t="e">
        <f t="shared" ca="1" si="12"/>
        <v>#NAME?</v>
      </c>
    </row>
    <row r="53" spans="13:36" x14ac:dyDescent="0.2">
      <c r="AF53" s="561" t="e">
        <f ca="1">_xll.qlCalendarAdvance(Calendar,AF52,"1d","mf",,Trigger)</f>
        <v>#NAME?</v>
      </c>
      <c r="AG53" s="577" t="e">
        <f ca="1">_xll.qlDayCounterYearFraction(DayCounter,SettlementDate,AF53,,,Trigger)</f>
        <v>#NAME?</v>
      </c>
      <c r="AH53" s="574" t="e">
        <f t="shared" ca="1" si="10"/>
        <v>#NAME?</v>
      </c>
      <c r="AI53" s="574" t="e">
        <f t="shared" ca="1" si="11"/>
        <v>#NAME?</v>
      </c>
      <c r="AJ53" s="574" t="e">
        <f t="shared" ca="1" si="12"/>
        <v>#NAME?</v>
      </c>
    </row>
    <row r="54" spans="13:36" x14ac:dyDescent="0.2">
      <c r="AF54" s="561" t="e">
        <f ca="1">_xll.qlCalendarAdvance(Calendar,AF53,"1d","mf",,Trigger)</f>
        <v>#NAME?</v>
      </c>
      <c r="AG54" s="577" t="e">
        <f ca="1">_xll.qlDayCounterYearFraction(DayCounter,SettlementDate,AF54,,,Trigger)</f>
        <v>#NAME?</v>
      </c>
      <c r="AH54" s="574" t="e">
        <f t="shared" ca="1" si="10"/>
        <v>#NAME?</v>
      </c>
      <c r="AI54" s="574" t="e">
        <f t="shared" ca="1" si="11"/>
        <v>#NAME?</v>
      </c>
      <c r="AJ54" s="574" t="e">
        <f t="shared" ca="1" si="12"/>
        <v>#NAME?</v>
      </c>
    </row>
    <row r="55" spans="13:36" x14ac:dyDescent="0.2">
      <c r="AF55" s="561" t="e">
        <f ca="1">_xll.qlCalendarAdvance(Calendar,AF54,"1d","mf",,Trigger)</f>
        <v>#NAME?</v>
      </c>
      <c r="AG55" s="577" t="e">
        <f ca="1">_xll.qlDayCounterYearFraction(DayCounter,SettlementDate,AF55,,,Trigger)</f>
        <v>#NAME?</v>
      </c>
      <c r="AH55" s="574" t="e">
        <f t="shared" ca="1" si="10"/>
        <v>#NAME?</v>
      </c>
      <c r="AI55" s="574" t="e">
        <f t="shared" ca="1" si="11"/>
        <v>#NAME?</v>
      </c>
      <c r="AJ55" s="574" t="e">
        <f t="shared" ca="1" si="12"/>
        <v>#NAME?</v>
      </c>
    </row>
    <row r="56" spans="13:36" x14ac:dyDescent="0.2">
      <c r="AF56" s="561" t="e">
        <f ca="1">_xll.qlCalendarAdvance(Calendar,AF55,"1d","mf",,Trigger)</f>
        <v>#NAME?</v>
      </c>
      <c r="AG56" s="577" t="e">
        <f ca="1">_xll.qlDayCounterYearFraction(DayCounter,SettlementDate,AF56,,,Trigger)</f>
        <v>#NAME?</v>
      </c>
      <c r="AH56" s="574" t="e">
        <f t="shared" ca="1" si="10"/>
        <v>#NAME?</v>
      </c>
      <c r="AI56" s="574" t="e">
        <f t="shared" ca="1" si="11"/>
        <v>#NAME?</v>
      </c>
      <c r="AJ56" s="574" t="e">
        <f t="shared" ca="1" si="12"/>
        <v>#NAME?</v>
      </c>
    </row>
    <row r="57" spans="13:36" x14ac:dyDescent="0.2">
      <c r="AF57" s="561" t="e">
        <f ca="1">_xll.qlCalendarAdvance(Calendar,AF56,"1d","mf",,Trigger)</f>
        <v>#NAME?</v>
      </c>
      <c r="AG57" s="577" t="e">
        <f ca="1">_xll.qlDayCounterYearFraction(DayCounter,SettlementDate,AF57,,,Trigger)</f>
        <v>#NAME?</v>
      </c>
      <c r="AH57" s="574" t="e">
        <f t="shared" ca="1" si="10"/>
        <v>#NAME?</v>
      </c>
      <c r="AI57" s="574" t="e">
        <f t="shared" ca="1" si="11"/>
        <v>#NAME?</v>
      </c>
      <c r="AJ57" s="574" t="e">
        <f t="shared" ca="1" si="12"/>
        <v>#NAME?</v>
      </c>
    </row>
    <row r="58" spans="13:36" x14ac:dyDescent="0.2">
      <c r="AF58" s="561" t="e">
        <f ca="1">_xll.qlCalendarAdvance(Calendar,AF57,"1d","mf",,Trigger)</f>
        <v>#NAME?</v>
      </c>
      <c r="AG58" s="577" t="e">
        <f ca="1">_xll.qlDayCounterYearFraction(DayCounter,SettlementDate,AF58,,,Trigger)</f>
        <v>#NAME?</v>
      </c>
      <c r="AH58" s="574" t="e">
        <f t="shared" ca="1" si="10"/>
        <v>#NAME?</v>
      </c>
      <c r="AI58" s="574" t="e">
        <f t="shared" ca="1" si="11"/>
        <v>#NAME?</v>
      </c>
      <c r="AJ58" s="574" t="e">
        <f t="shared" ca="1" si="12"/>
        <v>#NAME?</v>
      </c>
    </row>
    <row r="59" spans="13:36" x14ac:dyDescent="0.2">
      <c r="AF59" s="561" t="e">
        <f ca="1">_xll.qlCalendarAdvance(Calendar,AF58,"1d","mf",,Trigger)</f>
        <v>#NAME?</v>
      </c>
      <c r="AG59" s="577" t="e">
        <f ca="1">_xll.qlDayCounterYearFraction(DayCounter,SettlementDate,AF59,,,Trigger)</f>
        <v>#NAME?</v>
      </c>
      <c r="AH59" s="574" t="e">
        <f t="shared" ca="1" si="10"/>
        <v>#NAME?</v>
      </c>
      <c r="AI59" s="574" t="e">
        <f t="shared" ca="1" si="11"/>
        <v>#NAME?</v>
      </c>
      <c r="AJ59" s="574" t="e">
        <f t="shared" ca="1" si="12"/>
        <v>#NAME?</v>
      </c>
    </row>
    <row r="60" spans="13:36" x14ac:dyDescent="0.2">
      <c r="M60" s="748"/>
      <c r="AF60" s="561" t="e">
        <f ca="1">_xll.qlCalendarAdvance(Calendar,AF59,"1d","mf",,Trigger)</f>
        <v>#NAME?</v>
      </c>
      <c r="AG60" s="577" t="e">
        <f ca="1">_xll.qlDayCounterYearFraction(DayCounter,SettlementDate,AF60,,,Trigger)</f>
        <v>#NAME?</v>
      </c>
      <c r="AH60" s="574" t="e">
        <f t="shared" ca="1" si="10"/>
        <v>#NAME?</v>
      </c>
      <c r="AI60" s="574" t="e">
        <f t="shared" ca="1" si="11"/>
        <v>#NAME?</v>
      </c>
      <c r="AJ60" s="574" t="e">
        <f t="shared" ca="1" si="12"/>
        <v>#NAME?</v>
      </c>
    </row>
    <row r="61" spans="13:36" x14ac:dyDescent="0.2">
      <c r="M61" s="748"/>
      <c r="AF61" s="561" t="e">
        <f ca="1">_xll.qlCalendarAdvance(Calendar,AF60,"1d","mf",,Trigger)</f>
        <v>#NAME?</v>
      </c>
      <c r="AG61" s="577" t="e">
        <f ca="1">_xll.qlDayCounterYearFraction(DayCounter,SettlementDate,AF61,,,Trigger)</f>
        <v>#NAME?</v>
      </c>
      <c r="AH61" s="574" t="e">
        <f t="shared" ca="1" si="10"/>
        <v>#NAME?</v>
      </c>
      <c r="AI61" s="574" t="e">
        <f t="shared" ca="1" si="11"/>
        <v>#NAME?</v>
      </c>
      <c r="AJ61" s="574" t="e">
        <f t="shared" ca="1" si="12"/>
        <v>#NAME?</v>
      </c>
    </row>
    <row r="62" spans="13:36" x14ac:dyDescent="0.2">
      <c r="M62" s="748"/>
      <c r="AF62" s="561" t="e">
        <f ca="1">_xll.qlCalendarAdvance(Calendar,AF61,"1d","mf",,Trigger)</f>
        <v>#NAME?</v>
      </c>
      <c r="AG62" s="577" t="e">
        <f ca="1">_xll.qlDayCounterYearFraction(DayCounter,SettlementDate,AF62,,,Trigger)</f>
        <v>#NAME?</v>
      </c>
      <c r="AH62" s="574" t="e">
        <f t="shared" ca="1" si="10"/>
        <v>#NAME?</v>
      </c>
      <c r="AI62" s="574" t="e">
        <f t="shared" ca="1" si="11"/>
        <v>#NAME?</v>
      </c>
      <c r="AJ62" s="574" t="e">
        <f t="shared" ca="1" si="12"/>
        <v>#NAME?</v>
      </c>
    </row>
    <row r="63" spans="13:36" x14ac:dyDescent="0.2">
      <c r="M63" s="748"/>
      <c r="AF63" s="561" t="e">
        <f ca="1">_xll.qlCalendarAdvance(Calendar,AF62,"1d","mf",,Trigger)</f>
        <v>#NAME?</v>
      </c>
      <c r="AG63" s="577" t="e">
        <f ca="1">_xll.qlDayCounterYearFraction(DayCounter,SettlementDate,AF63,,,Trigger)</f>
        <v>#NAME?</v>
      </c>
      <c r="AH63" s="574" t="e">
        <f t="shared" ca="1" si="10"/>
        <v>#NAME?</v>
      </c>
      <c r="AI63" s="574" t="e">
        <f t="shared" ca="1" si="11"/>
        <v>#NAME?</v>
      </c>
      <c r="AJ63" s="574" t="e">
        <f t="shared" ca="1" si="12"/>
        <v>#NAME?</v>
      </c>
    </row>
    <row r="64" spans="13:36" x14ac:dyDescent="0.2">
      <c r="M64" s="748"/>
      <c r="AF64" s="561" t="e">
        <f ca="1">_xll.qlCalendarAdvance(Calendar,AF63,"1d","mf",,Trigger)</f>
        <v>#NAME?</v>
      </c>
      <c r="AG64" s="577" t="e">
        <f ca="1">_xll.qlDayCounterYearFraction(DayCounter,SettlementDate,AF64,,,Trigger)</f>
        <v>#NAME?</v>
      </c>
      <c r="AH64" s="574" t="e">
        <f t="shared" ca="1" si="10"/>
        <v>#NAME?</v>
      </c>
      <c r="AI64" s="574" t="e">
        <f t="shared" ca="1" si="11"/>
        <v>#NAME?</v>
      </c>
      <c r="AJ64" s="574" t="e">
        <f t="shared" ca="1" si="12"/>
        <v>#NAME?</v>
      </c>
    </row>
    <row r="65" spans="13:36" x14ac:dyDescent="0.2">
      <c r="M65" s="748"/>
      <c r="AF65" s="559" t="e">
        <f ca="1">_xll.qlCalendarAdvance(Calendar,AF64,"1d","mf",,Trigger)</f>
        <v>#NAME?</v>
      </c>
      <c r="AG65" s="570" t="e">
        <f ca="1">_xll.qlDayCounterYearFraction(DayCounter,SettlementDate,AF65,,,Trigger)</f>
        <v>#NAME?</v>
      </c>
      <c r="AH65" s="567" t="e">
        <f t="shared" ca="1" si="10"/>
        <v>#NAME?</v>
      </c>
      <c r="AI65" s="567" t="e">
        <f t="shared" ca="1" si="11"/>
        <v>#NAME?</v>
      </c>
      <c r="AJ65" s="567" t="e">
        <f t="shared" ca="1" si="12"/>
        <v>#NAME?</v>
      </c>
    </row>
    <row r="66" spans="13:36" x14ac:dyDescent="0.2">
      <c r="M66" s="748"/>
      <c r="N66" s="748"/>
    </row>
    <row r="67" spans="13:36" x14ac:dyDescent="0.2">
      <c r="M67" s="748"/>
      <c r="N67" s="748"/>
    </row>
    <row r="68" spans="13:36" x14ac:dyDescent="0.2">
      <c r="M68" s="748"/>
      <c r="N68" s="748"/>
    </row>
    <row r="69" spans="13:36" x14ac:dyDescent="0.2">
      <c r="M69" s="748"/>
      <c r="N69" s="748"/>
    </row>
    <row r="70" spans="13:36" x14ac:dyDescent="0.2">
      <c r="M70" s="748"/>
      <c r="N70" s="748"/>
    </row>
    <row r="71" spans="13:36" x14ac:dyDescent="0.2">
      <c r="M71" s="748"/>
      <c r="N71" s="748"/>
    </row>
    <row r="72" spans="13:36" x14ac:dyDescent="0.2">
      <c r="M72" s="748"/>
      <c r="N72" s="748"/>
    </row>
    <row r="73" spans="13:36" x14ac:dyDescent="0.2">
      <c r="M73" s="748"/>
      <c r="N73" s="748"/>
    </row>
    <row r="74" spans="13:36" x14ac:dyDescent="0.2">
      <c r="M74" s="748"/>
      <c r="N74" s="748"/>
    </row>
    <row r="75" spans="13:36" x14ac:dyDescent="0.2">
      <c r="M75" s="748"/>
      <c r="N75" s="748"/>
    </row>
    <row r="76" spans="13:36" x14ac:dyDescent="0.2">
      <c r="M76" s="748"/>
      <c r="N76" s="748"/>
    </row>
    <row r="77" spans="13:36" x14ac:dyDescent="0.2">
      <c r="M77" s="748"/>
      <c r="N77" s="748"/>
    </row>
    <row r="78" spans="13:36" x14ac:dyDescent="0.2">
      <c r="M78" s="748"/>
      <c r="N78" s="748"/>
    </row>
    <row r="79" spans="13:36" x14ac:dyDescent="0.2">
      <c r="M79" s="748"/>
      <c r="N79" s="748"/>
    </row>
    <row r="80" spans="13:36" x14ac:dyDescent="0.2">
      <c r="M80" s="748"/>
      <c r="N80" s="748"/>
    </row>
    <row r="81" spans="13:14" x14ac:dyDescent="0.2">
      <c r="M81" s="748"/>
      <c r="N81" s="748"/>
    </row>
    <row r="82" spans="13:14" x14ac:dyDescent="0.2">
      <c r="M82" s="748"/>
      <c r="N82" s="748"/>
    </row>
    <row r="83" spans="13:14" x14ac:dyDescent="0.2">
      <c r="M83" s="748"/>
      <c r="N83" s="748"/>
    </row>
    <row r="84" spans="13:14" x14ac:dyDescent="0.2">
      <c r="M84" s="748"/>
      <c r="N84" s="748"/>
    </row>
    <row r="85" spans="13:14" x14ac:dyDescent="0.2">
      <c r="M85" s="748"/>
      <c r="N85" s="748"/>
    </row>
    <row r="86" spans="13:14" x14ac:dyDescent="0.2">
      <c r="M86" s="748"/>
      <c r="N86" s="748"/>
    </row>
    <row r="87" spans="13:14" x14ac:dyDescent="0.2">
      <c r="M87" s="748"/>
      <c r="N87" s="748"/>
    </row>
    <row r="88" spans="13:14" x14ac:dyDescent="0.2">
      <c r="M88" s="748"/>
      <c r="N88" s="748"/>
    </row>
    <row r="89" spans="13:14" x14ac:dyDescent="0.2">
      <c r="M89" s="748"/>
      <c r="N89" s="748"/>
    </row>
    <row r="90" spans="13:14" x14ac:dyDescent="0.2">
      <c r="M90" s="748"/>
      <c r="N90" s="748"/>
    </row>
    <row r="91" spans="13:14" x14ac:dyDescent="0.2">
      <c r="M91" s="748"/>
      <c r="N91" s="748"/>
    </row>
    <row r="92" spans="13:14" x14ac:dyDescent="0.2">
      <c r="M92" s="748"/>
      <c r="N92" s="748"/>
    </row>
    <row r="93" spans="13:14" x14ac:dyDescent="0.2">
      <c r="M93" s="748"/>
      <c r="N93" s="748"/>
    </row>
    <row r="94" spans="13:14" x14ac:dyDescent="0.2">
      <c r="M94" s="748"/>
      <c r="N94" s="748"/>
    </row>
    <row r="95" spans="13:14" x14ac:dyDescent="0.2">
      <c r="M95" s="748"/>
      <c r="N95" s="748"/>
    </row>
    <row r="96" spans="13:14" x14ac:dyDescent="0.2">
      <c r="M96" s="748"/>
      <c r="N96" s="748"/>
    </row>
    <row r="97" spans="13:14" x14ac:dyDescent="0.2">
      <c r="M97" s="748"/>
      <c r="N97" s="748"/>
    </row>
    <row r="98" spans="13:14" x14ac:dyDescent="0.2">
      <c r="M98" s="748"/>
      <c r="N98" s="748"/>
    </row>
    <row r="99" spans="13:14" x14ac:dyDescent="0.2">
      <c r="M99" s="748"/>
      <c r="N99" s="748"/>
    </row>
    <row r="100" spans="13:14" x14ac:dyDescent="0.2">
      <c r="M100" s="748"/>
      <c r="N100" s="748"/>
    </row>
    <row r="101" spans="13:14" x14ac:dyDescent="0.2">
      <c r="M101" s="748"/>
      <c r="N101" s="748"/>
    </row>
    <row r="102" spans="13:14" x14ac:dyDescent="0.2">
      <c r="M102" s="748"/>
      <c r="N102" s="748"/>
    </row>
    <row r="103" spans="13:14" x14ac:dyDescent="0.2">
      <c r="M103" s="748"/>
      <c r="N103" s="748"/>
    </row>
    <row r="104" spans="13:14" x14ac:dyDescent="0.2">
      <c r="M104" s="748"/>
      <c r="N104" s="748"/>
    </row>
    <row r="105" spans="13:14" x14ac:dyDescent="0.2">
      <c r="M105" s="748"/>
      <c r="N105" s="748"/>
    </row>
    <row r="106" spans="13:14" x14ac:dyDescent="0.2">
      <c r="M106" s="748"/>
      <c r="N106" s="748"/>
    </row>
    <row r="107" spans="13:14" x14ac:dyDescent="0.2">
      <c r="M107" s="748"/>
      <c r="N107" s="748"/>
    </row>
    <row r="108" spans="13:14" x14ac:dyDescent="0.2">
      <c r="M108" s="748"/>
      <c r="N108" s="748"/>
    </row>
    <row r="109" spans="13:14" x14ac:dyDescent="0.2">
      <c r="M109" s="748"/>
      <c r="N109" s="748"/>
    </row>
    <row r="110" spans="13:14" x14ac:dyDescent="0.2">
      <c r="M110" s="748"/>
      <c r="N110" s="748"/>
    </row>
    <row r="111" spans="13:14" x14ac:dyDescent="0.2">
      <c r="M111" s="748"/>
      <c r="N111" s="748"/>
    </row>
    <row r="112" spans="13:14" x14ac:dyDescent="0.2">
      <c r="M112" s="748"/>
      <c r="N112" s="748"/>
    </row>
    <row r="113" spans="13:14" x14ac:dyDescent="0.2">
      <c r="M113" s="562"/>
      <c r="N113" s="748"/>
    </row>
    <row r="114" spans="13:14" x14ac:dyDescent="0.2">
      <c r="M114" s="562"/>
      <c r="N114" s="748"/>
    </row>
    <row r="115" spans="13:14" x14ac:dyDescent="0.2">
      <c r="M115" s="562"/>
      <c r="N115" s="748"/>
    </row>
    <row r="116" spans="13:14" x14ac:dyDescent="0.2">
      <c r="M116" s="562"/>
      <c r="N116" s="748"/>
    </row>
    <row r="117" spans="13:14" x14ac:dyDescent="0.2">
      <c r="M117" s="562"/>
      <c r="N117" s="748"/>
    </row>
    <row r="118" spans="13:14" x14ac:dyDescent="0.2">
      <c r="M118" s="562"/>
      <c r="N118" s="748"/>
    </row>
    <row r="119" spans="13:14" x14ac:dyDescent="0.2">
      <c r="M119" s="562"/>
      <c r="N119" s="562"/>
    </row>
    <row r="120" spans="13:14" x14ac:dyDescent="0.2">
      <c r="M120" s="562"/>
      <c r="N120" s="562"/>
    </row>
    <row r="121" spans="13:14" x14ac:dyDescent="0.2">
      <c r="M121" s="562"/>
      <c r="N121" s="562"/>
    </row>
    <row r="122" spans="13:14" x14ac:dyDescent="0.2">
      <c r="M122" s="562"/>
      <c r="N122" s="562"/>
    </row>
    <row r="123" spans="13:14" x14ac:dyDescent="0.2">
      <c r="M123" s="562"/>
      <c r="N123" s="562"/>
    </row>
    <row r="124" spans="13:14" x14ac:dyDescent="0.2">
      <c r="M124" s="562"/>
      <c r="N124" s="562"/>
    </row>
    <row r="125" spans="13:14" x14ac:dyDescent="0.2">
      <c r="M125" s="562"/>
      <c r="N125" s="562"/>
    </row>
    <row r="126" spans="13:14" x14ac:dyDescent="0.2">
      <c r="M126" s="562"/>
      <c r="N126" s="562"/>
    </row>
    <row r="127" spans="13:14" x14ac:dyDescent="0.2">
      <c r="M127" s="562"/>
      <c r="N127" s="562"/>
    </row>
    <row r="128" spans="13:14" x14ac:dyDescent="0.2">
      <c r="M128" s="562"/>
      <c r="N128" s="562"/>
    </row>
    <row r="129" spans="14:14" x14ac:dyDescent="0.2">
      <c r="N129" s="562"/>
    </row>
    <row r="130" spans="14:14" x14ac:dyDescent="0.2">
      <c r="N130" s="562"/>
    </row>
    <row r="131" spans="14:14" x14ac:dyDescent="0.2">
      <c r="N131" s="562"/>
    </row>
    <row r="132" spans="14:14" x14ac:dyDescent="0.2">
      <c r="N132" s="562"/>
    </row>
    <row r="133" spans="14:14" x14ac:dyDescent="0.2">
      <c r="N133" s="562"/>
    </row>
    <row r="134" spans="14:14" x14ac:dyDescent="0.2">
      <c r="N134" s="56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5" width="8.140625"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Euribor6MLastFixing_Quote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55">
        <v>0</v>
      </c>
      <c r="B4" s="795">
        <f>A4+SUBSTITUTE($D$9,"M","")</f>
        <v>6</v>
      </c>
      <c r="C4" s="801" t="str">
        <f>"Delta("&amp;A4&amp;"M,"&amp;B4&amp;"M)extrap"</f>
        <v>Delta(0M,6M)extrap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LN((1+(_xll.qlInterpolationInterpolate(B6Minterpolation,D4,TRUE,AllTriggers)+I4)*H4)/(1+I4*H4))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_xll.ohTrigger(AF3:AF132)</f>
        <v>#NAME?</v>
      </c>
    </row>
    <row r="5" spans="1:39" ht="12" customHeight="1" x14ac:dyDescent="0.2">
      <c r="A5" s="564">
        <v>1</v>
      </c>
      <c r="B5" s="795">
        <f>A5+SUBSTITUTE($D$9,"M","")</f>
        <v>7</v>
      </c>
      <c r="C5" s="801" t="str">
        <f>"Delta("&amp;A5&amp;"M,"&amp;B5&amp;"M)"</f>
        <v>Delta(1M,7M)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LN((1+(_xll.qlInterpolationInterpolate(B6Minterpolation,D5,TRUE,AllTriggers)+I5)*H5)/(1+I5*H5))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A6+SUBSTITUTE($D$9,"M","")</f>
        <v>8</v>
      </c>
      <c r="C6" s="801" t="str">
        <f>"Delta("&amp;A6&amp;"M,"&amp;B6&amp;"M)"</f>
        <v>Delta(2M,8M)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LN((1+(_xll.qlInterpolationInterpolate(B6Minterpolation,D6,TRUE,AllTriggers)+I6)*H6)/(1+I6*H6))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A7+SUBSTITUTE($D$9,"M","")</f>
        <v>9</v>
      </c>
      <c r="C7" s="794" t="str">
        <f>"Delta("&amp;A7&amp;"M,"&amp;B7&amp;"M)"</f>
        <v>Delta(3M,9M)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LN((1+(_xll.qlInterpolationInterpolate(B6Minterpolation,D7,TRUE,AllTriggers)+I7)*H7)/(1+I7*H7))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92</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Euribor6M</v>
      </c>
      <c r="R10" s="1400"/>
      <c r="S10" s="782"/>
      <c r="T10" s="781" t="e">
        <f ca="1"/>
        <v>#NAME?</v>
      </c>
      <c r="U10" s="780" t="e">
        <f ca="1"/>
        <v>#NAME?</v>
      </c>
      <c r="V10" s="1402"/>
      <c r="W10" s="770" t="e">
        <f ca="1"/>
        <v>#NAME?</v>
      </c>
      <c r="X10" s="1402"/>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6M</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4"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24" ca="1" si="4">(K15/L15-1)/J15</f>
        <v>#NAME?</v>
      </c>
      <c r="N15" s="574" t="e">
        <f t="shared" ref="N15:N24" ca="1" si="5">((1+M15*J15)*EXP($W$13*J15)-1)/J15</f>
        <v>#NAME?</v>
      </c>
      <c r="O15" s="574" t="e">
        <f t="shared" ref="O15:O24" ca="1" si="6">((1+J15*M15)*EXP($W$10*J15+0.5*$W$9*J15^2)-1)/J15</f>
        <v>#NAME?</v>
      </c>
      <c r="P15" s="574" t="e">
        <f t="shared" ref="P15:P24"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4" t="s">
        <v>92</v>
      </c>
      <c r="D24" s="753" t="e">
        <f t="shared" ca="1" si="3"/>
        <v>#NAME?</v>
      </c>
      <c r="E24" s="559" t="e">
        <f ca="1">_xll.qlCalendarAdvance(Calendar,SettlementDate,C24,"mf",TRUE,Trigger)</f>
        <v>#NAME?</v>
      </c>
      <c r="F24" s="752"/>
      <c r="G24" s="752"/>
      <c r="H24" s="752"/>
      <c r="I24" s="752"/>
      <c r="J24" s="570" t="e">
        <f ca="1">_xll.qlDayCounterYearFraction(DayCounter,D24,E24,,,Trigger)</f>
        <v>#NAME?</v>
      </c>
      <c r="K24" s="751" t="e">
        <f ca="1">_xll.qlYieldTSDiscount(Discounting,D24,,AllTriggers)</f>
        <v>#NAME?</v>
      </c>
      <c r="L24" s="751" t="e">
        <f ca="1">_xll.qlYieldTSDiscount(Discounting,E24,,AllTriggers)</f>
        <v>#NAME?</v>
      </c>
      <c r="M24" s="750" t="e">
        <f t="shared" ca="1" si="4"/>
        <v>#NAME?</v>
      </c>
      <c r="N24" s="567" t="e">
        <f t="shared" ca="1" si="5"/>
        <v>#NAME?</v>
      </c>
      <c r="O24" s="567" t="e">
        <f t="shared" ca="1" si="6"/>
        <v>#NAME?</v>
      </c>
      <c r="P24" s="567"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93" t="s">
        <v>352</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49" t="s">
        <v>351</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ref="C28:C37" ca="1" si="8">IF($C$27="FLAT",N15,IF($C$27="linear",O15,P15))</f>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8"/>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8"/>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74" t="e">
        <f t="shared" ca="1" si="8"/>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74" t="e">
        <f t="shared" ca="1" si="8"/>
        <v>#NAME?</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574" t="e">
        <f t="shared" ca="1" si="8"/>
        <v>#NAME?</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ca="1" si="8"/>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ref="AH35:AH66" ca="1" si="9">$W$13</f>
        <v>#NAME?</v>
      </c>
      <c r="AI35" s="574" t="e">
        <f t="shared" ref="AI35:AI66" ca="1" si="10">$W$10+$W$9*AG35</f>
        <v>#NAME?</v>
      </c>
      <c r="AJ35" s="574" t="e">
        <f t="shared" ref="AJ35:AJ66" ca="1" si="11">($W$5+$W$4*AG35+$W$3*AG35^2)</f>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9"/>
        <v>#NAME?</v>
      </c>
      <c r="AI36" s="574" t="e">
        <f t="shared" ca="1" si="10"/>
        <v>#NAME?</v>
      </c>
      <c r="AJ36" s="574" t="e">
        <f t="shared" ca="1" si="11"/>
        <v>#NAME?</v>
      </c>
    </row>
    <row r="37" spans="3:36" ht="12" customHeight="1" x14ac:dyDescent="0.2">
      <c r="C37" s="567" t="e">
        <f t="shared" ca="1" si="8"/>
        <v>#NAME?</v>
      </c>
      <c r="AF37" s="561" t="e">
        <f ca="1">_xll.qlCalendarAdvance(Calendar,AF36,"1d","mf",,Trigger)</f>
        <v>#NAME?</v>
      </c>
      <c r="AG37" s="577" t="e">
        <f ca="1">_xll.qlDayCounterYearFraction(DayCounter,SettlementDate,AF37,,,Trigger)</f>
        <v>#NAME?</v>
      </c>
      <c r="AH37" s="574" t="e">
        <f t="shared" ca="1" si="9"/>
        <v>#NAME?</v>
      </c>
      <c r="AI37" s="574" t="e">
        <f t="shared" ca="1" si="10"/>
        <v>#NAME?</v>
      </c>
      <c r="AJ37" s="574" t="e">
        <f t="shared" ca="1" si="11"/>
        <v>#NAME?</v>
      </c>
    </row>
    <row r="38" spans="3:36" x14ac:dyDescent="0.2">
      <c r="AF38" s="561" t="e">
        <f ca="1">_xll.qlCalendarAdvance(Calendar,AF37,"1d","mf",,Trigger)</f>
        <v>#NAME?</v>
      </c>
      <c r="AG38" s="577" t="e">
        <f ca="1">_xll.qlDayCounterYearFraction(DayCounter,SettlementDate,AF38,,,Trigger)</f>
        <v>#NAME?</v>
      </c>
      <c r="AH38" s="574" t="e">
        <f t="shared" ca="1" si="9"/>
        <v>#NAME?</v>
      </c>
      <c r="AI38" s="574" t="e">
        <f t="shared" ca="1" si="10"/>
        <v>#NAME?</v>
      </c>
      <c r="AJ38" s="574" t="e">
        <f t="shared" ca="1" si="11"/>
        <v>#NAME?</v>
      </c>
    </row>
    <row r="39" spans="3:36" x14ac:dyDescent="0.2">
      <c r="AF39" s="561" t="e">
        <f ca="1">_xll.qlCalendarAdvance(Calendar,AF38,"1d","mf",,Trigger)</f>
        <v>#NAME?</v>
      </c>
      <c r="AG39" s="577" t="e">
        <f ca="1">_xll.qlDayCounterYearFraction(DayCounter,SettlementDate,AF39,,,Trigger)</f>
        <v>#NAME?</v>
      </c>
      <c r="AH39" s="574" t="e">
        <f t="shared" ca="1" si="9"/>
        <v>#NAME?</v>
      </c>
      <c r="AI39" s="574" t="e">
        <f t="shared" ca="1" si="10"/>
        <v>#NAME?</v>
      </c>
      <c r="AJ39" s="574" t="e">
        <f t="shared" ca="1" si="11"/>
        <v>#NAME?</v>
      </c>
    </row>
    <row r="40" spans="3:36" x14ac:dyDescent="0.2">
      <c r="AF40" s="561" t="e">
        <f ca="1">_xll.qlCalendarAdvance(Calendar,AF39,"1d","mf",,Trigger)</f>
        <v>#NAME?</v>
      </c>
      <c r="AG40" s="577" t="e">
        <f ca="1">_xll.qlDayCounterYearFraction(DayCounter,SettlementDate,AF40,,,Trigger)</f>
        <v>#NAME?</v>
      </c>
      <c r="AH40" s="574" t="e">
        <f t="shared" ca="1" si="9"/>
        <v>#NAME?</v>
      </c>
      <c r="AI40" s="574" t="e">
        <f t="shared" ca="1" si="10"/>
        <v>#NAME?</v>
      </c>
      <c r="AJ40" s="574" t="e">
        <f t="shared" ca="1" si="11"/>
        <v>#NAME?</v>
      </c>
    </row>
    <row r="41" spans="3:36" x14ac:dyDescent="0.2">
      <c r="N41" s="748"/>
      <c r="O41" s="748"/>
      <c r="AF41" s="561" t="e">
        <f ca="1">_xll.qlCalendarAdvance(Calendar,AF40,"1d","mf",,Trigger)</f>
        <v>#NAME?</v>
      </c>
      <c r="AG41" s="577" t="e">
        <f ca="1">_xll.qlDayCounterYearFraction(DayCounter,SettlementDate,AF41,,,Trigger)</f>
        <v>#NAME?</v>
      </c>
      <c r="AH41" s="574" t="e">
        <f t="shared" ca="1" si="9"/>
        <v>#NAME?</v>
      </c>
      <c r="AI41" s="574" t="e">
        <f t="shared" ca="1" si="10"/>
        <v>#NAME?</v>
      </c>
      <c r="AJ41" s="574" t="e">
        <f t="shared" ca="1" si="11"/>
        <v>#NAME?</v>
      </c>
    </row>
    <row r="42" spans="3:36" x14ac:dyDescent="0.2">
      <c r="AF42" s="561" t="e">
        <f ca="1">_xll.qlCalendarAdvance(Calendar,AF41,"1d","mf",,Trigger)</f>
        <v>#NAME?</v>
      </c>
      <c r="AG42" s="577" t="e">
        <f ca="1">_xll.qlDayCounterYearFraction(DayCounter,SettlementDate,AF42,,,Trigger)</f>
        <v>#NAME?</v>
      </c>
      <c r="AH42" s="574" t="e">
        <f t="shared" ca="1" si="9"/>
        <v>#NAME?</v>
      </c>
      <c r="AI42" s="574" t="e">
        <f t="shared" ca="1" si="10"/>
        <v>#NAME?</v>
      </c>
      <c r="AJ42" s="574" t="e">
        <f t="shared" ca="1" si="11"/>
        <v>#NAME?</v>
      </c>
    </row>
    <row r="43" spans="3:36" ht="11.25" customHeight="1" x14ac:dyDescent="0.2">
      <c r="AF43" s="561" t="e">
        <f ca="1">_xll.qlCalendarAdvance(Calendar,AF42,"1d","mf",,Trigger)</f>
        <v>#NAME?</v>
      </c>
      <c r="AG43" s="577" t="e">
        <f ca="1">_xll.qlDayCounterYearFraction(DayCounter,SettlementDate,AF43,,,Trigger)</f>
        <v>#NAME?</v>
      </c>
      <c r="AH43" s="574" t="e">
        <f t="shared" ca="1" si="9"/>
        <v>#NAME?</v>
      </c>
      <c r="AI43" s="574" t="e">
        <f t="shared" ca="1" si="10"/>
        <v>#NAME?</v>
      </c>
      <c r="AJ43" s="574" t="e">
        <f t="shared" ca="1" si="11"/>
        <v>#NAME?</v>
      </c>
    </row>
    <row r="44" spans="3:36" x14ac:dyDescent="0.2">
      <c r="AF44" s="561" t="e">
        <f ca="1">_xll.qlCalendarAdvance(Calendar,AF43,"1d","mf",,Trigger)</f>
        <v>#NAME?</v>
      </c>
      <c r="AG44" s="577" t="e">
        <f ca="1">_xll.qlDayCounterYearFraction(DayCounter,SettlementDate,AF44,,,Trigger)</f>
        <v>#NAME?</v>
      </c>
      <c r="AH44" s="574" t="e">
        <f t="shared" ca="1" si="9"/>
        <v>#NAME?</v>
      </c>
      <c r="AI44" s="574" t="e">
        <f t="shared" ca="1" si="10"/>
        <v>#NAME?</v>
      </c>
      <c r="AJ44" s="574" t="e">
        <f t="shared" ca="1" si="11"/>
        <v>#NAME?</v>
      </c>
    </row>
    <row r="45" spans="3:36" x14ac:dyDescent="0.2">
      <c r="AF45" s="561" t="e">
        <f ca="1">_xll.qlCalendarAdvance(Calendar,AF44,"1d","mf",,Trigger)</f>
        <v>#NAME?</v>
      </c>
      <c r="AG45" s="577" t="e">
        <f ca="1">_xll.qlDayCounterYearFraction(DayCounter,SettlementDate,AF45,,,Trigger)</f>
        <v>#NAME?</v>
      </c>
      <c r="AH45" s="574" t="e">
        <f t="shared" ca="1" si="9"/>
        <v>#NAME?</v>
      </c>
      <c r="AI45" s="574" t="e">
        <f t="shared" ca="1" si="10"/>
        <v>#NAME?</v>
      </c>
      <c r="AJ45" s="574" t="e">
        <f t="shared" ca="1" si="11"/>
        <v>#NAME?</v>
      </c>
    </row>
    <row r="46" spans="3:36" x14ac:dyDescent="0.2">
      <c r="AF46" s="561" t="e">
        <f ca="1">_xll.qlCalendarAdvance(Calendar,AF45,"1d","mf",,Trigger)</f>
        <v>#NAME?</v>
      </c>
      <c r="AG46" s="577" t="e">
        <f ca="1">_xll.qlDayCounterYearFraction(DayCounter,SettlementDate,AF46,,,Trigger)</f>
        <v>#NAME?</v>
      </c>
      <c r="AH46" s="574" t="e">
        <f t="shared" ca="1" si="9"/>
        <v>#NAME?</v>
      </c>
      <c r="AI46" s="574" t="e">
        <f t="shared" ca="1" si="10"/>
        <v>#NAME?</v>
      </c>
      <c r="AJ46" s="574" t="e">
        <f t="shared" ca="1" si="11"/>
        <v>#NAME?</v>
      </c>
    </row>
    <row r="47" spans="3:36" x14ac:dyDescent="0.2">
      <c r="AF47" s="561" t="e">
        <f ca="1">_xll.qlCalendarAdvance(Calendar,AF46,"1d","mf",,Trigger)</f>
        <v>#NAME?</v>
      </c>
      <c r="AG47" s="577" t="e">
        <f ca="1">_xll.qlDayCounterYearFraction(DayCounter,SettlementDate,AF47,,,Trigger)</f>
        <v>#NAME?</v>
      </c>
      <c r="AH47" s="574" t="e">
        <f t="shared" ca="1" si="9"/>
        <v>#NAME?</v>
      </c>
      <c r="AI47" s="574" t="e">
        <f t="shared" ca="1" si="10"/>
        <v>#NAME?</v>
      </c>
      <c r="AJ47" s="574" t="e">
        <f t="shared" ca="1" si="11"/>
        <v>#NAME?</v>
      </c>
    </row>
    <row r="48" spans="3:36" x14ac:dyDescent="0.2">
      <c r="AF48" s="561" t="e">
        <f ca="1">_xll.qlCalendarAdvance(Calendar,AF47,"1d","mf",,Trigger)</f>
        <v>#NAME?</v>
      </c>
      <c r="AG48" s="577" t="e">
        <f ca="1">_xll.qlDayCounterYearFraction(DayCounter,SettlementDate,AF48,,,Trigger)</f>
        <v>#NAME?</v>
      </c>
      <c r="AH48" s="574" t="e">
        <f t="shared" ca="1" si="9"/>
        <v>#NAME?</v>
      </c>
      <c r="AI48" s="574" t="e">
        <f t="shared" ca="1" si="10"/>
        <v>#NAME?</v>
      </c>
      <c r="AJ48" s="574" t="e">
        <f t="shared" ca="1" si="11"/>
        <v>#NAME?</v>
      </c>
    </row>
    <row r="49" spans="14:36" x14ac:dyDescent="0.2">
      <c r="AF49" s="561" t="e">
        <f ca="1">_xll.qlCalendarAdvance(Calendar,AF48,"1d","mf",,Trigger)</f>
        <v>#NAME?</v>
      </c>
      <c r="AG49" s="577" t="e">
        <f ca="1">_xll.qlDayCounterYearFraction(DayCounter,SettlementDate,AF49,,,Trigger)</f>
        <v>#NAME?</v>
      </c>
      <c r="AH49" s="574" t="e">
        <f t="shared" ca="1" si="9"/>
        <v>#NAME?</v>
      </c>
      <c r="AI49" s="574" t="e">
        <f t="shared" ca="1" si="10"/>
        <v>#NAME?</v>
      </c>
      <c r="AJ49" s="574" t="e">
        <f t="shared" ca="1" si="11"/>
        <v>#NAME?</v>
      </c>
    </row>
    <row r="50" spans="14:36" x14ac:dyDescent="0.2">
      <c r="AF50" s="561" t="e">
        <f ca="1">_xll.qlCalendarAdvance(Calendar,AF49,"1d","mf",,Trigger)</f>
        <v>#NAME?</v>
      </c>
      <c r="AG50" s="577" t="e">
        <f ca="1">_xll.qlDayCounterYearFraction(DayCounter,SettlementDate,AF50,,,Trigger)</f>
        <v>#NAME?</v>
      </c>
      <c r="AH50" s="574" t="e">
        <f t="shared" ca="1" si="9"/>
        <v>#NAME?</v>
      </c>
      <c r="AI50" s="574" t="e">
        <f t="shared" ca="1" si="10"/>
        <v>#NAME?</v>
      </c>
      <c r="AJ50" s="574" t="e">
        <f t="shared" ca="1" si="11"/>
        <v>#NAME?</v>
      </c>
    </row>
    <row r="51" spans="14:36" x14ac:dyDescent="0.2">
      <c r="AF51" s="561" t="e">
        <f ca="1">_xll.qlCalendarAdvance(Calendar,AF50,"1d","mf",,Trigger)</f>
        <v>#NAME?</v>
      </c>
      <c r="AG51" s="577" t="e">
        <f ca="1">_xll.qlDayCounterYearFraction(DayCounter,SettlementDate,AF51,,,Trigger)</f>
        <v>#NAME?</v>
      </c>
      <c r="AH51" s="574" t="e">
        <f t="shared" ca="1" si="9"/>
        <v>#NAME?</v>
      </c>
      <c r="AI51" s="574" t="e">
        <f t="shared" ca="1" si="10"/>
        <v>#NAME?</v>
      </c>
      <c r="AJ51" s="574" t="e">
        <f t="shared" ca="1" si="11"/>
        <v>#NAME?</v>
      </c>
    </row>
    <row r="52" spans="14:36" x14ac:dyDescent="0.2">
      <c r="AF52" s="561" t="e">
        <f ca="1">_xll.qlCalendarAdvance(Calendar,AF51,"1d","mf",,Trigger)</f>
        <v>#NAME?</v>
      </c>
      <c r="AG52" s="577" t="e">
        <f ca="1">_xll.qlDayCounterYearFraction(DayCounter,SettlementDate,AF52,,,Trigger)</f>
        <v>#NAME?</v>
      </c>
      <c r="AH52" s="574" t="e">
        <f t="shared" ca="1" si="9"/>
        <v>#NAME?</v>
      </c>
      <c r="AI52" s="574" t="e">
        <f t="shared" ca="1" si="10"/>
        <v>#NAME?</v>
      </c>
      <c r="AJ52" s="574" t="e">
        <f t="shared" ca="1" si="11"/>
        <v>#NAME?</v>
      </c>
    </row>
    <row r="53" spans="14:36" x14ac:dyDescent="0.2">
      <c r="AF53" s="561" t="e">
        <f ca="1">_xll.qlCalendarAdvance(Calendar,AF52,"1d","mf",,Trigger)</f>
        <v>#NAME?</v>
      </c>
      <c r="AG53" s="577" t="e">
        <f ca="1">_xll.qlDayCounterYearFraction(DayCounter,SettlementDate,AF53,,,Trigger)</f>
        <v>#NAME?</v>
      </c>
      <c r="AH53" s="574" t="e">
        <f t="shared" ca="1" si="9"/>
        <v>#NAME?</v>
      </c>
      <c r="AI53" s="574" t="e">
        <f t="shared" ca="1" si="10"/>
        <v>#NAME?</v>
      </c>
      <c r="AJ53" s="574" t="e">
        <f t="shared" ca="1" si="11"/>
        <v>#NAME?</v>
      </c>
    </row>
    <row r="54" spans="14:36" x14ac:dyDescent="0.2">
      <c r="AF54" s="561" t="e">
        <f ca="1">_xll.qlCalendarAdvance(Calendar,AF53,"1d","mf",,Trigger)</f>
        <v>#NAME?</v>
      </c>
      <c r="AG54" s="577" t="e">
        <f ca="1">_xll.qlDayCounterYearFraction(DayCounter,SettlementDate,AF54,,,Trigger)</f>
        <v>#NAME?</v>
      </c>
      <c r="AH54" s="574" t="e">
        <f t="shared" ca="1" si="9"/>
        <v>#NAME?</v>
      </c>
      <c r="AI54" s="574" t="e">
        <f t="shared" ca="1" si="10"/>
        <v>#NAME?</v>
      </c>
      <c r="AJ54" s="574" t="e">
        <f t="shared" ca="1" si="11"/>
        <v>#NAME?</v>
      </c>
    </row>
    <row r="55" spans="14:36" x14ac:dyDescent="0.2">
      <c r="AF55" s="561" t="e">
        <f ca="1">_xll.qlCalendarAdvance(Calendar,AF54,"1d","mf",,Trigger)</f>
        <v>#NAME?</v>
      </c>
      <c r="AG55" s="577" t="e">
        <f ca="1">_xll.qlDayCounterYearFraction(DayCounter,SettlementDate,AF55,,,Trigger)</f>
        <v>#NAME?</v>
      </c>
      <c r="AH55" s="574" t="e">
        <f t="shared" ca="1" si="9"/>
        <v>#NAME?</v>
      </c>
      <c r="AI55" s="574" t="e">
        <f t="shared" ca="1" si="10"/>
        <v>#NAME?</v>
      </c>
      <c r="AJ55" s="574" t="e">
        <f t="shared" ca="1" si="11"/>
        <v>#NAME?</v>
      </c>
    </row>
    <row r="56" spans="14:36" x14ac:dyDescent="0.2">
      <c r="AF56" s="561" t="e">
        <f ca="1">_xll.qlCalendarAdvance(Calendar,AF55,"1d","mf",,Trigger)</f>
        <v>#NAME?</v>
      </c>
      <c r="AG56" s="577" t="e">
        <f ca="1">_xll.qlDayCounterYearFraction(DayCounter,SettlementDate,AF56,,,Trigger)</f>
        <v>#NAME?</v>
      </c>
      <c r="AH56" s="574" t="e">
        <f t="shared" ca="1" si="9"/>
        <v>#NAME?</v>
      </c>
      <c r="AI56" s="574" t="e">
        <f t="shared" ca="1" si="10"/>
        <v>#NAME?</v>
      </c>
      <c r="AJ56" s="574" t="e">
        <f t="shared" ca="1" si="11"/>
        <v>#NAME?</v>
      </c>
    </row>
    <row r="57" spans="14:36" x14ac:dyDescent="0.2">
      <c r="AF57" s="561" t="e">
        <f ca="1">_xll.qlCalendarAdvance(Calendar,AF56,"1d","mf",,Trigger)</f>
        <v>#NAME?</v>
      </c>
      <c r="AG57" s="577" t="e">
        <f ca="1">_xll.qlDayCounterYearFraction(DayCounter,SettlementDate,AF57,,,Trigger)</f>
        <v>#NAME?</v>
      </c>
      <c r="AH57" s="574" t="e">
        <f t="shared" ca="1" si="9"/>
        <v>#NAME?</v>
      </c>
      <c r="AI57" s="574" t="e">
        <f t="shared" ca="1" si="10"/>
        <v>#NAME?</v>
      </c>
      <c r="AJ57" s="574" t="e">
        <f t="shared" ca="1" si="11"/>
        <v>#NAME?</v>
      </c>
    </row>
    <row r="58" spans="14:36" x14ac:dyDescent="0.2">
      <c r="AF58" s="561" t="e">
        <f ca="1">_xll.qlCalendarAdvance(Calendar,AF57,"1d","mf",,Trigger)</f>
        <v>#NAME?</v>
      </c>
      <c r="AG58" s="577" t="e">
        <f ca="1">_xll.qlDayCounterYearFraction(DayCounter,SettlementDate,AF58,,,Trigger)</f>
        <v>#NAME?</v>
      </c>
      <c r="AH58" s="574" t="e">
        <f t="shared" ca="1" si="9"/>
        <v>#NAME?</v>
      </c>
      <c r="AI58" s="574" t="e">
        <f t="shared" ca="1" si="10"/>
        <v>#NAME?</v>
      </c>
      <c r="AJ58" s="574" t="e">
        <f t="shared" ca="1" si="11"/>
        <v>#NAME?</v>
      </c>
    </row>
    <row r="59" spans="14:36" x14ac:dyDescent="0.2">
      <c r="AF59" s="561" t="e">
        <f ca="1">_xll.qlCalendarAdvance(Calendar,AF58,"1d","mf",,Trigger)</f>
        <v>#NAME?</v>
      </c>
      <c r="AG59" s="577" t="e">
        <f ca="1">_xll.qlDayCounterYearFraction(DayCounter,SettlementDate,AF59,,,Trigger)</f>
        <v>#NAME?</v>
      </c>
      <c r="AH59" s="574" t="e">
        <f t="shared" ca="1" si="9"/>
        <v>#NAME?</v>
      </c>
      <c r="AI59" s="574" t="e">
        <f t="shared" ca="1" si="10"/>
        <v>#NAME?</v>
      </c>
      <c r="AJ59" s="574" t="e">
        <f t="shared" ca="1" si="11"/>
        <v>#NAME?</v>
      </c>
    </row>
    <row r="60" spans="14:36" x14ac:dyDescent="0.2">
      <c r="N60" s="748"/>
      <c r="AF60" s="561" t="e">
        <f ca="1">_xll.qlCalendarAdvance(Calendar,AF59,"1d","mf",,Trigger)</f>
        <v>#NAME?</v>
      </c>
      <c r="AG60" s="577" t="e">
        <f ca="1">_xll.qlDayCounterYearFraction(DayCounter,SettlementDate,AF60,,,Trigger)</f>
        <v>#NAME?</v>
      </c>
      <c r="AH60" s="574" t="e">
        <f t="shared" ca="1" si="9"/>
        <v>#NAME?</v>
      </c>
      <c r="AI60" s="574" t="e">
        <f t="shared" ca="1" si="10"/>
        <v>#NAME?</v>
      </c>
      <c r="AJ60" s="574" t="e">
        <f t="shared" ca="1" si="11"/>
        <v>#NAME?</v>
      </c>
    </row>
    <row r="61" spans="14:36" x14ac:dyDescent="0.2">
      <c r="N61" s="748"/>
      <c r="AF61" s="561" t="e">
        <f ca="1">_xll.qlCalendarAdvance(Calendar,AF60,"1d","mf",,Trigger)</f>
        <v>#NAME?</v>
      </c>
      <c r="AG61" s="577" t="e">
        <f ca="1">_xll.qlDayCounterYearFraction(DayCounter,SettlementDate,AF61,,,Trigger)</f>
        <v>#NAME?</v>
      </c>
      <c r="AH61" s="574" t="e">
        <f t="shared" ca="1" si="9"/>
        <v>#NAME?</v>
      </c>
      <c r="AI61" s="574" t="e">
        <f t="shared" ca="1" si="10"/>
        <v>#NAME?</v>
      </c>
      <c r="AJ61" s="574" t="e">
        <f t="shared" ca="1" si="11"/>
        <v>#NAME?</v>
      </c>
    </row>
    <row r="62" spans="14:36" x14ac:dyDescent="0.2">
      <c r="N62" s="748"/>
      <c r="AF62" s="561" t="e">
        <f ca="1">_xll.qlCalendarAdvance(Calendar,AF61,"1d","mf",,Trigger)</f>
        <v>#NAME?</v>
      </c>
      <c r="AG62" s="577" t="e">
        <f ca="1">_xll.qlDayCounterYearFraction(DayCounter,SettlementDate,AF62,,,Trigger)</f>
        <v>#NAME?</v>
      </c>
      <c r="AH62" s="574" t="e">
        <f t="shared" ca="1" si="9"/>
        <v>#NAME?</v>
      </c>
      <c r="AI62" s="574" t="e">
        <f t="shared" ca="1" si="10"/>
        <v>#NAME?</v>
      </c>
      <c r="AJ62" s="574" t="e">
        <f t="shared" ca="1" si="11"/>
        <v>#NAME?</v>
      </c>
    </row>
    <row r="63" spans="14:36" x14ac:dyDescent="0.2">
      <c r="N63" s="748"/>
      <c r="AF63" s="561" t="e">
        <f ca="1">_xll.qlCalendarAdvance(Calendar,AF62,"1d","mf",,Trigger)</f>
        <v>#NAME?</v>
      </c>
      <c r="AG63" s="577" t="e">
        <f ca="1">_xll.qlDayCounterYearFraction(DayCounter,SettlementDate,AF63,,,Trigger)</f>
        <v>#NAME?</v>
      </c>
      <c r="AH63" s="574" t="e">
        <f t="shared" ca="1" si="9"/>
        <v>#NAME?</v>
      </c>
      <c r="AI63" s="574" t="e">
        <f t="shared" ca="1" si="10"/>
        <v>#NAME?</v>
      </c>
      <c r="AJ63" s="574" t="e">
        <f t="shared" ca="1" si="11"/>
        <v>#NAME?</v>
      </c>
    </row>
    <row r="64" spans="14:36" x14ac:dyDescent="0.2">
      <c r="N64" s="748"/>
      <c r="AF64" s="561" t="e">
        <f ca="1">_xll.qlCalendarAdvance(Calendar,AF63,"1d","mf",,Trigger)</f>
        <v>#NAME?</v>
      </c>
      <c r="AG64" s="577" t="e">
        <f ca="1">_xll.qlDayCounterYearFraction(DayCounter,SettlementDate,AF64,,,Trigger)</f>
        <v>#NAME?</v>
      </c>
      <c r="AH64" s="574" t="e">
        <f t="shared" ca="1" si="9"/>
        <v>#NAME?</v>
      </c>
      <c r="AI64" s="574" t="e">
        <f t="shared" ca="1" si="10"/>
        <v>#NAME?</v>
      </c>
      <c r="AJ64" s="574" t="e">
        <f t="shared" ca="1" si="11"/>
        <v>#NAME?</v>
      </c>
    </row>
    <row r="65" spans="14:36" x14ac:dyDescent="0.2">
      <c r="N65" s="748"/>
      <c r="AF65" s="561" t="e">
        <f ca="1">_xll.qlCalendarAdvance(Calendar,AF64,"1d","mf",,Trigger)</f>
        <v>#NAME?</v>
      </c>
      <c r="AG65" s="577" t="e">
        <f ca="1">_xll.qlDayCounterYearFraction(DayCounter,SettlementDate,AF65,,,Trigger)</f>
        <v>#NAME?</v>
      </c>
      <c r="AH65" s="574" t="e">
        <f t="shared" ca="1" si="9"/>
        <v>#NAME?</v>
      </c>
      <c r="AI65" s="574" t="e">
        <f t="shared" ca="1" si="10"/>
        <v>#NAME?</v>
      </c>
      <c r="AJ65" s="574" t="e">
        <f t="shared" ca="1" si="11"/>
        <v>#NAME?</v>
      </c>
    </row>
    <row r="66" spans="14:36" x14ac:dyDescent="0.2">
      <c r="N66" s="748"/>
      <c r="O66" s="748"/>
      <c r="AF66" s="561" t="e">
        <f ca="1">_xll.qlCalendarAdvance(Calendar,AF65,"1d","mf",,Trigger)</f>
        <v>#NAME?</v>
      </c>
      <c r="AG66" s="577" t="e">
        <f ca="1">_xll.qlDayCounterYearFraction(DayCounter,SettlementDate,AF66,,,Trigger)</f>
        <v>#NAME?</v>
      </c>
      <c r="AH66" s="574" t="e">
        <f t="shared" ca="1" si="9"/>
        <v>#NAME?</v>
      </c>
      <c r="AI66" s="574" t="e">
        <f t="shared" ca="1" si="10"/>
        <v>#NAME?</v>
      </c>
      <c r="AJ66" s="574" t="e">
        <f t="shared" ca="1" si="11"/>
        <v>#NAME?</v>
      </c>
    </row>
    <row r="67" spans="14:36" x14ac:dyDescent="0.2">
      <c r="N67" s="748"/>
      <c r="O67" s="748"/>
      <c r="AF67" s="561" t="e">
        <f ca="1">_xll.qlCalendarAdvance(Calendar,AF66,"1d","mf",,Trigger)</f>
        <v>#NAME?</v>
      </c>
      <c r="AG67" s="577" t="e">
        <f ca="1">_xll.qlDayCounterYearFraction(DayCounter,SettlementDate,AF67,,,Trigger)</f>
        <v>#NAME?</v>
      </c>
      <c r="AH67" s="574" t="e">
        <f t="shared" ref="AH67:AH98" ca="1" si="12">$W$13</f>
        <v>#NAME?</v>
      </c>
      <c r="AI67" s="574" t="e">
        <f t="shared" ref="AI67:AI98" ca="1" si="13">$W$10+$W$9*AG67</f>
        <v>#NAME?</v>
      </c>
      <c r="AJ67" s="574" t="e">
        <f t="shared" ref="AJ67:AJ98" ca="1" si="14">($W$5+$W$4*AG67+$W$3*AG67^2)</f>
        <v>#NAME?</v>
      </c>
    </row>
    <row r="68" spans="14:36" x14ac:dyDescent="0.2">
      <c r="N68" s="748"/>
      <c r="O68" s="748"/>
      <c r="AF68" s="561" t="e">
        <f ca="1">_xll.qlCalendarAdvance(Calendar,AF67,"1d","mf",,Trigger)</f>
        <v>#NAME?</v>
      </c>
      <c r="AG68" s="577" t="e">
        <f ca="1">_xll.qlDayCounterYearFraction(DayCounter,SettlementDate,AF68,,,Trigger)</f>
        <v>#NAME?</v>
      </c>
      <c r="AH68" s="574" t="e">
        <f t="shared" ca="1" si="12"/>
        <v>#NAME?</v>
      </c>
      <c r="AI68" s="574" t="e">
        <f t="shared" ca="1" si="13"/>
        <v>#NAME?</v>
      </c>
      <c r="AJ68" s="574" t="e">
        <f t="shared" ca="1" si="14"/>
        <v>#NAME?</v>
      </c>
    </row>
    <row r="69" spans="14:36" x14ac:dyDescent="0.2">
      <c r="N69" s="748"/>
      <c r="O69" s="748"/>
      <c r="AF69" s="561" t="e">
        <f ca="1">_xll.qlCalendarAdvance(Calendar,AF68,"1d","mf",,Trigger)</f>
        <v>#NAME?</v>
      </c>
      <c r="AG69" s="577" t="e">
        <f ca="1">_xll.qlDayCounterYearFraction(DayCounter,SettlementDate,AF69,,,Trigger)</f>
        <v>#NAME?</v>
      </c>
      <c r="AH69" s="574" t="e">
        <f t="shared" ca="1" si="12"/>
        <v>#NAME?</v>
      </c>
      <c r="AI69" s="574" t="e">
        <f t="shared" ca="1" si="13"/>
        <v>#NAME?</v>
      </c>
      <c r="AJ69" s="574" t="e">
        <f t="shared" ca="1" si="14"/>
        <v>#NAME?</v>
      </c>
    </row>
    <row r="70" spans="14:36" x14ac:dyDescent="0.2">
      <c r="N70" s="748"/>
      <c r="O70" s="748"/>
      <c r="AF70" s="561" t="e">
        <f ca="1">_xll.qlCalendarAdvance(Calendar,AF69,"1d","mf",,Trigger)</f>
        <v>#NAME?</v>
      </c>
      <c r="AG70" s="577" t="e">
        <f ca="1">_xll.qlDayCounterYearFraction(DayCounter,SettlementDate,AF70,,,Trigger)</f>
        <v>#NAME?</v>
      </c>
      <c r="AH70" s="574" t="e">
        <f t="shared" ca="1" si="12"/>
        <v>#NAME?</v>
      </c>
      <c r="AI70" s="574" t="e">
        <f t="shared" ca="1" si="13"/>
        <v>#NAME?</v>
      </c>
      <c r="AJ70" s="574" t="e">
        <f t="shared" ca="1" si="14"/>
        <v>#NAME?</v>
      </c>
    </row>
    <row r="71" spans="14:36" x14ac:dyDescent="0.2">
      <c r="N71" s="748"/>
      <c r="O71" s="748"/>
      <c r="AF71" s="561" t="e">
        <f ca="1">_xll.qlCalendarAdvance(Calendar,AF70,"1d","mf",,Trigger)</f>
        <v>#NAME?</v>
      </c>
      <c r="AG71" s="577" t="e">
        <f ca="1">_xll.qlDayCounterYearFraction(DayCounter,SettlementDate,AF71,,,Trigger)</f>
        <v>#NAME?</v>
      </c>
      <c r="AH71" s="574" t="e">
        <f t="shared" ca="1" si="12"/>
        <v>#NAME?</v>
      </c>
      <c r="AI71" s="574" t="e">
        <f t="shared" ca="1" si="13"/>
        <v>#NAME?</v>
      </c>
      <c r="AJ71" s="574" t="e">
        <f t="shared" ca="1" si="14"/>
        <v>#NAME?</v>
      </c>
    </row>
    <row r="72" spans="14:36" x14ac:dyDescent="0.2">
      <c r="N72" s="748"/>
      <c r="O72" s="748"/>
      <c r="AF72" s="561" t="e">
        <f ca="1">_xll.qlCalendarAdvance(Calendar,AF71,"1d","mf",,Trigger)</f>
        <v>#NAME?</v>
      </c>
      <c r="AG72" s="577" t="e">
        <f ca="1">_xll.qlDayCounterYearFraction(DayCounter,SettlementDate,AF72,,,Trigger)</f>
        <v>#NAME?</v>
      </c>
      <c r="AH72" s="574" t="e">
        <f t="shared" ca="1" si="12"/>
        <v>#NAME?</v>
      </c>
      <c r="AI72" s="574" t="e">
        <f t="shared" ca="1" si="13"/>
        <v>#NAME?</v>
      </c>
      <c r="AJ72" s="574" t="e">
        <f t="shared" ca="1" si="14"/>
        <v>#NAME?</v>
      </c>
    </row>
    <row r="73" spans="14:36" x14ac:dyDescent="0.2">
      <c r="N73" s="748"/>
      <c r="O73" s="748"/>
      <c r="AF73" s="561" t="e">
        <f ca="1">_xll.qlCalendarAdvance(Calendar,AF72,"1d","mf",,Trigger)</f>
        <v>#NAME?</v>
      </c>
      <c r="AG73" s="577" t="e">
        <f ca="1">_xll.qlDayCounterYearFraction(DayCounter,SettlementDate,AF73,,,Trigger)</f>
        <v>#NAME?</v>
      </c>
      <c r="AH73" s="574" t="e">
        <f t="shared" ca="1" si="12"/>
        <v>#NAME?</v>
      </c>
      <c r="AI73" s="574" t="e">
        <f t="shared" ca="1" si="13"/>
        <v>#NAME?</v>
      </c>
      <c r="AJ73" s="574" t="e">
        <f t="shared" ca="1" si="14"/>
        <v>#NAME?</v>
      </c>
    </row>
    <row r="74" spans="14:36" x14ac:dyDescent="0.2">
      <c r="N74" s="748"/>
      <c r="O74" s="748"/>
      <c r="AF74" s="561" t="e">
        <f ca="1">_xll.qlCalendarAdvance(Calendar,AF73,"1d","mf",,Trigger)</f>
        <v>#NAME?</v>
      </c>
      <c r="AG74" s="577" t="e">
        <f ca="1">_xll.qlDayCounterYearFraction(DayCounter,SettlementDate,AF74,,,Trigger)</f>
        <v>#NAME?</v>
      </c>
      <c r="AH74" s="574" t="e">
        <f t="shared" ca="1" si="12"/>
        <v>#NAME?</v>
      </c>
      <c r="AI74" s="574" t="e">
        <f t="shared" ca="1" si="13"/>
        <v>#NAME?</v>
      </c>
      <c r="AJ74" s="574" t="e">
        <f t="shared" ca="1" si="14"/>
        <v>#NAME?</v>
      </c>
    </row>
    <row r="75" spans="14:36" x14ac:dyDescent="0.2">
      <c r="N75" s="748"/>
      <c r="O75" s="748"/>
      <c r="AF75" s="561" t="e">
        <f ca="1">_xll.qlCalendarAdvance(Calendar,AF74,"1d","mf",,Trigger)</f>
        <v>#NAME?</v>
      </c>
      <c r="AG75" s="577" t="e">
        <f ca="1">_xll.qlDayCounterYearFraction(DayCounter,SettlementDate,AF75,,,Trigger)</f>
        <v>#NAME?</v>
      </c>
      <c r="AH75" s="574" t="e">
        <f t="shared" ca="1" si="12"/>
        <v>#NAME?</v>
      </c>
      <c r="AI75" s="574" t="e">
        <f t="shared" ca="1" si="13"/>
        <v>#NAME?</v>
      </c>
      <c r="AJ75" s="574" t="e">
        <f t="shared" ca="1" si="14"/>
        <v>#NAME?</v>
      </c>
    </row>
    <row r="76" spans="14:36" x14ac:dyDescent="0.2">
      <c r="N76" s="748"/>
      <c r="O76" s="748"/>
      <c r="AF76" s="561" t="e">
        <f ca="1">_xll.qlCalendarAdvance(Calendar,AF75,"1d","mf",,Trigger)</f>
        <v>#NAME?</v>
      </c>
      <c r="AG76" s="577" t="e">
        <f ca="1">_xll.qlDayCounterYearFraction(DayCounter,SettlementDate,AF76,,,Trigger)</f>
        <v>#NAME?</v>
      </c>
      <c r="AH76" s="574" t="e">
        <f t="shared" ca="1" si="12"/>
        <v>#NAME?</v>
      </c>
      <c r="AI76" s="574" t="e">
        <f t="shared" ca="1" si="13"/>
        <v>#NAME?</v>
      </c>
      <c r="AJ76" s="574" t="e">
        <f t="shared" ca="1" si="14"/>
        <v>#NAME?</v>
      </c>
    </row>
    <row r="77" spans="14:36" x14ac:dyDescent="0.2">
      <c r="N77" s="748"/>
      <c r="O77" s="748"/>
      <c r="AF77" s="561" t="e">
        <f ca="1">_xll.qlCalendarAdvance(Calendar,AF76,"1d","mf",,Trigger)</f>
        <v>#NAME?</v>
      </c>
      <c r="AG77" s="577" t="e">
        <f ca="1">_xll.qlDayCounterYearFraction(DayCounter,SettlementDate,AF77,,,Trigger)</f>
        <v>#NAME?</v>
      </c>
      <c r="AH77" s="574" t="e">
        <f t="shared" ca="1" si="12"/>
        <v>#NAME?</v>
      </c>
      <c r="AI77" s="574" t="e">
        <f t="shared" ca="1" si="13"/>
        <v>#NAME?</v>
      </c>
      <c r="AJ77" s="574" t="e">
        <f t="shared" ca="1" si="14"/>
        <v>#NAME?</v>
      </c>
    </row>
    <row r="78" spans="14:36" x14ac:dyDescent="0.2">
      <c r="N78" s="748"/>
      <c r="O78" s="748"/>
      <c r="AF78" s="561" t="e">
        <f ca="1">_xll.qlCalendarAdvance(Calendar,AF77,"1d","mf",,Trigger)</f>
        <v>#NAME?</v>
      </c>
      <c r="AG78" s="577" t="e">
        <f ca="1">_xll.qlDayCounterYearFraction(DayCounter,SettlementDate,AF78,,,Trigger)</f>
        <v>#NAME?</v>
      </c>
      <c r="AH78" s="574" t="e">
        <f t="shared" ca="1" si="12"/>
        <v>#NAME?</v>
      </c>
      <c r="AI78" s="574" t="e">
        <f t="shared" ca="1" si="13"/>
        <v>#NAME?</v>
      </c>
      <c r="AJ78" s="574" t="e">
        <f t="shared" ca="1" si="14"/>
        <v>#NAME?</v>
      </c>
    </row>
    <row r="79" spans="14:36" x14ac:dyDescent="0.2">
      <c r="N79" s="748"/>
      <c r="O79" s="748"/>
      <c r="AF79" s="561" t="e">
        <f ca="1">_xll.qlCalendarAdvance(Calendar,AF78,"1d","mf",,Trigger)</f>
        <v>#NAME?</v>
      </c>
      <c r="AG79" s="577" t="e">
        <f ca="1">_xll.qlDayCounterYearFraction(DayCounter,SettlementDate,AF79,,,Trigger)</f>
        <v>#NAME?</v>
      </c>
      <c r="AH79" s="574" t="e">
        <f t="shared" ca="1" si="12"/>
        <v>#NAME?</v>
      </c>
      <c r="AI79" s="574" t="e">
        <f t="shared" ca="1" si="13"/>
        <v>#NAME?</v>
      </c>
      <c r="AJ79" s="574" t="e">
        <f t="shared" ca="1" si="14"/>
        <v>#NAME?</v>
      </c>
    </row>
    <row r="80" spans="14:36" x14ac:dyDescent="0.2">
      <c r="N80" s="748"/>
      <c r="O80" s="748"/>
      <c r="AF80" s="561" t="e">
        <f ca="1">_xll.qlCalendarAdvance(Calendar,AF79,"1d","mf",,Trigger)</f>
        <v>#NAME?</v>
      </c>
      <c r="AG80" s="577" t="e">
        <f ca="1">_xll.qlDayCounterYearFraction(DayCounter,SettlementDate,AF80,,,Trigger)</f>
        <v>#NAME?</v>
      </c>
      <c r="AH80" s="574" t="e">
        <f t="shared" ca="1" si="12"/>
        <v>#NAME?</v>
      </c>
      <c r="AI80" s="574" t="e">
        <f t="shared" ca="1" si="13"/>
        <v>#NAME?</v>
      </c>
      <c r="AJ80" s="574" t="e">
        <f t="shared" ca="1" si="14"/>
        <v>#NAME?</v>
      </c>
    </row>
    <row r="81" spans="14:36" x14ac:dyDescent="0.2">
      <c r="N81" s="748"/>
      <c r="O81" s="748"/>
      <c r="AF81" s="561" t="e">
        <f ca="1">_xll.qlCalendarAdvance(Calendar,AF80,"1d","mf",,Trigger)</f>
        <v>#NAME?</v>
      </c>
      <c r="AG81" s="577" t="e">
        <f ca="1">_xll.qlDayCounterYearFraction(DayCounter,SettlementDate,AF81,,,Trigger)</f>
        <v>#NAME?</v>
      </c>
      <c r="AH81" s="574" t="e">
        <f t="shared" ca="1" si="12"/>
        <v>#NAME?</v>
      </c>
      <c r="AI81" s="574" t="e">
        <f t="shared" ca="1" si="13"/>
        <v>#NAME?</v>
      </c>
      <c r="AJ81" s="574" t="e">
        <f t="shared" ca="1" si="14"/>
        <v>#NAME?</v>
      </c>
    </row>
    <row r="82" spans="14:36" x14ac:dyDescent="0.2">
      <c r="N82" s="748"/>
      <c r="O82" s="748"/>
      <c r="AF82" s="561" t="e">
        <f ca="1">_xll.qlCalendarAdvance(Calendar,AF81,"1d","mf",,Trigger)</f>
        <v>#NAME?</v>
      </c>
      <c r="AG82" s="577" t="e">
        <f ca="1">_xll.qlDayCounterYearFraction(DayCounter,SettlementDate,AF82,,,Trigger)</f>
        <v>#NAME?</v>
      </c>
      <c r="AH82" s="574" t="e">
        <f t="shared" ca="1" si="12"/>
        <v>#NAME?</v>
      </c>
      <c r="AI82" s="574" t="e">
        <f t="shared" ca="1" si="13"/>
        <v>#NAME?</v>
      </c>
      <c r="AJ82" s="574" t="e">
        <f t="shared" ca="1" si="14"/>
        <v>#NAME?</v>
      </c>
    </row>
    <row r="83" spans="14:36" x14ac:dyDescent="0.2">
      <c r="N83" s="748"/>
      <c r="O83" s="748"/>
      <c r="AF83" s="561" t="e">
        <f ca="1">_xll.qlCalendarAdvance(Calendar,AF82,"1d","mf",,Trigger)</f>
        <v>#NAME?</v>
      </c>
      <c r="AG83" s="577" t="e">
        <f ca="1">_xll.qlDayCounterYearFraction(DayCounter,SettlementDate,AF83,,,Trigger)</f>
        <v>#NAME?</v>
      </c>
      <c r="AH83" s="574" t="e">
        <f t="shared" ca="1" si="12"/>
        <v>#NAME?</v>
      </c>
      <c r="AI83" s="574" t="e">
        <f t="shared" ca="1" si="13"/>
        <v>#NAME?</v>
      </c>
      <c r="AJ83" s="574" t="e">
        <f t="shared" ca="1" si="14"/>
        <v>#NAME?</v>
      </c>
    </row>
    <row r="84" spans="14:36" x14ac:dyDescent="0.2">
      <c r="N84" s="748"/>
      <c r="O84" s="748"/>
      <c r="AF84" s="561" t="e">
        <f ca="1">_xll.qlCalendarAdvance(Calendar,AF83,"1d","mf",,Trigger)</f>
        <v>#NAME?</v>
      </c>
      <c r="AG84" s="577" t="e">
        <f ca="1">_xll.qlDayCounterYearFraction(DayCounter,SettlementDate,AF84,,,Trigger)</f>
        <v>#NAME?</v>
      </c>
      <c r="AH84" s="574" t="e">
        <f t="shared" ca="1" si="12"/>
        <v>#NAME?</v>
      </c>
      <c r="AI84" s="574" t="e">
        <f t="shared" ca="1" si="13"/>
        <v>#NAME?</v>
      </c>
      <c r="AJ84" s="574" t="e">
        <f t="shared" ca="1" si="14"/>
        <v>#NAME?</v>
      </c>
    </row>
    <row r="85" spans="14:36" x14ac:dyDescent="0.2">
      <c r="N85" s="748"/>
      <c r="O85" s="748"/>
      <c r="AF85" s="561" t="e">
        <f ca="1">_xll.qlCalendarAdvance(Calendar,AF84,"1d","mf",,Trigger)</f>
        <v>#NAME?</v>
      </c>
      <c r="AG85" s="577" t="e">
        <f ca="1">_xll.qlDayCounterYearFraction(DayCounter,SettlementDate,AF85,,,Trigger)</f>
        <v>#NAME?</v>
      </c>
      <c r="AH85" s="574" t="e">
        <f t="shared" ca="1" si="12"/>
        <v>#NAME?</v>
      </c>
      <c r="AI85" s="574" t="e">
        <f t="shared" ca="1" si="13"/>
        <v>#NAME?</v>
      </c>
      <c r="AJ85" s="574" t="e">
        <f t="shared" ca="1" si="14"/>
        <v>#NAME?</v>
      </c>
    </row>
    <row r="86" spans="14:36" x14ac:dyDescent="0.2">
      <c r="N86" s="748"/>
      <c r="O86" s="748"/>
      <c r="AF86" s="561" t="e">
        <f ca="1">_xll.qlCalendarAdvance(Calendar,AF85,"1d","mf",,Trigger)</f>
        <v>#NAME?</v>
      </c>
      <c r="AG86" s="577" t="e">
        <f ca="1">_xll.qlDayCounterYearFraction(DayCounter,SettlementDate,AF86,,,Trigger)</f>
        <v>#NAME?</v>
      </c>
      <c r="AH86" s="574" t="e">
        <f t="shared" ca="1" si="12"/>
        <v>#NAME?</v>
      </c>
      <c r="AI86" s="574" t="e">
        <f t="shared" ca="1" si="13"/>
        <v>#NAME?</v>
      </c>
      <c r="AJ86" s="574" t="e">
        <f t="shared" ca="1" si="14"/>
        <v>#NAME?</v>
      </c>
    </row>
    <row r="87" spans="14:36" x14ac:dyDescent="0.2">
      <c r="N87" s="748"/>
      <c r="O87" s="748"/>
      <c r="AF87" s="561" t="e">
        <f ca="1">_xll.qlCalendarAdvance(Calendar,AF86,"1d","mf",,Trigger)</f>
        <v>#NAME?</v>
      </c>
      <c r="AG87" s="577" t="e">
        <f ca="1">_xll.qlDayCounterYearFraction(DayCounter,SettlementDate,AF87,,,Trigger)</f>
        <v>#NAME?</v>
      </c>
      <c r="AH87" s="574" t="e">
        <f t="shared" ca="1" si="12"/>
        <v>#NAME?</v>
      </c>
      <c r="AI87" s="574" t="e">
        <f t="shared" ca="1" si="13"/>
        <v>#NAME?</v>
      </c>
      <c r="AJ87" s="574" t="e">
        <f t="shared" ca="1" si="14"/>
        <v>#NAME?</v>
      </c>
    </row>
    <row r="88" spans="14:36" x14ac:dyDescent="0.2">
      <c r="N88" s="748"/>
      <c r="O88" s="748"/>
      <c r="AF88" s="561" t="e">
        <f ca="1">_xll.qlCalendarAdvance(Calendar,AF87,"1d","mf",,Trigger)</f>
        <v>#NAME?</v>
      </c>
      <c r="AG88" s="577" t="e">
        <f ca="1">_xll.qlDayCounterYearFraction(DayCounter,SettlementDate,AF88,,,Trigger)</f>
        <v>#NAME?</v>
      </c>
      <c r="AH88" s="574" t="e">
        <f t="shared" ca="1" si="12"/>
        <v>#NAME?</v>
      </c>
      <c r="AI88" s="574" t="e">
        <f t="shared" ca="1" si="13"/>
        <v>#NAME?</v>
      </c>
      <c r="AJ88" s="574" t="e">
        <f t="shared" ca="1" si="14"/>
        <v>#NAME?</v>
      </c>
    </row>
    <row r="89" spans="14:36" x14ac:dyDescent="0.2">
      <c r="N89" s="748"/>
      <c r="O89" s="748"/>
      <c r="AF89" s="561" t="e">
        <f ca="1">_xll.qlCalendarAdvance(Calendar,AF88,"1d","mf",,Trigger)</f>
        <v>#NAME?</v>
      </c>
      <c r="AG89" s="577" t="e">
        <f ca="1">_xll.qlDayCounterYearFraction(DayCounter,SettlementDate,AF89,,,Trigger)</f>
        <v>#NAME?</v>
      </c>
      <c r="AH89" s="574" t="e">
        <f t="shared" ca="1" si="12"/>
        <v>#NAME?</v>
      </c>
      <c r="AI89" s="574" t="e">
        <f t="shared" ca="1" si="13"/>
        <v>#NAME?</v>
      </c>
      <c r="AJ89" s="574" t="e">
        <f t="shared" ca="1" si="14"/>
        <v>#NAME?</v>
      </c>
    </row>
    <row r="90" spans="14:36" x14ac:dyDescent="0.2">
      <c r="N90" s="748"/>
      <c r="O90" s="748"/>
      <c r="AF90" s="561" t="e">
        <f ca="1">_xll.qlCalendarAdvance(Calendar,AF89,"1d","mf",,Trigger)</f>
        <v>#NAME?</v>
      </c>
      <c r="AG90" s="577" t="e">
        <f ca="1">_xll.qlDayCounterYearFraction(DayCounter,SettlementDate,AF90,,,Trigger)</f>
        <v>#NAME?</v>
      </c>
      <c r="AH90" s="574" t="e">
        <f t="shared" ca="1" si="12"/>
        <v>#NAME?</v>
      </c>
      <c r="AI90" s="574" t="e">
        <f t="shared" ca="1" si="13"/>
        <v>#NAME?</v>
      </c>
      <c r="AJ90" s="574" t="e">
        <f t="shared" ca="1" si="14"/>
        <v>#NAME?</v>
      </c>
    </row>
    <row r="91" spans="14:36" x14ac:dyDescent="0.2">
      <c r="N91" s="748"/>
      <c r="O91" s="748"/>
      <c r="AF91" s="561" t="e">
        <f ca="1">_xll.qlCalendarAdvance(Calendar,AF90,"1d","mf",,Trigger)</f>
        <v>#NAME?</v>
      </c>
      <c r="AG91" s="577" t="e">
        <f ca="1">_xll.qlDayCounterYearFraction(DayCounter,SettlementDate,AF91,,,Trigger)</f>
        <v>#NAME?</v>
      </c>
      <c r="AH91" s="574" t="e">
        <f t="shared" ca="1" si="12"/>
        <v>#NAME?</v>
      </c>
      <c r="AI91" s="574" t="e">
        <f t="shared" ca="1" si="13"/>
        <v>#NAME?</v>
      </c>
      <c r="AJ91" s="574" t="e">
        <f t="shared" ca="1" si="14"/>
        <v>#NAME?</v>
      </c>
    </row>
    <row r="92" spans="14:36" x14ac:dyDescent="0.2">
      <c r="N92" s="748"/>
      <c r="O92" s="748"/>
      <c r="AF92" s="561" t="e">
        <f ca="1">_xll.qlCalendarAdvance(Calendar,AF91,"1d","mf",,Trigger)</f>
        <v>#NAME?</v>
      </c>
      <c r="AG92" s="577" t="e">
        <f ca="1">_xll.qlDayCounterYearFraction(DayCounter,SettlementDate,AF92,,,Trigger)</f>
        <v>#NAME?</v>
      </c>
      <c r="AH92" s="574" t="e">
        <f t="shared" ca="1" si="12"/>
        <v>#NAME?</v>
      </c>
      <c r="AI92" s="574" t="e">
        <f t="shared" ca="1" si="13"/>
        <v>#NAME?</v>
      </c>
      <c r="AJ92" s="574" t="e">
        <f t="shared" ca="1" si="14"/>
        <v>#NAME?</v>
      </c>
    </row>
    <row r="93" spans="14:36" x14ac:dyDescent="0.2">
      <c r="N93" s="748"/>
      <c r="O93" s="748"/>
      <c r="AF93" s="561" t="e">
        <f ca="1">_xll.qlCalendarAdvance(Calendar,AF92,"1d","mf",,Trigger)</f>
        <v>#NAME?</v>
      </c>
      <c r="AG93" s="577" t="e">
        <f ca="1">_xll.qlDayCounterYearFraction(DayCounter,SettlementDate,AF93,,,Trigger)</f>
        <v>#NAME?</v>
      </c>
      <c r="AH93" s="574" t="e">
        <f t="shared" ca="1" si="12"/>
        <v>#NAME?</v>
      </c>
      <c r="AI93" s="574" t="e">
        <f t="shared" ca="1" si="13"/>
        <v>#NAME?</v>
      </c>
      <c r="AJ93" s="574" t="e">
        <f t="shared" ca="1" si="14"/>
        <v>#NAME?</v>
      </c>
    </row>
    <row r="94" spans="14:36" x14ac:dyDescent="0.2">
      <c r="N94" s="748"/>
      <c r="O94" s="748"/>
      <c r="AF94" s="561" t="e">
        <f ca="1">_xll.qlCalendarAdvance(Calendar,AF93,"1d","mf",,Trigger)</f>
        <v>#NAME?</v>
      </c>
      <c r="AG94" s="577" t="e">
        <f ca="1">_xll.qlDayCounterYearFraction(DayCounter,SettlementDate,AF94,,,Trigger)</f>
        <v>#NAME?</v>
      </c>
      <c r="AH94" s="574" t="e">
        <f t="shared" ca="1" si="12"/>
        <v>#NAME?</v>
      </c>
      <c r="AI94" s="574" t="e">
        <f t="shared" ca="1" si="13"/>
        <v>#NAME?</v>
      </c>
      <c r="AJ94" s="574" t="e">
        <f t="shared" ca="1" si="14"/>
        <v>#NAME?</v>
      </c>
    </row>
    <row r="95" spans="14:36" x14ac:dyDescent="0.2">
      <c r="N95" s="748"/>
      <c r="O95" s="748"/>
      <c r="AF95" s="561" t="e">
        <f ca="1">_xll.qlCalendarAdvance(Calendar,AF94,"1d","mf",,Trigger)</f>
        <v>#NAME?</v>
      </c>
      <c r="AG95" s="577" t="e">
        <f ca="1">_xll.qlDayCounterYearFraction(DayCounter,SettlementDate,AF95,,,Trigger)</f>
        <v>#NAME?</v>
      </c>
      <c r="AH95" s="574" t="e">
        <f t="shared" ca="1" si="12"/>
        <v>#NAME?</v>
      </c>
      <c r="AI95" s="574" t="e">
        <f t="shared" ca="1" si="13"/>
        <v>#NAME?</v>
      </c>
      <c r="AJ95" s="574" t="e">
        <f t="shared" ca="1" si="14"/>
        <v>#NAME?</v>
      </c>
    </row>
    <row r="96" spans="14:36" x14ac:dyDescent="0.2">
      <c r="N96" s="748"/>
      <c r="O96" s="748"/>
      <c r="AF96" s="561" t="e">
        <f ca="1">_xll.qlCalendarAdvance(Calendar,AF95,"1d","mf",,Trigger)</f>
        <v>#NAME?</v>
      </c>
      <c r="AG96" s="577" t="e">
        <f ca="1">_xll.qlDayCounterYearFraction(DayCounter,SettlementDate,AF96,,,Trigger)</f>
        <v>#NAME?</v>
      </c>
      <c r="AH96" s="574" t="e">
        <f t="shared" ca="1" si="12"/>
        <v>#NAME?</v>
      </c>
      <c r="AI96" s="574" t="e">
        <f t="shared" ca="1" si="13"/>
        <v>#NAME?</v>
      </c>
      <c r="AJ96" s="574" t="e">
        <f t="shared" ca="1" si="14"/>
        <v>#NAME?</v>
      </c>
    </row>
    <row r="97" spans="14:36" x14ac:dyDescent="0.2">
      <c r="N97" s="748"/>
      <c r="O97" s="748"/>
      <c r="AF97" s="561" t="e">
        <f ca="1">_xll.qlCalendarAdvance(Calendar,AF96,"1d","mf",,Trigger)</f>
        <v>#NAME?</v>
      </c>
      <c r="AG97" s="577" t="e">
        <f ca="1">_xll.qlDayCounterYearFraction(DayCounter,SettlementDate,AF97,,,Trigger)</f>
        <v>#NAME?</v>
      </c>
      <c r="AH97" s="574" t="e">
        <f t="shared" ca="1" si="12"/>
        <v>#NAME?</v>
      </c>
      <c r="AI97" s="574" t="e">
        <f t="shared" ca="1" si="13"/>
        <v>#NAME?</v>
      </c>
      <c r="AJ97" s="574" t="e">
        <f t="shared" ca="1" si="14"/>
        <v>#NAME?</v>
      </c>
    </row>
    <row r="98" spans="14:36" x14ac:dyDescent="0.2">
      <c r="N98" s="748"/>
      <c r="O98" s="748"/>
      <c r="AF98" s="561" t="e">
        <f ca="1">_xll.qlCalendarAdvance(Calendar,AF97,"1d","mf",,Trigger)</f>
        <v>#NAME?</v>
      </c>
      <c r="AG98" s="577" t="e">
        <f ca="1">_xll.qlDayCounterYearFraction(DayCounter,SettlementDate,AF98,,,Trigger)</f>
        <v>#NAME?</v>
      </c>
      <c r="AH98" s="574" t="e">
        <f t="shared" ca="1" si="12"/>
        <v>#NAME?</v>
      </c>
      <c r="AI98" s="574" t="e">
        <f t="shared" ca="1" si="13"/>
        <v>#NAME?</v>
      </c>
      <c r="AJ98" s="574" t="e">
        <f t="shared" ca="1" si="14"/>
        <v>#NAME?</v>
      </c>
    </row>
    <row r="99" spans="14:36" x14ac:dyDescent="0.2">
      <c r="N99" s="748"/>
      <c r="O99" s="748"/>
      <c r="AF99" s="561" t="e">
        <f ca="1">_xll.qlCalendarAdvance(Calendar,AF98,"1d","mf",,Trigger)</f>
        <v>#NAME?</v>
      </c>
      <c r="AG99" s="577" t="e">
        <f ca="1">_xll.qlDayCounterYearFraction(DayCounter,SettlementDate,AF99,,,Trigger)</f>
        <v>#NAME?</v>
      </c>
      <c r="AH99" s="574" t="e">
        <f t="shared" ref="AH99:AH132" ca="1" si="15">$W$13</f>
        <v>#NAME?</v>
      </c>
      <c r="AI99" s="574" t="e">
        <f t="shared" ref="AI99:AI132" ca="1" si="16">$W$10+$W$9*AG99</f>
        <v>#NAME?</v>
      </c>
      <c r="AJ99" s="574" t="e">
        <f t="shared" ref="AJ99:AJ132" ca="1" si="17">($W$5+$W$4*AG99+$W$3*AG99^2)</f>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15"/>
        <v>#NAME?</v>
      </c>
      <c r="AI100" s="574" t="e">
        <f t="shared" ca="1" si="16"/>
        <v>#NAME?</v>
      </c>
      <c r="AJ100" s="574" t="e">
        <f t="shared" ca="1" si="17"/>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15"/>
        <v>#NAME?</v>
      </c>
      <c r="AI101" s="574" t="e">
        <f t="shared" ca="1" si="16"/>
        <v>#NAME?</v>
      </c>
      <c r="AJ101" s="574" t="e">
        <f t="shared" ca="1" si="17"/>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15"/>
        <v>#NAME?</v>
      </c>
      <c r="AI102" s="574" t="e">
        <f t="shared" ca="1" si="16"/>
        <v>#NAME?</v>
      </c>
      <c r="AJ102" s="574" t="e">
        <f t="shared" ca="1" si="17"/>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15"/>
        <v>#NAME?</v>
      </c>
      <c r="AI103" s="574" t="e">
        <f t="shared" ca="1" si="16"/>
        <v>#NAME?</v>
      </c>
      <c r="AJ103" s="574" t="e">
        <f t="shared" ca="1" si="17"/>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15"/>
        <v>#NAME?</v>
      </c>
      <c r="AI104" s="574" t="e">
        <f t="shared" ca="1" si="16"/>
        <v>#NAME?</v>
      </c>
      <c r="AJ104" s="574" t="e">
        <f t="shared" ca="1" si="17"/>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15"/>
        <v>#NAME?</v>
      </c>
      <c r="AI105" s="574" t="e">
        <f t="shared" ca="1" si="16"/>
        <v>#NAME?</v>
      </c>
      <c r="AJ105" s="574" t="e">
        <f t="shared" ca="1" si="17"/>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15"/>
        <v>#NAME?</v>
      </c>
      <c r="AI106" s="574" t="e">
        <f t="shared" ca="1" si="16"/>
        <v>#NAME?</v>
      </c>
      <c r="AJ106" s="574" t="e">
        <f t="shared" ca="1" si="17"/>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15"/>
        <v>#NAME?</v>
      </c>
      <c r="AI107" s="574" t="e">
        <f t="shared" ca="1" si="16"/>
        <v>#NAME?</v>
      </c>
      <c r="AJ107" s="574" t="e">
        <f t="shared" ca="1" si="17"/>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15"/>
        <v>#NAME?</v>
      </c>
      <c r="AI108" s="574" t="e">
        <f t="shared" ca="1" si="16"/>
        <v>#NAME?</v>
      </c>
      <c r="AJ108" s="574" t="e">
        <f t="shared" ca="1" si="17"/>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15"/>
        <v>#NAME?</v>
      </c>
      <c r="AI109" s="574" t="e">
        <f t="shared" ca="1" si="16"/>
        <v>#NAME?</v>
      </c>
      <c r="AJ109" s="574" t="e">
        <f t="shared" ca="1" si="17"/>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15"/>
        <v>#NAME?</v>
      </c>
      <c r="AI110" s="574" t="e">
        <f t="shared" ca="1" si="16"/>
        <v>#NAME?</v>
      </c>
      <c r="AJ110" s="574" t="e">
        <f t="shared" ca="1" si="17"/>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15"/>
        <v>#NAME?</v>
      </c>
      <c r="AI111" s="574" t="e">
        <f t="shared" ca="1" si="16"/>
        <v>#NAME?</v>
      </c>
      <c r="AJ111" s="574" t="e">
        <f t="shared" ca="1" si="17"/>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15"/>
        <v>#NAME?</v>
      </c>
      <c r="AI112" s="574" t="e">
        <f t="shared" ca="1" si="16"/>
        <v>#NAME?</v>
      </c>
      <c r="AJ112" s="574" t="e">
        <f t="shared" ca="1" si="17"/>
        <v>#NAME?</v>
      </c>
    </row>
    <row r="113" spans="14:36" x14ac:dyDescent="0.2">
      <c r="N113" s="562"/>
      <c r="O113" s="748"/>
      <c r="AF113" s="561" t="e">
        <f ca="1">_xll.qlCalendarAdvance(Calendar,AF112,"1d","mf",,Trigger)</f>
        <v>#NAME?</v>
      </c>
      <c r="AG113" s="577" t="e">
        <f ca="1">_xll.qlDayCounterYearFraction(DayCounter,SettlementDate,AF113,,,Trigger)</f>
        <v>#NAME?</v>
      </c>
      <c r="AH113" s="574" t="e">
        <f t="shared" ca="1" si="15"/>
        <v>#NAME?</v>
      </c>
      <c r="AI113" s="574" t="e">
        <f t="shared" ca="1" si="16"/>
        <v>#NAME?</v>
      </c>
      <c r="AJ113" s="574" t="e">
        <f t="shared" ca="1" si="17"/>
        <v>#NAME?</v>
      </c>
    </row>
    <row r="114" spans="14:36" x14ac:dyDescent="0.2">
      <c r="N114" s="562"/>
      <c r="O114" s="748"/>
      <c r="AF114" s="561" t="e">
        <f ca="1">_xll.qlCalendarAdvance(Calendar,AF113,"1d","mf",,Trigger)</f>
        <v>#NAME?</v>
      </c>
      <c r="AG114" s="577" t="e">
        <f ca="1">_xll.qlDayCounterYearFraction(DayCounter,SettlementDate,AF114,,,Trigger)</f>
        <v>#NAME?</v>
      </c>
      <c r="AH114" s="574" t="e">
        <f t="shared" ca="1" si="15"/>
        <v>#NAME?</v>
      </c>
      <c r="AI114" s="574" t="e">
        <f t="shared" ca="1" si="16"/>
        <v>#NAME?</v>
      </c>
      <c r="AJ114" s="574" t="e">
        <f t="shared" ca="1" si="17"/>
        <v>#NAME?</v>
      </c>
    </row>
    <row r="115" spans="14:36" x14ac:dyDescent="0.2">
      <c r="N115" s="562"/>
      <c r="O115" s="748"/>
      <c r="AF115" s="561" t="e">
        <f ca="1">_xll.qlCalendarAdvance(Calendar,AF114,"1d","mf",,Trigger)</f>
        <v>#NAME?</v>
      </c>
      <c r="AG115" s="577" t="e">
        <f ca="1">_xll.qlDayCounterYearFraction(DayCounter,SettlementDate,AF115,,,Trigger)</f>
        <v>#NAME?</v>
      </c>
      <c r="AH115" s="574" t="e">
        <f t="shared" ca="1" si="15"/>
        <v>#NAME?</v>
      </c>
      <c r="AI115" s="574" t="e">
        <f t="shared" ca="1" si="16"/>
        <v>#NAME?</v>
      </c>
      <c r="AJ115" s="574" t="e">
        <f t="shared" ca="1" si="17"/>
        <v>#NAME?</v>
      </c>
    </row>
    <row r="116" spans="14:36" x14ac:dyDescent="0.2">
      <c r="N116" s="562"/>
      <c r="O116" s="748"/>
      <c r="AF116" s="561" t="e">
        <f ca="1">_xll.qlCalendarAdvance(Calendar,AF115,"1d","mf",,Trigger)</f>
        <v>#NAME?</v>
      </c>
      <c r="AG116" s="577" t="e">
        <f ca="1">_xll.qlDayCounterYearFraction(DayCounter,SettlementDate,AF116,,,Trigger)</f>
        <v>#NAME?</v>
      </c>
      <c r="AH116" s="574" t="e">
        <f t="shared" ca="1" si="15"/>
        <v>#NAME?</v>
      </c>
      <c r="AI116" s="574" t="e">
        <f t="shared" ca="1" si="16"/>
        <v>#NAME?</v>
      </c>
      <c r="AJ116" s="574" t="e">
        <f t="shared" ca="1" si="17"/>
        <v>#NAME?</v>
      </c>
    </row>
    <row r="117" spans="14:36" x14ac:dyDescent="0.2">
      <c r="N117" s="562"/>
      <c r="O117" s="748"/>
      <c r="AF117" s="561" t="e">
        <f ca="1">_xll.qlCalendarAdvance(Calendar,AF116,"1d","mf",,Trigger)</f>
        <v>#NAME?</v>
      </c>
      <c r="AG117" s="577" t="e">
        <f ca="1">_xll.qlDayCounterYearFraction(DayCounter,SettlementDate,AF117,,,Trigger)</f>
        <v>#NAME?</v>
      </c>
      <c r="AH117" s="574" t="e">
        <f t="shared" ca="1" si="15"/>
        <v>#NAME?</v>
      </c>
      <c r="AI117" s="574" t="e">
        <f t="shared" ca="1" si="16"/>
        <v>#NAME?</v>
      </c>
      <c r="AJ117" s="574" t="e">
        <f t="shared" ca="1" si="17"/>
        <v>#NAME?</v>
      </c>
    </row>
    <row r="118" spans="14:36" x14ac:dyDescent="0.2">
      <c r="N118" s="562"/>
      <c r="O118" s="748"/>
      <c r="AF118" s="561" t="e">
        <f ca="1">_xll.qlCalendarAdvance(Calendar,AF117,"1d","mf",,Trigger)</f>
        <v>#NAME?</v>
      </c>
      <c r="AG118" s="577" t="e">
        <f ca="1">_xll.qlDayCounterYearFraction(DayCounter,SettlementDate,AF118,,,Trigger)</f>
        <v>#NAME?</v>
      </c>
      <c r="AH118" s="574" t="e">
        <f t="shared" ca="1" si="15"/>
        <v>#NAME?</v>
      </c>
      <c r="AI118" s="574" t="e">
        <f t="shared" ca="1" si="16"/>
        <v>#NAME?</v>
      </c>
      <c r="AJ118" s="574" t="e">
        <f t="shared" ca="1" si="17"/>
        <v>#NAME?</v>
      </c>
    </row>
    <row r="119" spans="14:36" x14ac:dyDescent="0.2">
      <c r="N119" s="562"/>
      <c r="O119" s="562"/>
      <c r="AF119" s="561" t="e">
        <f ca="1">_xll.qlCalendarAdvance(Calendar,AF118,"1d","mf",,Trigger)</f>
        <v>#NAME?</v>
      </c>
      <c r="AG119" s="577" t="e">
        <f ca="1">_xll.qlDayCounterYearFraction(DayCounter,SettlementDate,AF119,,,Trigger)</f>
        <v>#NAME?</v>
      </c>
      <c r="AH119" s="574" t="e">
        <f t="shared" ca="1" si="15"/>
        <v>#NAME?</v>
      </c>
      <c r="AI119" s="574" t="e">
        <f t="shared" ca="1" si="16"/>
        <v>#NAME?</v>
      </c>
      <c r="AJ119" s="574" t="e">
        <f t="shared" ca="1" si="17"/>
        <v>#NAME?</v>
      </c>
    </row>
    <row r="120" spans="14:36" x14ac:dyDescent="0.2">
      <c r="N120" s="562"/>
      <c r="O120" s="562"/>
      <c r="AF120" s="561" t="e">
        <f ca="1">_xll.qlCalendarAdvance(Calendar,AF119,"1d","mf",,Trigger)</f>
        <v>#NAME?</v>
      </c>
      <c r="AG120" s="577" t="e">
        <f ca="1">_xll.qlDayCounterYearFraction(DayCounter,SettlementDate,AF120,,,Trigger)</f>
        <v>#NAME?</v>
      </c>
      <c r="AH120" s="574" t="e">
        <f t="shared" ca="1" si="15"/>
        <v>#NAME?</v>
      </c>
      <c r="AI120" s="574" t="e">
        <f t="shared" ca="1" si="16"/>
        <v>#NAME?</v>
      </c>
      <c r="AJ120" s="574" t="e">
        <f t="shared" ca="1" si="17"/>
        <v>#NAME?</v>
      </c>
    </row>
    <row r="121" spans="14:36" x14ac:dyDescent="0.2">
      <c r="N121" s="562"/>
      <c r="O121" s="562"/>
      <c r="AF121" s="561" t="e">
        <f ca="1">_xll.qlCalendarAdvance(Calendar,AF120,"1d","mf",,Trigger)</f>
        <v>#NAME?</v>
      </c>
      <c r="AG121" s="577" t="e">
        <f ca="1">_xll.qlDayCounterYearFraction(DayCounter,SettlementDate,AF121,,,Trigger)</f>
        <v>#NAME?</v>
      </c>
      <c r="AH121" s="574" t="e">
        <f t="shared" ca="1" si="15"/>
        <v>#NAME?</v>
      </c>
      <c r="AI121" s="574" t="e">
        <f t="shared" ca="1" si="16"/>
        <v>#NAME?</v>
      </c>
      <c r="AJ121" s="574" t="e">
        <f t="shared" ca="1" si="17"/>
        <v>#NAME?</v>
      </c>
    </row>
    <row r="122" spans="14:36" x14ac:dyDescent="0.2">
      <c r="N122" s="562"/>
      <c r="O122" s="562"/>
      <c r="AF122" s="561" t="e">
        <f ca="1">_xll.qlCalendarAdvance(Calendar,AF121,"1d","mf",,Trigger)</f>
        <v>#NAME?</v>
      </c>
      <c r="AG122" s="577" t="e">
        <f ca="1">_xll.qlDayCounterYearFraction(DayCounter,SettlementDate,AF122,,,Trigger)</f>
        <v>#NAME?</v>
      </c>
      <c r="AH122" s="574" t="e">
        <f t="shared" ca="1" si="15"/>
        <v>#NAME?</v>
      </c>
      <c r="AI122" s="574" t="e">
        <f t="shared" ca="1" si="16"/>
        <v>#NAME?</v>
      </c>
      <c r="AJ122" s="574" t="e">
        <f t="shared" ca="1" si="17"/>
        <v>#NAME?</v>
      </c>
    </row>
    <row r="123" spans="14:36" x14ac:dyDescent="0.2">
      <c r="N123" s="562"/>
      <c r="O123" s="562"/>
      <c r="AF123" s="561" t="e">
        <f ca="1">_xll.qlCalendarAdvance(Calendar,AF122,"1d","mf",,Trigger)</f>
        <v>#NAME?</v>
      </c>
      <c r="AG123" s="577" t="e">
        <f ca="1">_xll.qlDayCounterYearFraction(DayCounter,SettlementDate,AF123,,,Trigger)</f>
        <v>#NAME?</v>
      </c>
      <c r="AH123" s="574" t="e">
        <f t="shared" ca="1" si="15"/>
        <v>#NAME?</v>
      </c>
      <c r="AI123" s="574" t="e">
        <f t="shared" ca="1" si="16"/>
        <v>#NAME?</v>
      </c>
      <c r="AJ123" s="574" t="e">
        <f t="shared" ca="1" si="17"/>
        <v>#NAME?</v>
      </c>
    </row>
    <row r="124" spans="14:36" x14ac:dyDescent="0.2">
      <c r="N124" s="562"/>
      <c r="O124" s="562"/>
      <c r="AF124" s="561" t="e">
        <f ca="1">_xll.qlCalendarAdvance(Calendar,AF123,"1d","mf",,Trigger)</f>
        <v>#NAME?</v>
      </c>
      <c r="AG124" s="577" t="e">
        <f ca="1">_xll.qlDayCounterYearFraction(DayCounter,SettlementDate,AF124,,,Trigger)</f>
        <v>#NAME?</v>
      </c>
      <c r="AH124" s="574" t="e">
        <f t="shared" ca="1" si="15"/>
        <v>#NAME?</v>
      </c>
      <c r="AI124" s="574" t="e">
        <f t="shared" ca="1" si="16"/>
        <v>#NAME?</v>
      </c>
      <c r="AJ124" s="574" t="e">
        <f t="shared" ca="1" si="17"/>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15"/>
        <v>#NAME?</v>
      </c>
      <c r="AI125" s="574" t="e">
        <f t="shared" ca="1" si="16"/>
        <v>#NAME?</v>
      </c>
      <c r="AJ125" s="574" t="e">
        <f t="shared" ca="1" si="17"/>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15"/>
        <v>#NAME?</v>
      </c>
      <c r="AI126" s="574" t="e">
        <f t="shared" ca="1" si="16"/>
        <v>#NAME?</v>
      </c>
      <c r="AJ126" s="574" t="e">
        <f t="shared" ca="1" si="17"/>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15"/>
        <v>#NAME?</v>
      </c>
      <c r="AI127" s="574" t="e">
        <f t="shared" ca="1" si="16"/>
        <v>#NAME?</v>
      </c>
      <c r="AJ127" s="574" t="e">
        <f t="shared" ca="1" si="17"/>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15"/>
        <v>#NAME?</v>
      </c>
      <c r="AI128" s="574" t="e">
        <f t="shared" ca="1" si="16"/>
        <v>#NAME?</v>
      </c>
      <c r="AJ128" s="574" t="e">
        <f t="shared" ca="1" si="17"/>
        <v>#NAME?</v>
      </c>
    </row>
    <row r="129" spans="15:36" x14ac:dyDescent="0.2">
      <c r="O129" s="562"/>
      <c r="AF129" s="561" t="e">
        <f ca="1">_xll.qlCalendarAdvance(Calendar,AF128,"1d","mf",,Trigger)</f>
        <v>#NAME?</v>
      </c>
      <c r="AG129" s="577" t="e">
        <f ca="1">_xll.qlDayCounterYearFraction(DayCounter,SettlementDate,AF129,,,Trigger)</f>
        <v>#NAME?</v>
      </c>
      <c r="AH129" s="574" t="e">
        <f t="shared" ca="1" si="15"/>
        <v>#NAME?</v>
      </c>
      <c r="AI129" s="574" t="e">
        <f t="shared" ca="1" si="16"/>
        <v>#NAME?</v>
      </c>
      <c r="AJ129" s="574" t="e">
        <f t="shared" ca="1" si="17"/>
        <v>#NAME?</v>
      </c>
    </row>
    <row r="130" spans="15:36" x14ac:dyDescent="0.2">
      <c r="O130" s="562"/>
      <c r="AF130" s="561" t="e">
        <f ca="1">_xll.qlCalendarAdvance(Calendar,AF129,"1d","mf",,Trigger)</f>
        <v>#NAME?</v>
      </c>
      <c r="AG130" s="577" t="e">
        <f ca="1">_xll.qlDayCounterYearFraction(DayCounter,SettlementDate,AF130,,,Trigger)</f>
        <v>#NAME?</v>
      </c>
      <c r="AH130" s="574" t="e">
        <f t="shared" ca="1" si="15"/>
        <v>#NAME?</v>
      </c>
      <c r="AI130" s="574" t="e">
        <f t="shared" ca="1" si="16"/>
        <v>#NAME?</v>
      </c>
      <c r="AJ130" s="574" t="e">
        <f t="shared" ca="1" si="17"/>
        <v>#NAME?</v>
      </c>
    </row>
    <row r="131" spans="15:36" x14ac:dyDescent="0.2">
      <c r="O131" s="562"/>
      <c r="AF131" s="561" t="e">
        <f ca="1">_xll.qlCalendarAdvance(Calendar,AF130,"1d","mf",,Trigger)</f>
        <v>#NAME?</v>
      </c>
      <c r="AG131" s="577" t="e">
        <f ca="1">_xll.qlDayCounterYearFraction(DayCounter,SettlementDate,AF131,,,Trigger)</f>
        <v>#NAME?</v>
      </c>
      <c r="AH131" s="574" t="e">
        <f t="shared" ca="1" si="15"/>
        <v>#NAME?</v>
      </c>
      <c r="AI131" s="574" t="e">
        <f t="shared" ca="1" si="16"/>
        <v>#NAME?</v>
      </c>
      <c r="AJ131" s="574" t="e">
        <f t="shared" ca="1" si="17"/>
        <v>#NAME?</v>
      </c>
    </row>
    <row r="132" spans="15:36" x14ac:dyDescent="0.2">
      <c r="O132" s="562"/>
      <c r="AF132" s="559" t="e">
        <f ca="1">_xll.qlCalendarAdvance(Calendar,AF131,"1d","mf",,Trigger)</f>
        <v>#NAME?</v>
      </c>
      <c r="AG132" s="570" t="e">
        <f ca="1">_xll.qlDayCounterYearFraction(DayCounter,SettlementDate,AF132,,,Trigger)</f>
        <v>#NAME?</v>
      </c>
      <c r="AH132" s="567" t="e">
        <f t="shared" ca="1" si="15"/>
        <v>#NAME?</v>
      </c>
      <c r="AI132" s="567" t="e">
        <f t="shared" ca="1" si="16"/>
        <v>#NAME?</v>
      </c>
      <c r="AJ132" s="567" t="e">
        <f t="shared" ca="1" si="17"/>
        <v>#NAME?</v>
      </c>
    </row>
    <row r="133" spans="15:36" x14ac:dyDescent="0.2">
      <c r="O133" s="562"/>
    </row>
    <row r="134" spans="15:36" x14ac:dyDescent="0.2">
      <c r="O134" s="56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4" width="8" style="555" bestFit="1" customWidth="1"/>
    <col min="35" max="35" width="9"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Euribor1YLastFixing_Quote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66" ca="1" si="0">$W$13</f>
        <v>#NAME?</v>
      </c>
      <c r="AI3" s="579" t="e">
        <f t="shared" ref="AI3:AI66" ca="1" si="1">$W$10+$W$9*AG3</f>
        <v>#NAME?</v>
      </c>
      <c r="AJ3" s="579" t="e">
        <f t="shared" ref="AJ3:AJ66" ca="1" si="2">($W$5+$W$4*AG3+$W$3*AG3^2)</f>
        <v>#NAME?</v>
      </c>
      <c r="AL3" s="1360" t="s">
        <v>529</v>
      </c>
      <c r="AM3" s="1363" t="e">
        <f ca="1">_xll.ohTrigger('General Settings_3'!Trigger)</f>
        <v>#NAME?</v>
      </c>
    </row>
    <row r="4" spans="1:39" ht="12" customHeight="1" thickBot="1" x14ac:dyDescent="0.3">
      <c r="A4" s="555">
        <v>0</v>
      </c>
      <c r="B4" s="795">
        <f>A4+12</f>
        <v>12</v>
      </c>
      <c r="C4" s="801" t="str">
        <f>"Delta("&amp;A4&amp;"M,"&amp;B4&amp;"M)extrap"</f>
        <v>Delta(0M,12M)extrap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LN((1+(_xll.qlInterpolationInterpolate(B12Minterpolation,D4,TRUE,AllTriggers)+I4)*H4)/(1+I4*H4))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_xll.ohTrigger(AF3:AF259)</f>
        <v>#NAME?</v>
      </c>
    </row>
    <row r="5" spans="1:39" ht="12" customHeight="1" x14ac:dyDescent="0.2">
      <c r="A5" s="564">
        <v>1</v>
      </c>
      <c r="B5" s="795">
        <f>A5+12</f>
        <v>13</v>
      </c>
      <c r="C5" s="801" t="str">
        <f>"Delta("&amp;A5&amp;"M,"&amp;B5&amp;"M)"</f>
        <v>Delta(1M,13M)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LN((1+(_xll.qlInterpolationInterpolate(B12Minterpolation,D5,TRUE,AllTriggers)+I5)*H5)/(1+I5*H5))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A6+12</f>
        <v>14</v>
      </c>
      <c r="C6" s="801" t="str">
        <f>"Delta("&amp;A6&amp;"M,"&amp;B6&amp;"M)"</f>
        <v>Delta(2M,14M)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LN((1+(_xll.qlInterpolationInterpolate(B12Minterpolation,D6,TRUE,AllTriggers)+I6)*H6)/(1+I6*H6))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A7+12</f>
        <v>15</v>
      </c>
      <c r="C7" s="794" t="str">
        <f>"Delta("&amp;A7&amp;"M,"&amp;B7&amp;"M)"</f>
        <v>Delta(3M,15M)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LN((1+(_xll.qlInterpolationInterpolate(B12Minterpolation,D7,TRUE,AllTriggers)+I7)*H7)/(1+I7*H7))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58</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Euribor1Y</v>
      </c>
      <c r="R10" s="1400"/>
      <c r="S10" s="782"/>
      <c r="T10" s="781" t="e">
        <f ca="1"/>
        <v>#NAME?</v>
      </c>
      <c r="U10" s="780" t="e">
        <f ca="1"/>
        <v>#NAME?</v>
      </c>
      <c r="V10" s="1402"/>
      <c r="W10" s="770" t="e">
        <f ca="1"/>
        <v>#NAME?</v>
      </c>
      <c r="X10" s="1402"/>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1Y</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30"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30" ca="1" si="4">(K15/L15-1)/J15</f>
        <v>#NAME?</v>
      </c>
      <c r="N15" s="574" t="e">
        <f t="shared" ref="N15:N30" ca="1" si="5">((1+M15*J15)*EXP($W$13*J15)-1)/J15</f>
        <v>#NAME?</v>
      </c>
      <c r="O15" s="574" t="e">
        <f t="shared" ref="O15:O30" ca="1" si="6">((1+J15*M15)*EXP($W$10*J15+0.5*$W$9*J15^2)-1)/J15</f>
        <v>#NAME?</v>
      </c>
      <c r="P15" s="574" t="e">
        <f t="shared" ref="P15:P30"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9" t="s">
        <v>92</v>
      </c>
      <c r="D24" s="758" t="e">
        <f t="shared" ca="1" si="3"/>
        <v>#NAME?</v>
      </c>
      <c r="E24" s="561" t="e">
        <f ca="1">_xll.qlCalendarAdvance(Calendar,SettlementDate,C24,"mf",TRUE,Trigger)</f>
        <v>#NAME?</v>
      </c>
      <c r="F24" s="757"/>
      <c r="G24" s="757"/>
      <c r="H24" s="757"/>
      <c r="I24" s="757"/>
      <c r="J24" s="577" t="e">
        <f ca="1">_xll.qlDayCounterYearFraction(DayCounter,D24,E24,,,Trigger)</f>
        <v>#NAME?</v>
      </c>
      <c r="K24" s="756" t="e">
        <f ca="1">_xll.qlYieldTSDiscount(Discounting,D24,,AllTriggers)</f>
        <v>#NAME?</v>
      </c>
      <c r="L24" s="756" t="e">
        <f ca="1">_xll.qlYieldTSDiscount(Discounting,E24,,AllTriggers)</f>
        <v>#NAME?</v>
      </c>
      <c r="M24" s="755" t="e">
        <f t="shared" ca="1" si="4"/>
        <v>#NAME?</v>
      </c>
      <c r="N24" s="574" t="e">
        <f t="shared" ca="1" si="5"/>
        <v>#NAME?</v>
      </c>
      <c r="O24" s="574" t="e">
        <f t="shared" ca="1" si="6"/>
        <v>#NAME?</v>
      </c>
      <c r="P24" s="574"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759" t="s">
        <v>171</v>
      </c>
      <c r="D25" s="758" t="e">
        <f t="shared" ca="1" si="3"/>
        <v>#NAME?</v>
      </c>
      <c r="E25" s="561" t="e">
        <f ca="1">_xll.qlCalendarAdvance(Calendar,SettlementDate,C25,"mf",TRUE,Trigger)</f>
        <v>#NAME?</v>
      </c>
      <c r="F25" s="757"/>
      <c r="G25" s="757"/>
      <c r="H25" s="757"/>
      <c r="I25" s="757"/>
      <c r="J25" s="577" t="e">
        <f ca="1">_xll.qlDayCounterYearFraction(DayCounter,D25,E25,,,Trigger)</f>
        <v>#NAME?</v>
      </c>
      <c r="K25" s="756" t="e">
        <f ca="1">_xll.qlYieldTSDiscount(Discounting,D25,,AllTriggers)</f>
        <v>#NAME?</v>
      </c>
      <c r="L25" s="756" t="e">
        <f ca="1">_xll.qlYieldTSDiscount(Discounting,E25,,AllTriggers)</f>
        <v>#NAME?</v>
      </c>
      <c r="M25" s="755" t="e">
        <f t="shared" ca="1" si="4"/>
        <v>#NAME?</v>
      </c>
      <c r="N25" s="574" t="e">
        <f t="shared" ca="1" si="5"/>
        <v>#NAME?</v>
      </c>
      <c r="O25" s="574" t="e">
        <f t="shared" ca="1" si="6"/>
        <v>#NAME?</v>
      </c>
      <c r="P25" s="574" t="e">
        <f t="shared" ca="1" si="7"/>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759" t="s">
        <v>170</v>
      </c>
      <c r="D26" s="758" t="e">
        <f t="shared" ca="1" si="3"/>
        <v>#NAME?</v>
      </c>
      <c r="E26" s="561" t="e">
        <f ca="1">_xll.qlCalendarAdvance(Calendar,SettlementDate,C26,"mf",TRUE,Trigger)</f>
        <v>#NAME?</v>
      </c>
      <c r="F26" s="757"/>
      <c r="G26" s="757"/>
      <c r="H26" s="757"/>
      <c r="I26" s="757"/>
      <c r="J26" s="577" t="e">
        <f ca="1">_xll.qlDayCounterYearFraction(DayCounter,D26,E26,,,Trigger)</f>
        <v>#NAME?</v>
      </c>
      <c r="K26" s="756" t="e">
        <f ca="1">_xll.qlYieldTSDiscount(Discounting,D26,,AllTriggers)</f>
        <v>#NAME?</v>
      </c>
      <c r="L26" s="756" t="e">
        <f ca="1">_xll.qlYieldTSDiscount(Discounting,E26,,AllTriggers)</f>
        <v>#NAME?</v>
      </c>
      <c r="M26" s="755" t="e">
        <f t="shared" ca="1" si="4"/>
        <v>#NAME?</v>
      </c>
      <c r="N26" s="574" t="e">
        <f t="shared" ca="1" si="5"/>
        <v>#NAME?</v>
      </c>
      <c r="O26" s="574" t="e">
        <f t="shared" ca="1" si="6"/>
        <v>#NAME?</v>
      </c>
      <c r="P26" s="574" t="e">
        <f t="shared" ca="1" si="7"/>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59" t="s">
        <v>169</v>
      </c>
      <c r="D27" s="758" t="e">
        <f t="shared" ca="1" si="3"/>
        <v>#NAME?</v>
      </c>
      <c r="E27" s="561" t="e">
        <f ca="1">_xll.qlCalendarAdvance(Calendar,SettlementDate,C27,"mf",TRUE,Trigger)</f>
        <v>#NAME?</v>
      </c>
      <c r="F27" s="757"/>
      <c r="G27" s="757"/>
      <c r="H27" s="757"/>
      <c r="I27" s="757"/>
      <c r="J27" s="577" t="e">
        <f ca="1">_xll.qlDayCounterYearFraction(DayCounter,D27,E27,,,Trigger)</f>
        <v>#NAME?</v>
      </c>
      <c r="K27" s="756" t="e">
        <f ca="1">_xll.qlYieldTSDiscount(Discounting,D27,,AllTriggers)</f>
        <v>#NAME?</v>
      </c>
      <c r="L27" s="756" t="e">
        <f ca="1">_xll.qlYieldTSDiscount(Discounting,E27,,AllTriggers)</f>
        <v>#NAME?</v>
      </c>
      <c r="M27" s="755" t="e">
        <f t="shared" ca="1" si="4"/>
        <v>#NAME?</v>
      </c>
      <c r="N27" s="574" t="e">
        <f t="shared" ca="1" si="5"/>
        <v>#NAME?</v>
      </c>
      <c r="O27" s="574" t="e">
        <f t="shared" ca="1" si="6"/>
        <v>#NAME?</v>
      </c>
      <c r="P27" s="574" t="e">
        <f t="shared" ca="1" si="7"/>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759" t="s">
        <v>168</v>
      </c>
      <c r="D28" s="758" t="e">
        <f t="shared" ca="1" si="3"/>
        <v>#NAME?</v>
      </c>
      <c r="E28" s="561" t="e">
        <f ca="1">_xll.qlCalendarAdvance(Calendar,SettlementDate,C28,"mf",TRUE,Trigger)</f>
        <v>#NAME?</v>
      </c>
      <c r="F28" s="757"/>
      <c r="G28" s="757"/>
      <c r="H28" s="757"/>
      <c r="I28" s="757"/>
      <c r="J28" s="577" t="e">
        <f ca="1">_xll.qlDayCounterYearFraction(DayCounter,D28,E28,,,Trigger)</f>
        <v>#NAME?</v>
      </c>
      <c r="K28" s="756" t="e">
        <f ca="1">_xll.qlYieldTSDiscount(Discounting,D28,,AllTriggers)</f>
        <v>#NAME?</v>
      </c>
      <c r="L28" s="756" t="e">
        <f ca="1">_xll.qlYieldTSDiscount(Discounting,E28,,AllTriggers)</f>
        <v>#NAME?</v>
      </c>
      <c r="M28" s="755" t="e">
        <f t="shared" ca="1" si="4"/>
        <v>#NAME?</v>
      </c>
      <c r="N28" s="574" t="e">
        <f t="shared" ca="1" si="5"/>
        <v>#NAME?</v>
      </c>
      <c r="O28" s="574" t="e">
        <f t="shared" ca="1" si="6"/>
        <v>#NAME?</v>
      </c>
      <c r="P28" s="574" t="e">
        <f t="shared" ca="1" si="7"/>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759" t="s">
        <v>167</v>
      </c>
      <c r="D29" s="758" t="e">
        <f t="shared" ca="1" si="3"/>
        <v>#NAME?</v>
      </c>
      <c r="E29" s="561" t="e">
        <f ca="1">_xll.qlCalendarAdvance(Calendar,SettlementDate,C29,"mf",TRUE,Trigger)</f>
        <v>#NAME?</v>
      </c>
      <c r="F29" s="757"/>
      <c r="G29" s="757"/>
      <c r="H29" s="757"/>
      <c r="I29" s="757"/>
      <c r="J29" s="577" t="e">
        <f ca="1">_xll.qlDayCounterYearFraction(DayCounter,D29,E29,,,Trigger)</f>
        <v>#NAME?</v>
      </c>
      <c r="K29" s="756" t="e">
        <f ca="1">_xll.qlYieldTSDiscount(Discounting,D29,,AllTriggers)</f>
        <v>#NAME?</v>
      </c>
      <c r="L29" s="756" t="e">
        <f ca="1">_xll.qlYieldTSDiscount(Discounting,E29,,AllTriggers)</f>
        <v>#NAME?</v>
      </c>
      <c r="M29" s="755" t="e">
        <f t="shared" ca="1" si="4"/>
        <v>#NAME?</v>
      </c>
      <c r="N29" s="574" t="e">
        <f t="shared" ca="1" si="5"/>
        <v>#NAME?</v>
      </c>
      <c r="O29" s="574" t="e">
        <f t="shared" ca="1" si="6"/>
        <v>#NAME?</v>
      </c>
      <c r="P29" s="574" t="e">
        <f t="shared" ca="1" si="7"/>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754" t="s">
        <v>318</v>
      </c>
      <c r="D30" s="753" t="e">
        <f t="shared" ca="1" si="3"/>
        <v>#NAME?</v>
      </c>
      <c r="E30" s="559" t="e">
        <f ca="1">_xll.qlCalendarAdvance(Calendar,SettlementDate,C30,"mf",TRUE,Trigger)</f>
        <v>#NAME?</v>
      </c>
      <c r="F30" s="752"/>
      <c r="G30" s="752"/>
      <c r="H30" s="752"/>
      <c r="I30" s="752"/>
      <c r="J30" s="570" t="e">
        <f ca="1">_xll.qlDayCounterYearFraction(DayCounter,D30,E30,,,Trigger)</f>
        <v>#NAME?</v>
      </c>
      <c r="K30" s="751" t="e">
        <f ca="1">_xll.qlYieldTSDiscount(Discounting,D30,,AllTriggers)</f>
        <v>#NAME?</v>
      </c>
      <c r="L30" s="751" t="e">
        <f ca="1">_xll.qlYieldTSDiscount(Discounting,E30,,AllTriggers)</f>
        <v>#NAME?</v>
      </c>
      <c r="M30" s="750" t="e">
        <f t="shared" ca="1" si="4"/>
        <v>#NAME?</v>
      </c>
      <c r="N30" s="567" t="e">
        <f t="shared" ca="1" si="5"/>
        <v>#NAME?</v>
      </c>
      <c r="O30" s="567" t="e">
        <f t="shared" ca="1" si="6"/>
        <v>#NAME?</v>
      </c>
      <c r="P30" s="567" t="e">
        <f t="shared" ca="1" si="7"/>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93" t="s">
        <v>352</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749" t="s">
        <v>351</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ref="C34:C49" ca="1" si="8">IF($C$33="FLAT",N15,IF($C$33="linear",O15,P15))</f>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ca="1" si="0"/>
        <v>#NAME?</v>
      </c>
      <c r="AI35" s="574" t="e">
        <f t="shared" ca="1" si="1"/>
        <v>#NAME?</v>
      </c>
      <c r="AJ35" s="574" t="e">
        <f t="shared" ca="1" si="2"/>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0"/>
        <v>#NAME?</v>
      </c>
      <c r="AI36" s="574" t="e">
        <f t="shared" ca="1" si="1"/>
        <v>#NAME?</v>
      </c>
      <c r="AJ36" s="574" t="e">
        <f t="shared" ca="1" si="2"/>
        <v>#NAME?</v>
      </c>
    </row>
    <row r="37" spans="3:36" ht="12" customHeight="1" x14ac:dyDescent="0.2">
      <c r="C37" s="574" t="e">
        <f t="shared" ca="1" si="8"/>
        <v>#NAME?</v>
      </c>
      <c r="AF37" s="561" t="e">
        <f ca="1">_xll.qlCalendarAdvance(Calendar,AF36,"1d","mf",,Trigger)</f>
        <v>#NAME?</v>
      </c>
      <c r="AG37" s="577" t="e">
        <f ca="1">_xll.qlDayCounterYearFraction(DayCounter,SettlementDate,AF37,,,Trigger)</f>
        <v>#NAME?</v>
      </c>
      <c r="AH37" s="574" t="e">
        <f t="shared" ca="1" si="0"/>
        <v>#NAME?</v>
      </c>
      <c r="AI37" s="574" t="e">
        <f t="shared" ca="1" si="1"/>
        <v>#NAME?</v>
      </c>
      <c r="AJ37" s="574" t="e">
        <f t="shared" ca="1" si="2"/>
        <v>#NAME?</v>
      </c>
    </row>
    <row r="38" spans="3:36" x14ac:dyDescent="0.2">
      <c r="C38" s="574" t="e">
        <f t="shared" ca="1" si="8"/>
        <v>#NAME?</v>
      </c>
      <c r="AF38" s="561" t="e">
        <f ca="1">_xll.qlCalendarAdvance(Calendar,AF37,"1d","mf",,Trigger)</f>
        <v>#NAME?</v>
      </c>
      <c r="AG38" s="577" t="e">
        <f ca="1">_xll.qlDayCounterYearFraction(DayCounter,SettlementDate,AF38,,,Trigger)</f>
        <v>#NAME?</v>
      </c>
      <c r="AH38" s="574" t="e">
        <f t="shared" ca="1" si="0"/>
        <v>#NAME?</v>
      </c>
      <c r="AI38" s="574" t="e">
        <f t="shared" ca="1" si="1"/>
        <v>#NAME?</v>
      </c>
      <c r="AJ38" s="574" t="e">
        <f t="shared" ca="1" si="2"/>
        <v>#NAME?</v>
      </c>
    </row>
    <row r="39" spans="3:36" x14ac:dyDescent="0.2">
      <c r="C39" s="574" t="e">
        <f t="shared" ca="1" si="8"/>
        <v>#NAME?</v>
      </c>
      <c r="AF39" s="561" t="e">
        <f ca="1">_xll.qlCalendarAdvance(Calendar,AF38,"1d","mf",,Trigger)</f>
        <v>#NAME?</v>
      </c>
      <c r="AG39" s="577" t="e">
        <f ca="1">_xll.qlDayCounterYearFraction(DayCounter,SettlementDate,AF39,,,Trigger)</f>
        <v>#NAME?</v>
      </c>
      <c r="AH39" s="574" t="e">
        <f t="shared" ca="1" si="0"/>
        <v>#NAME?</v>
      </c>
      <c r="AI39" s="574" t="e">
        <f t="shared" ca="1" si="1"/>
        <v>#NAME?</v>
      </c>
      <c r="AJ39" s="574" t="e">
        <f t="shared" ca="1" si="2"/>
        <v>#NAME?</v>
      </c>
    </row>
    <row r="40" spans="3:36" x14ac:dyDescent="0.2">
      <c r="C40" s="574" t="e">
        <f t="shared" ca="1" si="8"/>
        <v>#NAME?</v>
      </c>
      <c r="AF40" s="561" t="e">
        <f ca="1">_xll.qlCalendarAdvance(Calendar,AF39,"1d","mf",,Trigger)</f>
        <v>#NAME?</v>
      </c>
      <c r="AG40" s="577" t="e">
        <f ca="1">_xll.qlDayCounterYearFraction(DayCounter,SettlementDate,AF40,,,Trigger)</f>
        <v>#NAME?</v>
      </c>
      <c r="AH40" s="574" t="e">
        <f t="shared" ca="1" si="0"/>
        <v>#NAME?</v>
      </c>
      <c r="AI40" s="574" t="e">
        <f t="shared" ca="1" si="1"/>
        <v>#NAME?</v>
      </c>
      <c r="AJ40" s="574" t="e">
        <f t="shared" ca="1" si="2"/>
        <v>#NAME?</v>
      </c>
    </row>
    <row r="41" spans="3:36" x14ac:dyDescent="0.2">
      <c r="C41" s="574" t="e">
        <f t="shared" ca="1" si="8"/>
        <v>#NAME?</v>
      </c>
      <c r="AF41" s="561" t="e">
        <f ca="1">_xll.qlCalendarAdvance(Calendar,AF40,"1d","mf",,Trigger)</f>
        <v>#NAME?</v>
      </c>
      <c r="AG41" s="577" t="e">
        <f ca="1">_xll.qlDayCounterYearFraction(DayCounter,SettlementDate,AF41,,,Trigger)</f>
        <v>#NAME?</v>
      </c>
      <c r="AH41" s="574" t="e">
        <f t="shared" ca="1" si="0"/>
        <v>#NAME?</v>
      </c>
      <c r="AI41" s="574" t="e">
        <f t="shared" ca="1" si="1"/>
        <v>#NAME?</v>
      </c>
      <c r="AJ41" s="574" t="e">
        <f t="shared" ca="1" si="2"/>
        <v>#NAME?</v>
      </c>
    </row>
    <row r="42" spans="3:36" x14ac:dyDescent="0.2">
      <c r="C42" s="574" t="e">
        <f t="shared" ca="1" si="8"/>
        <v>#NAME?</v>
      </c>
      <c r="AF42" s="561" t="e">
        <f ca="1">_xll.qlCalendarAdvance(Calendar,AF41,"1d","mf",,Trigger)</f>
        <v>#NAME?</v>
      </c>
      <c r="AG42" s="577" t="e">
        <f ca="1">_xll.qlDayCounterYearFraction(DayCounter,SettlementDate,AF42,,,Trigger)</f>
        <v>#NAME?</v>
      </c>
      <c r="AH42" s="574" t="e">
        <f t="shared" ca="1" si="0"/>
        <v>#NAME?</v>
      </c>
      <c r="AI42" s="574" t="e">
        <f t="shared" ca="1" si="1"/>
        <v>#NAME?</v>
      </c>
      <c r="AJ42" s="574" t="e">
        <f t="shared" ca="1" si="2"/>
        <v>#NAME?</v>
      </c>
    </row>
    <row r="43" spans="3:36" ht="11.25" customHeight="1" x14ac:dyDescent="0.2">
      <c r="C43" s="574" t="e">
        <f t="shared" ca="1" si="8"/>
        <v>#NAME?</v>
      </c>
      <c r="AF43" s="561" t="e">
        <f ca="1">_xll.qlCalendarAdvance(Calendar,AF42,"1d","mf",,Trigger)</f>
        <v>#NAME?</v>
      </c>
      <c r="AG43" s="577" t="e">
        <f ca="1">_xll.qlDayCounterYearFraction(DayCounter,SettlementDate,AF43,,,Trigger)</f>
        <v>#NAME?</v>
      </c>
      <c r="AH43" s="574" t="e">
        <f t="shared" ca="1" si="0"/>
        <v>#NAME?</v>
      </c>
      <c r="AI43" s="574" t="e">
        <f t="shared" ca="1" si="1"/>
        <v>#NAME?</v>
      </c>
      <c r="AJ43" s="574" t="e">
        <f t="shared" ca="1" si="2"/>
        <v>#NAME?</v>
      </c>
    </row>
    <row r="44" spans="3:36" x14ac:dyDescent="0.2">
      <c r="C44" s="574" t="e">
        <f t="shared" ca="1" si="8"/>
        <v>#NAME?</v>
      </c>
      <c r="AF44" s="561" t="e">
        <f ca="1">_xll.qlCalendarAdvance(Calendar,AF43,"1d","mf",,Trigger)</f>
        <v>#NAME?</v>
      </c>
      <c r="AG44" s="577" t="e">
        <f ca="1">_xll.qlDayCounterYearFraction(DayCounter,SettlementDate,AF44,,,Trigger)</f>
        <v>#NAME?</v>
      </c>
      <c r="AH44" s="574" t="e">
        <f t="shared" ca="1" si="0"/>
        <v>#NAME?</v>
      </c>
      <c r="AI44" s="574" t="e">
        <f t="shared" ca="1" si="1"/>
        <v>#NAME?</v>
      </c>
      <c r="AJ44" s="574" t="e">
        <f t="shared" ca="1" si="2"/>
        <v>#NAME?</v>
      </c>
    </row>
    <row r="45" spans="3:36" x14ac:dyDescent="0.2">
      <c r="C45" s="574" t="e">
        <f t="shared" ca="1" si="8"/>
        <v>#NAME?</v>
      </c>
      <c r="AF45" s="561" t="e">
        <f ca="1">_xll.qlCalendarAdvance(Calendar,AF44,"1d","mf",,Trigger)</f>
        <v>#NAME?</v>
      </c>
      <c r="AG45" s="577" t="e">
        <f ca="1">_xll.qlDayCounterYearFraction(DayCounter,SettlementDate,AF45,,,Trigger)</f>
        <v>#NAME?</v>
      </c>
      <c r="AH45" s="574" t="e">
        <f t="shared" ca="1" si="0"/>
        <v>#NAME?</v>
      </c>
      <c r="AI45" s="574" t="e">
        <f t="shared" ca="1" si="1"/>
        <v>#NAME?</v>
      </c>
      <c r="AJ45" s="574" t="e">
        <f t="shared" ca="1" si="2"/>
        <v>#NAME?</v>
      </c>
    </row>
    <row r="46" spans="3:36" x14ac:dyDescent="0.2">
      <c r="C46" s="574" t="e">
        <f t="shared" ca="1" si="8"/>
        <v>#NAME?</v>
      </c>
      <c r="AF46" s="561" t="e">
        <f ca="1">_xll.qlCalendarAdvance(Calendar,AF45,"1d","mf",,Trigger)</f>
        <v>#NAME?</v>
      </c>
      <c r="AG46" s="577" t="e">
        <f ca="1">_xll.qlDayCounterYearFraction(DayCounter,SettlementDate,AF46,,,Trigger)</f>
        <v>#NAME?</v>
      </c>
      <c r="AH46" s="574" t="e">
        <f t="shared" ca="1" si="0"/>
        <v>#NAME?</v>
      </c>
      <c r="AI46" s="574" t="e">
        <f t="shared" ca="1" si="1"/>
        <v>#NAME?</v>
      </c>
      <c r="AJ46" s="574" t="e">
        <f t="shared" ca="1" si="2"/>
        <v>#NAME?</v>
      </c>
    </row>
    <row r="47" spans="3:36" x14ac:dyDescent="0.2">
      <c r="C47" s="574" t="e">
        <f t="shared" ca="1" si="8"/>
        <v>#NAME?</v>
      </c>
      <c r="N47" s="748"/>
      <c r="O47" s="748"/>
      <c r="AF47" s="561" t="e">
        <f ca="1">_xll.qlCalendarAdvance(Calendar,AF46,"1d","mf",,Trigger)</f>
        <v>#NAME?</v>
      </c>
      <c r="AG47" s="577" t="e">
        <f ca="1">_xll.qlDayCounterYearFraction(DayCounter,SettlementDate,AF47,,,Trigger)</f>
        <v>#NAME?</v>
      </c>
      <c r="AH47" s="574" t="e">
        <f t="shared" ca="1" si="0"/>
        <v>#NAME?</v>
      </c>
      <c r="AI47" s="574" t="e">
        <f t="shared" ca="1" si="1"/>
        <v>#NAME?</v>
      </c>
      <c r="AJ47" s="574" t="e">
        <f t="shared" ca="1" si="2"/>
        <v>#NAME?</v>
      </c>
    </row>
    <row r="48" spans="3:36" x14ac:dyDescent="0.2">
      <c r="C48" s="574" t="e">
        <f t="shared" ca="1" si="8"/>
        <v>#NAME?</v>
      </c>
      <c r="AF48" s="561" t="e">
        <f ca="1">_xll.qlCalendarAdvance(Calendar,AF47,"1d","mf",,Trigger)</f>
        <v>#NAME?</v>
      </c>
      <c r="AG48" s="577" t="e">
        <f ca="1">_xll.qlDayCounterYearFraction(DayCounter,SettlementDate,AF48,,,Trigger)</f>
        <v>#NAME?</v>
      </c>
      <c r="AH48" s="574" t="e">
        <f t="shared" ca="1" si="0"/>
        <v>#NAME?</v>
      </c>
      <c r="AI48" s="574" t="e">
        <f t="shared" ca="1" si="1"/>
        <v>#NAME?</v>
      </c>
      <c r="AJ48" s="574" t="e">
        <f t="shared" ca="1" si="2"/>
        <v>#NAME?</v>
      </c>
    </row>
    <row r="49" spans="3:36" x14ac:dyDescent="0.2">
      <c r="C49" s="567" t="e">
        <f t="shared" ca="1" si="8"/>
        <v>#NAME?</v>
      </c>
      <c r="AF49" s="561" t="e">
        <f ca="1">_xll.qlCalendarAdvance(Calendar,AF48,"1d","mf",,Trigger)</f>
        <v>#NAME?</v>
      </c>
      <c r="AG49" s="577" t="e">
        <f ca="1">_xll.qlDayCounterYearFraction(DayCounter,SettlementDate,AF49,,,Trigger)</f>
        <v>#NAME?</v>
      </c>
      <c r="AH49" s="574" t="e">
        <f t="shared" ca="1" si="0"/>
        <v>#NAME?</v>
      </c>
      <c r="AI49" s="574" t="e">
        <f t="shared" ca="1" si="1"/>
        <v>#NAME?</v>
      </c>
      <c r="AJ49" s="574" t="e">
        <f t="shared" ca="1" si="2"/>
        <v>#NAME?</v>
      </c>
    </row>
    <row r="50" spans="3:36" x14ac:dyDescent="0.2">
      <c r="AF50" s="561" t="e">
        <f ca="1">_xll.qlCalendarAdvance(Calendar,AF49,"1d","mf",,Trigger)</f>
        <v>#NAME?</v>
      </c>
      <c r="AG50" s="577" t="e">
        <f ca="1">_xll.qlDayCounterYearFraction(DayCounter,SettlementDate,AF50,,,Trigger)</f>
        <v>#NAME?</v>
      </c>
      <c r="AH50" s="574" t="e">
        <f t="shared" ca="1" si="0"/>
        <v>#NAME?</v>
      </c>
      <c r="AI50" s="574" t="e">
        <f t="shared" ca="1" si="1"/>
        <v>#NAME?</v>
      </c>
      <c r="AJ50" s="574" t="e">
        <f t="shared" ca="1" si="2"/>
        <v>#NAME?</v>
      </c>
    </row>
    <row r="51" spans="3:36" x14ac:dyDescent="0.2">
      <c r="AF51" s="561" t="e">
        <f ca="1">_xll.qlCalendarAdvance(Calendar,AF50,"1d","mf",,Trigger)</f>
        <v>#NAME?</v>
      </c>
      <c r="AG51" s="577" t="e">
        <f ca="1">_xll.qlDayCounterYearFraction(DayCounter,SettlementDate,AF51,,,Trigger)</f>
        <v>#NAME?</v>
      </c>
      <c r="AH51" s="574" t="e">
        <f t="shared" ca="1" si="0"/>
        <v>#NAME?</v>
      </c>
      <c r="AI51" s="574" t="e">
        <f t="shared" ca="1" si="1"/>
        <v>#NAME?</v>
      </c>
      <c r="AJ51" s="574" t="e">
        <f t="shared" ca="1" si="2"/>
        <v>#NAME?</v>
      </c>
    </row>
    <row r="52" spans="3:36" x14ac:dyDescent="0.2">
      <c r="AF52" s="561" t="e">
        <f ca="1">_xll.qlCalendarAdvance(Calendar,AF51,"1d","mf",,Trigger)</f>
        <v>#NAME?</v>
      </c>
      <c r="AG52" s="577" t="e">
        <f ca="1">_xll.qlDayCounterYearFraction(DayCounter,SettlementDate,AF52,,,Trigger)</f>
        <v>#NAME?</v>
      </c>
      <c r="AH52" s="574" t="e">
        <f t="shared" ca="1" si="0"/>
        <v>#NAME?</v>
      </c>
      <c r="AI52" s="574" t="e">
        <f t="shared" ca="1" si="1"/>
        <v>#NAME?</v>
      </c>
      <c r="AJ52" s="574" t="e">
        <f t="shared" ca="1" si="2"/>
        <v>#NAME?</v>
      </c>
    </row>
    <row r="53" spans="3:36" x14ac:dyDescent="0.2">
      <c r="AF53" s="561" t="e">
        <f ca="1">_xll.qlCalendarAdvance(Calendar,AF52,"1d","mf",,Trigger)</f>
        <v>#NAME?</v>
      </c>
      <c r="AG53" s="577" t="e">
        <f ca="1">_xll.qlDayCounterYearFraction(DayCounter,SettlementDate,AF53,,,Trigger)</f>
        <v>#NAME?</v>
      </c>
      <c r="AH53" s="574" t="e">
        <f t="shared" ca="1" si="0"/>
        <v>#NAME?</v>
      </c>
      <c r="AI53" s="574" t="e">
        <f t="shared" ca="1" si="1"/>
        <v>#NAME?</v>
      </c>
      <c r="AJ53" s="574" t="e">
        <f t="shared" ca="1" si="2"/>
        <v>#NAME?</v>
      </c>
    </row>
    <row r="54" spans="3:36" x14ac:dyDescent="0.2">
      <c r="AF54" s="561" t="e">
        <f ca="1">_xll.qlCalendarAdvance(Calendar,AF53,"1d","mf",,Trigger)</f>
        <v>#NAME?</v>
      </c>
      <c r="AG54" s="577" t="e">
        <f ca="1">_xll.qlDayCounterYearFraction(DayCounter,SettlementDate,AF54,,,Trigger)</f>
        <v>#NAME?</v>
      </c>
      <c r="AH54" s="574" t="e">
        <f t="shared" ca="1" si="0"/>
        <v>#NAME?</v>
      </c>
      <c r="AI54" s="574" t="e">
        <f t="shared" ca="1" si="1"/>
        <v>#NAME?</v>
      </c>
      <c r="AJ54" s="574" t="e">
        <f t="shared" ca="1" si="2"/>
        <v>#NAME?</v>
      </c>
    </row>
    <row r="55" spans="3:36" x14ac:dyDescent="0.2">
      <c r="AF55" s="561" t="e">
        <f ca="1">_xll.qlCalendarAdvance(Calendar,AF54,"1d","mf",,Trigger)</f>
        <v>#NAME?</v>
      </c>
      <c r="AG55" s="577" t="e">
        <f ca="1">_xll.qlDayCounterYearFraction(DayCounter,SettlementDate,AF55,,,Trigger)</f>
        <v>#NAME?</v>
      </c>
      <c r="AH55" s="574" t="e">
        <f t="shared" ca="1" si="0"/>
        <v>#NAME?</v>
      </c>
      <c r="AI55" s="574" t="e">
        <f t="shared" ca="1" si="1"/>
        <v>#NAME?</v>
      </c>
      <c r="AJ55" s="574" t="e">
        <f t="shared" ca="1" si="2"/>
        <v>#NAME?</v>
      </c>
    </row>
    <row r="56" spans="3:36" x14ac:dyDescent="0.2">
      <c r="AF56" s="561" t="e">
        <f ca="1">_xll.qlCalendarAdvance(Calendar,AF55,"1d","mf",,Trigger)</f>
        <v>#NAME?</v>
      </c>
      <c r="AG56" s="577" t="e">
        <f ca="1">_xll.qlDayCounterYearFraction(DayCounter,SettlementDate,AF56,,,Trigger)</f>
        <v>#NAME?</v>
      </c>
      <c r="AH56" s="574" t="e">
        <f t="shared" ca="1" si="0"/>
        <v>#NAME?</v>
      </c>
      <c r="AI56" s="574" t="e">
        <f t="shared" ca="1" si="1"/>
        <v>#NAME?</v>
      </c>
      <c r="AJ56" s="574" t="e">
        <f t="shared" ca="1" si="2"/>
        <v>#NAME?</v>
      </c>
    </row>
    <row r="57" spans="3:36" x14ac:dyDescent="0.2">
      <c r="AF57" s="561" t="e">
        <f ca="1">_xll.qlCalendarAdvance(Calendar,AF56,"1d","mf",,Trigger)</f>
        <v>#NAME?</v>
      </c>
      <c r="AG57" s="577" t="e">
        <f ca="1">_xll.qlDayCounterYearFraction(DayCounter,SettlementDate,AF57,,,Trigger)</f>
        <v>#NAME?</v>
      </c>
      <c r="AH57" s="574" t="e">
        <f t="shared" ca="1" si="0"/>
        <v>#NAME?</v>
      </c>
      <c r="AI57" s="574" t="e">
        <f t="shared" ca="1" si="1"/>
        <v>#NAME?</v>
      </c>
      <c r="AJ57" s="574" t="e">
        <f t="shared" ca="1" si="2"/>
        <v>#NAME?</v>
      </c>
    </row>
    <row r="58" spans="3:36" x14ac:dyDescent="0.2">
      <c r="AF58" s="561" t="e">
        <f ca="1">_xll.qlCalendarAdvance(Calendar,AF57,"1d","mf",,Trigger)</f>
        <v>#NAME?</v>
      </c>
      <c r="AG58" s="577" t="e">
        <f ca="1">_xll.qlDayCounterYearFraction(DayCounter,SettlementDate,AF58,,,Trigger)</f>
        <v>#NAME?</v>
      </c>
      <c r="AH58" s="574" t="e">
        <f t="shared" ca="1" si="0"/>
        <v>#NAME?</v>
      </c>
      <c r="AI58" s="574" t="e">
        <f t="shared" ca="1" si="1"/>
        <v>#NAME?</v>
      </c>
      <c r="AJ58" s="574" t="e">
        <f t="shared" ca="1" si="2"/>
        <v>#NAME?</v>
      </c>
    </row>
    <row r="59" spans="3:36" x14ac:dyDescent="0.2">
      <c r="AF59" s="561" t="e">
        <f ca="1">_xll.qlCalendarAdvance(Calendar,AF58,"1d","mf",,Trigger)</f>
        <v>#NAME?</v>
      </c>
      <c r="AG59" s="577" t="e">
        <f ca="1">_xll.qlDayCounterYearFraction(DayCounter,SettlementDate,AF59,,,Trigger)</f>
        <v>#NAME?</v>
      </c>
      <c r="AH59" s="574" t="e">
        <f t="shared" ca="1" si="0"/>
        <v>#NAME?</v>
      </c>
      <c r="AI59" s="574" t="e">
        <f t="shared" ca="1" si="1"/>
        <v>#NAME?</v>
      </c>
      <c r="AJ59" s="574" t="e">
        <f t="shared" ca="1" si="2"/>
        <v>#NAME?</v>
      </c>
    </row>
    <row r="60" spans="3:36" x14ac:dyDescent="0.2">
      <c r="AF60" s="561" t="e">
        <f ca="1">_xll.qlCalendarAdvance(Calendar,AF59,"1d","mf",,Trigger)</f>
        <v>#NAME?</v>
      </c>
      <c r="AG60" s="577" t="e">
        <f ca="1">_xll.qlDayCounterYearFraction(DayCounter,SettlementDate,AF60,,,Trigger)</f>
        <v>#NAME?</v>
      </c>
      <c r="AH60" s="574" t="e">
        <f t="shared" ca="1" si="0"/>
        <v>#NAME?</v>
      </c>
      <c r="AI60" s="574" t="e">
        <f t="shared" ca="1" si="1"/>
        <v>#NAME?</v>
      </c>
      <c r="AJ60" s="574" t="e">
        <f t="shared" ca="1" si="2"/>
        <v>#NAME?</v>
      </c>
    </row>
    <row r="61" spans="3:36" x14ac:dyDescent="0.2">
      <c r="AF61" s="561" t="e">
        <f ca="1">_xll.qlCalendarAdvance(Calendar,AF60,"1d","mf",,Trigger)</f>
        <v>#NAME?</v>
      </c>
      <c r="AG61" s="577" t="e">
        <f ca="1">_xll.qlDayCounterYearFraction(DayCounter,SettlementDate,AF61,,,Trigger)</f>
        <v>#NAME?</v>
      </c>
      <c r="AH61" s="574" t="e">
        <f t="shared" ca="1" si="0"/>
        <v>#NAME?</v>
      </c>
      <c r="AI61" s="574" t="e">
        <f t="shared" ca="1" si="1"/>
        <v>#NAME?</v>
      </c>
      <c r="AJ61" s="574" t="e">
        <f t="shared" ca="1" si="2"/>
        <v>#NAME?</v>
      </c>
    </row>
    <row r="62" spans="3:36" x14ac:dyDescent="0.2">
      <c r="AF62" s="561" t="e">
        <f ca="1">_xll.qlCalendarAdvance(Calendar,AF61,"1d","mf",,Trigger)</f>
        <v>#NAME?</v>
      </c>
      <c r="AG62" s="577" t="e">
        <f ca="1">_xll.qlDayCounterYearFraction(DayCounter,SettlementDate,AF62,,,Trigger)</f>
        <v>#NAME?</v>
      </c>
      <c r="AH62" s="574" t="e">
        <f t="shared" ca="1" si="0"/>
        <v>#NAME?</v>
      </c>
      <c r="AI62" s="574" t="e">
        <f t="shared" ca="1" si="1"/>
        <v>#NAME?</v>
      </c>
      <c r="AJ62" s="574" t="e">
        <f t="shared" ca="1" si="2"/>
        <v>#NAME?</v>
      </c>
    </row>
    <row r="63" spans="3:36" x14ac:dyDescent="0.2">
      <c r="AF63" s="561" t="e">
        <f ca="1">_xll.qlCalendarAdvance(Calendar,AF62,"1d","mf",,Trigger)</f>
        <v>#NAME?</v>
      </c>
      <c r="AG63" s="577" t="e">
        <f ca="1">_xll.qlDayCounterYearFraction(DayCounter,SettlementDate,AF63,,,Trigger)</f>
        <v>#NAME?</v>
      </c>
      <c r="AH63" s="574" t="e">
        <f t="shared" ca="1" si="0"/>
        <v>#NAME?</v>
      </c>
      <c r="AI63" s="574" t="e">
        <f t="shared" ca="1" si="1"/>
        <v>#NAME?</v>
      </c>
      <c r="AJ63" s="574" t="e">
        <f t="shared" ca="1" si="2"/>
        <v>#NAME?</v>
      </c>
    </row>
    <row r="64" spans="3:36" x14ac:dyDescent="0.2">
      <c r="AF64" s="561" t="e">
        <f ca="1">_xll.qlCalendarAdvance(Calendar,AF63,"1d","mf",,Trigger)</f>
        <v>#NAME?</v>
      </c>
      <c r="AG64" s="577" t="e">
        <f ca="1">_xll.qlDayCounterYearFraction(DayCounter,SettlementDate,AF64,,,Trigger)</f>
        <v>#NAME?</v>
      </c>
      <c r="AH64" s="574" t="e">
        <f t="shared" ca="1" si="0"/>
        <v>#NAME?</v>
      </c>
      <c r="AI64" s="574" t="e">
        <f t="shared" ca="1" si="1"/>
        <v>#NAME?</v>
      </c>
      <c r="AJ64" s="574" t="e">
        <f t="shared" ca="1" si="2"/>
        <v>#NAME?</v>
      </c>
    </row>
    <row r="65" spans="14:36" x14ac:dyDescent="0.2">
      <c r="AF65" s="561" t="e">
        <f ca="1">_xll.qlCalendarAdvance(Calendar,AF64,"1d","mf",,Trigger)</f>
        <v>#NAME?</v>
      </c>
      <c r="AG65" s="577" t="e">
        <f ca="1">_xll.qlDayCounterYearFraction(DayCounter,SettlementDate,AF65,,,Trigger)</f>
        <v>#NAME?</v>
      </c>
      <c r="AH65" s="574" t="e">
        <f t="shared" ca="1" si="0"/>
        <v>#NAME?</v>
      </c>
      <c r="AI65" s="574" t="e">
        <f t="shared" ca="1" si="1"/>
        <v>#NAME?</v>
      </c>
      <c r="AJ65" s="574" t="e">
        <f t="shared" ca="1" si="2"/>
        <v>#NAME?</v>
      </c>
    </row>
    <row r="66" spans="14:36" x14ac:dyDescent="0.2">
      <c r="N66" s="748"/>
      <c r="AF66" s="561" t="e">
        <f ca="1">_xll.qlCalendarAdvance(Calendar,AF65,"1d","mf",,Trigger)</f>
        <v>#NAME?</v>
      </c>
      <c r="AG66" s="577" t="e">
        <f ca="1">_xll.qlDayCounterYearFraction(DayCounter,SettlementDate,AF66,,,Trigger)</f>
        <v>#NAME?</v>
      </c>
      <c r="AH66" s="574" t="e">
        <f t="shared" ca="1" si="0"/>
        <v>#NAME?</v>
      </c>
      <c r="AI66" s="574" t="e">
        <f t="shared" ca="1" si="1"/>
        <v>#NAME?</v>
      </c>
      <c r="AJ66" s="574" t="e">
        <f t="shared" ca="1" si="2"/>
        <v>#NAME?</v>
      </c>
    </row>
    <row r="67" spans="14:36" x14ac:dyDescent="0.2">
      <c r="N67" s="748"/>
      <c r="AF67" s="561" t="e">
        <f ca="1">_xll.qlCalendarAdvance(Calendar,AF66,"1d","mf",,Trigger)</f>
        <v>#NAME?</v>
      </c>
      <c r="AG67" s="577" t="e">
        <f ca="1">_xll.qlDayCounterYearFraction(DayCounter,SettlementDate,AF67,,,Trigger)</f>
        <v>#NAME?</v>
      </c>
      <c r="AH67" s="574" t="e">
        <f t="shared" ref="AH67:AH130" ca="1" si="9">$W$13</f>
        <v>#NAME?</v>
      </c>
      <c r="AI67" s="574" t="e">
        <f t="shared" ref="AI67:AI130" ca="1" si="10">$W$10+$W$9*AG67</f>
        <v>#NAME?</v>
      </c>
      <c r="AJ67" s="574" t="e">
        <f t="shared" ref="AJ67:AJ130" ca="1" si="11">($W$5+$W$4*AG67+$W$3*AG67^2)</f>
        <v>#NAME?</v>
      </c>
    </row>
    <row r="68" spans="14:36" x14ac:dyDescent="0.2">
      <c r="N68" s="748"/>
      <c r="AF68" s="561" t="e">
        <f ca="1">_xll.qlCalendarAdvance(Calendar,AF67,"1d","mf",,Trigger)</f>
        <v>#NAME?</v>
      </c>
      <c r="AG68" s="577" t="e">
        <f ca="1">_xll.qlDayCounterYearFraction(DayCounter,SettlementDate,AF68,,,Trigger)</f>
        <v>#NAME?</v>
      </c>
      <c r="AH68" s="574" t="e">
        <f t="shared" ca="1" si="9"/>
        <v>#NAME?</v>
      </c>
      <c r="AI68" s="574" t="e">
        <f t="shared" ca="1" si="10"/>
        <v>#NAME?</v>
      </c>
      <c r="AJ68" s="574" t="e">
        <f t="shared" ca="1" si="11"/>
        <v>#NAME?</v>
      </c>
    </row>
    <row r="69" spans="14:36" x14ac:dyDescent="0.2">
      <c r="N69" s="748"/>
      <c r="AF69" s="561" t="e">
        <f ca="1">_xll.qlCalendarAdvance(Calendar,AF68,"1d","mf",,Trigger)</f>
        <v>#NAME?</v>
      </c>
      <c r="AG69" s="577" t="e">
        <f ca="1">_xll.qlDayCounterYearFraction(DayCounter,SettlementDate,AF69,,,Trigger)</f>
        <v>#NAME?</v>
      </c>
      <c r="AH69" s="574" t="e">
        <f t="shared" ca="1" si="9"/>
        <v>#NAME?</v>
      </c>
      <c r="AI69" s="574" t="e">
        <f t="shared" ca="1" si="10"/>
        <v>#NAME?</v>
      </c>
      <c r="AJ69" s="574" t="e">
        <f t="shared" ca="1" si="11"/>
        <v>#NAME?</v>
      </c>
    </row>
    <row r="70" spans="14:36" x14ac:dyDescent="0.2">
      <c r="N70" s="748"/>
      <c r="AF70" s="561" t="e">
        <f ca="1">_xll.qlCalendarAdvance(Calendar,AF69,"1d","mf",,Trigger)</f>
        <v>#NAME?</v>
      </c>
      <c r="AG70" s="577" t="e">
        <f ca="1">_xll.qlDayCounterYearFraction(DayCounter,SettlementDate,AF70,,,Trigger)</f>
        <v>#NAME?</v>
      </c>
      <c r="AH70" s="574" t="e">
        <f t="shared" ca="1" si="9"/>
        <v>#NAME?</v>
      </c>
      <c r="AI70" s="574" t="e">
        <f t="shared" ca="1" si="10"/>
        <v>#NAME?</v>
      </c>
      <c r="AJ70" s="574" t="e">
        <f t="shared" ca="1" si="11"/>
        <v>#NAME?</v>
      </c>
    </row>
    <row r="71" spans="14:36" x14ac:dyDescent="0.2">
      <c r="N71" s="748"/>
      <c r="AF71" s="561" t="e">
        <f ca="1">_xll.qlCalendarAdvance(Calendar,AF70,"1d","mf",,Trigger)</f>
        <v>#NAME?</v>
      </c>
      <c r="AG71" s="577" t="e">
        <f ca="1">_xll.qlDayCounterYearFraction(DayCounter,SettlementDate,AF71,,,Trigger)</f>
        <v>#NAME?</v>
      </c>
      <c r="AH71" s="574" t="e">
        <f t="shared" ca="1" si="9"/>
        <v>#NAME?</v>
      </c>
      <c r="AI71" s="574" t="e">
        <f t="shared" ca="1" si="10"/>
        <v>#NAME?</v>
      </c>
      <c r="AJ71" s="574" t="e">
        <f t="shared" ca="1" si="11"/>
        <v>#NAME?</v>
      </c>
    </row>
    <row r="72" spans="14:36" x14ac:dyDescent="0.2">
      <c r="N72" s="748"/>
      <c r="O72" s="748"/>
      <c r="AF72" s="561" t="e">
        <f ca="1">_xll.qlCalendarAdvance(Calendar,AF71,"1d","mf",,Trigger)</f>
        <v>#NAME?</v>
      </c>
      <c r="AG72" s="577" t="e">
        <f ca="1">_xll.qlDayCounterYearFraction(DayCounter,SettlementDate,AF72,,,Trigger)</f>
        <v>#NAME?</v>
      </c>
      <c r="AH72" s="574" t="e">
        <f t="shared" ca="1" si="9"/>
        <v>#NAME?</v>
      </c>
      <c r="AI72" s="574" t="e">
        <f t="shared" ca="1" si="10"/>
        <v>#NAME?</v>
      </c>
      <c r="AJ72" s="574" t="e">
        <f t="shared" ca="1" si="11"/>
        <v>#NAME?</v>
      </c>
    </row>
    <row r="73" spans="14:36" x14ac:dyDescent="0.2">
      <c r="N73" s="748"/>
      <c r="O73" s="748"/>
      <c r="AF73" s="561" t="e">
        <f ca="1">_xll.qlCalendarAdvance(Calendar,AF72,"1d","mf",,Trigger)</f>
        <v>#NAME?</v>
      </c>
      <c r="AG73" s="577" t="e">
        <f ca="1">_xll.qlDayCounterYearFraction(DayCounter,SettlementDate,AF73,,,Trigger)</f>
        <v>#NAME?</v>
      </c>
      <c r="AH73" s="574" t="e">
        <f t="shared" ca="1" si="9"/>
        <v>#NAME?</v>
      </c>
      <c r="AI73" s="574" t="e">
        <f t="shared" ca="1" si="10"/>
        <v>#NAME?</v>
      </c>
      <c r="AJ73" s="574" t="e">
        <f t="shared" ca="1" si="11"/>
        <v>#NAME?</v>
      </c>
    </row>
    <row r="74" spans="14:36" x14ac:dyDescent="0.2">
      <c r="N74" s="748"/>
      <c r="O74" s="748"/>
      <c r="AF74" s="561" t="e">
        <f ca="1">_xll.qlCalendarAdvance(Calendar,AF73,"1d","mf",,Trigger)</f>
        <v>#NAME?</v>
      </c>
      <c r="AG74" s="577" t="e">
        <f ca="1">_xll.qlDayCounterYearFraction(DayCounter,SettlementDate,AF74,,,Trigger)</f>
        <v>#NAME?</v>
      </c>
      <c r="AH74" s="574" t="e">
        <f t="shared" ca="1" si="9"/>
        <v>#NAME?</v>
      </c>
      <c r="AI74" s="574" t="e">
        <f t="shared" ca="1" si="10"/>
        <v>#NAME?</v>
      </c>
      <c r="AJ74" s="574" t="e">
        <f t="shared" ca="1" si="11"/>
        <v>#NAME?</v>
      </c>
    </row>
    <row r="75" spans="14:36" x14ac:dyDescent="0.2">
      <c r="N75" s="748"/>
      <c r="O75" s="748"/>
      <c r="AF75" s="561" t="e">
        <f ca="1">_xll.qlCalendarAdvance(Calendar,AF74,"1d","mf",,Trigger)</f>
        <v>#NAME?</v>
      </c>
      <c r="AG75" s="577" t="e">
        <f ca="1">_xll.qlDayCounterYearFraction(DayCounter,SettlementDate,AF75,,,Trigger)</f>
        <v>#NAME?</v>
      </c>
      <c r="AH75" s="574" t="e">
        <f t="shared" ca="1" si="9"/>
        <v>#NAME?</v>
      </c>
      <c r="AI75" s="574" t="e">
        <f t="shared" ca="1" si="10"/>
        <v>#NAME?</v>
      </c>
      <c r="AJ75" s="574" t="e">
        <f t="shared" ca="1" si="11"/>
        <v>#NAME?</v>
      </c>
    </row>
    <row r="76" spans="14:36" x14ac:dyDescent="0.2">
      <c r="N76" s="748"/>
      <c r="O76" s="748"/>
      <c r="AF76" s="561" t="e">
        <f ca="1">_xll.qlCalendarAdvance(Calendar,AF75,"1d","mf",,Trigger)</f>
        <v>#NAME?</v>
      </c>
      <c r="AG76" s="577" t="e">
        <f ca="1">_xll.qlDayCounterYearFraction(DayCounter,SettlementDate,AF76,,,Trigger)</f>
        <v>#NAME?</v>
      </c>
      <c r="AH76" s="574" t="e">
        <f t="shared" ca="1" si="9"/>
        <v>#NAME?</v>
      </c>
      <c r="AI76" s="574" t="e">
        <f t="shared" ca="1" si="10"/>
        <v>#NAME?</v>
      </c>
      <c r="AJ76" s="574" t="e">
        <f t="shared" ca="1" si="11"/>
        <v>#NAME?</v>
      </c>
    </row>
    <row r="77" spans="14:36" x14ac:dyDescent="0.2">
      <c r="N77" s="748"/>
      <c r="O77" s="748"/>
      <c r="AF77" s="561" t="e">
        <f ca="1">_xll.qlCalendarAdvance(Calendar,AF76,"1d","mf",,Trigger)</f>
        <v>#NAME?</v>
      </c>
      <c r="AG77" s="577" t="e">
        <f ca="1">_xll.qlDayCounterYearFraction(DayCounter,SettlementDate,AF77,,,Trigger)</f>
        <v>#NAME?</v>
      </c>
      <c r="AH77" s="574" t="e">
        <f t="shared" ca="1" si="9"/>
        <v>#NAME?</v>
      </c>
      <c r="AI77" s="574" t="e">
        <f t="shared" ca="1" si="10"/>
        <v>#NAME?</v>
      </c>
      <c r="AJ77" s="574" t="e">
        <f t="shared" ca="1" si="11"/>
        <v>#NAME?</v>
      </c>
    </row>
    <row r="78" spans="14:36" x14ac:dyDescent="0.2">
      <c r="N78" s="748"/>
      <c r="O78" s="748"/>
      <c r="AF78" s="561" t="e">
        <f ca="1">_xll.qlCalendarAdvance(Calendar,AF77,"1d","mf",,Trigger)</f>
        <v>#NAME?</v>
      </c>
      <c r="AG78" s="577" t="e">
        <f ca="1">_xll.qlDayCounterYearFraction(DayCounter,SettlementDate,AF78,,,Trigger)</f>
        <v>#NAME?</v>
      </c>
      <c r="AH78" s="574" t="e">
        <f t="shared" ca="1" si="9"/>
        <v>#NAME?</v>
      </c>
      <c r="AI78" s="574" t="e">
        <f t="shared" ca="1" si="10"/>
        <v>#NAME?</v>
      </c>
      <c r="AJ78" s="574" t="e">
        <f t="shared" ca="1" si="11"/>
        <v>#NAME?</v>
      </c>
    </row>
    <row r="79" spans="14:36" x14ac:dyDescent="0.2">
      <c r="N79" s="748"/>
      <c r="O79" s="748"/>
      <c r="AF79" s="561" t="e">
        <f ca="1">_xll.qlCalendarAdvance(Calendar,AF78,"1d","mf",,Trigger)</f>
        <v>#NAME?</v>
      </c>
      <c r="AG79" s="577" t="e">
        <f ca="1">_xll.qlDayCounterYearFraction(DayCounter,SettlementDate,AF79,,,Trigger)</f>
        <v>#NAME?</v>
      </c>
      <c r="AH79" s="574" t="e">
        <f t="shared" ca="1" si="9"/>
        <v>#NAME?</v>
      </c>
      <c r="AI79" s="574" t="e">
        <f t="shared" ca="1" si="10"/>
        <v>#NAME?</v>
      </c>
      <c r="AJ79" s="574" t="e">
        <f t="shared" ca="1" si="11"/>
        <v>#NAME?</v>
      </c>
    </row>
    <row r="80" spans="14:36" x14ac:dyDescent="0.2">
      <c r="N80" s="748"/>
      <c r="O80" s="748"/>
      <c r="AF80" s="561" t="e">
        <f ca="1">_xll.qlCalendarAdvance(Calendar,AF79,"1d","mf",,Trigger)</f>
        <v>#NAME?</v>
      </c>
      <c r="AG80" s="577" t="e">
        <f ca="1">_xll.qlDayCounterYearFraction(DayCounter,SettlementDate,AF80,,,Trigger)</f>
        <v>#NAME?</v>
      </c>
      <c r="AH80" s="574" t="e">
        <f t="shared" ca="1" si="9"/>
        <v>#NAME?</v>
      </c>
      <c r="AI80" s="574" t="e">
        <f t="shared" ca="1" si="10"/>
        <v>#NAME?</v>
      </c>
      <c r="AJ80" s="574" t="e">
        <f t="shared" ca="1" si="11"/>
        <v>#NAME?</v>
      </c>
    </row>
    <row r="81" spans="14:36" x14ac:dyDescent="0.2">
      <c r="N81" s="748"/>
      <c r="O81" s="748"/>
      <c r="AF81" s="561" t="e">
        <f ca="1">_xll.qlCalendarAdvance(Calendar,AF80,"1d","mf",,Trigger)</f>
        <v>#NAME?</v>
      </c>
      <c r="AG81" s="577" t="e">
        <f ca="1">_xll.qlDayCounterYearFraction(DayCounter,SettlementDate,AF81,,,Trigger)</f>
        <v>#NAME?</v>
      </c>
      <c r="AH81" s="574" t="e">
        <f t="shared" ca="1" si="9"/>
        <v>#NAME?</v>
      </c>
      <c r="AI81" s="574" t="e">
        <f t="shared" ca="1" si="10"/>
        <v>#NAME?</v>
      </c>
      <c r="AJ81" s="574" t="e">
        <f t="shared" ca="1" si="11"/>
        <v>#NAME?</v>
      </c>
    </row>
    <row r="82" spans="14:36" x14ac:dyDescent="0.2">
      <c r="N82" s="748"/>
      <c r="O82" s="748"/>
      <c r="AF82" s="561" t="e">
        <f ca="1">_xll.qlCalendarAdvance(Calendar,AF81,"1d","mf",,Trigger)</f>
        <v>#NAME?</v>
      </c>
      <c r="AG82" s="577" t="e">
        <f ca="1">_xll.qlDayCounterYearFraction(DayCounter,SettlementDate,AF82,,,Trigger)</f>
        <v>#NAME?</v>
      </c>
      <c r="AH82" s="574" t="e">
        <f t="shared" ca="1" si="9"/>
        <v>#NAME?</v>
      </c>
      <c r="AI82" s="574" t="e">
        <f t="shared" ca="1" si="10"/>
        <v>#NAME?</v>
      </c>
      <c r="AJ82" s="574" t="e">
        <f t="shared" ca="1" si="11"/>
        <v>#NAME?</v>
      </c>
    </row>
    <row r="83" spans="14:36" x14ac:dyDescent="0.2">
      <c r="N83" s="748"/>
      <c r="O83" s="748"/>
      <c r="AF83" s="561" t="e">
        <f ca="1">_xll.qlCalendarAdvance(Calendar,AF82,"1d","mf",,Trigger)</f>
        <v>#NAME?</v>
      </c>
      <c r="AG83" s="577" t="e">
        <f ca="1">_xll.qlDayCounterYearFraction(DayCounter,SettlementDate,AF83,,,Trigger)</f>
        <v>#NAME?</v>
      </c>
      <c r="AH83" s="574" t="e">
        <f t="shared" ca="1" si="9"/>
        <v>#NAME?</v>
      </c>
      <c r="AI83" s="574" t="e">
        <f t="shared" ca="1" si="10"/>
        <v>#NAME?</v>
      </c>
      <c r="AJ83" s="574" t="e">
        <f t="shared" ca="1" si="11"/>
        <v>#NAME?</v>
      </c>
    </row>
    <row r="84" spans="14:36" x14ac:dyDescent="0.2">
      <c r="N84" s="748"/>
      <c r="O84" s="748"/>
      <c r="AF84" s="561" t="e">
        <f ca="1">_xll.qlCalendarAdvance(Calendar,AF83,"1d","mf",,Trigger)</f>
        <v>#NAME?</v>
      </c>
      <c r="AG84" s="577" t="e">
        <f ca="1">_xll.qlDayCounterYearFraction(DayCounter,SettlementDate,AF84,,,Trigger)</f>
        <v>#NAME?</v>
      </c>
      <c r="AH84" s="574" t="e">
        <f t="shared" ca="1" si="9"/>
        <v>#NAME?</v>
      </c>
      <c r="AI84" s="574" t="e">
        <f t="shared" ca="1" si="10"/>
        <v>#NAME?</v>
      </c>
      <c r="AJ84" s="574" t="e">
        <f t="shared" ca="1" si="11"/>
        <v>#NAME?</v>
      </c>
    </row>
    <row r="85" spans="14:36" x14ac:dyDescent="0.2">
      <c r="N85" s="748"/>
      <c r="O85" s="748"/>
      <c r="AF85" s="561" t="e">
        <f ca="1">_xll.qlCalendarAdvance(Calendar,AF84,"1d","mf",,Trigger)</f>
        <v>#NAME?</v>
      </c>
      <c r="AG85" s="577" t="e">
        <f ca="1">_xll.qlDayCounterYearFraction(DayCounter,SettlementDate,AF85,,,Trigger)</f>
        <v>#NAME?</v>
      </c>
      <c r="AH85" s="574" t="e">
        <f t="shared" ca="1" si="9"/>
        <v>#NAME?</v>
      </c>
      <c r="AI85" s="574" t="e">
        <f t="shared" ca="1" si="10"/>
        <v>#NAME?</v>
      </c>
      <c r="AJ85" s="574" t="e">
        <f t="shared" ca="1" si="11"/>
        <v>#NAME?</v>
      </c>
    </row>
    <row r="86" spans="14:36" x14ac:dyDescent="0.2">
      <c r="N86" s="748"/>
      <c r="O86" s="748"/>
      <c r="AF86" s="561" t="e">
        <f ca="1">_xll.qlCalendarAdvance(Calendar,AF85,"1d","mf",,Trigger)</f>
        <v>#NAME?</v>
      </c>
      <c r="AG86" s="577" t="e">
        <f ca="1">_xll.qlDayCounterYearFraction(DayCounter,SettlementDate,AF86,,,Trigger)</f>
        <v>#NAME?</v>
      </c>
      <c r="AH86" s="574" t="e">
        <f t="shared" ca="1" si="9"/>
        <v>#NAME?</v>
      </c>
      <c r="AI86" s="574" t="e">
        <f t="shared" ca="1" si="10"/>
        <v>#NAME?</v>
      </c>
      <c r="AJ86" s="574" t="e">
        <f t="shared" ca="1" si="11"/>
        <v>#NAME?</v>
      </c>
    </row>
    <row r="87" spans="14:36" x14ac:dyDescent="0.2">
      <c r="N87" s="748"/>
      <c r="O87" s="748"/>
      <c r="AF87" s="561" t="e">
        <f ca="1">_xll.qlCalendarAdvance(Calendar,AF86,"1d","mf",,Trigger)</f>
        <v>#NAME?</v>
      </c>
      <c r="AG87" s="577" t="e">
        <f ca="1">_xll.qlDayCounterYearFraction(DayCounter,SettlementDate,AF87,,,Trigger)</f>
        <v>#NAME?</v>
      </c>
      <c r="AH87" s="574" t="e">
        <f t="shared" ca="1" si="9"/>
        <v>#NAME?</v>
      </c>
      <c r="AI87" s="574" t="e">
        <f t="shared" ca="1" si="10"/>
        <v>#NAME?</v>
      </c>
      <c r="AJ87" s="574" t="e">
        <f t="shared" ca="1" si="11"/>
        <v>#NAME?</v>
      </c>
    </row>
    <row r="88" spans="14:36" x14ac:dyDescent="0.2">
      <c r="N88" s="748"/>
      <c r="O88" s="748"/>
      <c r="AF88" s="561" t="e">
        <f ca="1">_xll.qlCalendarAdvance(Calendar,AF87,"1d","mf",,Trigger)</f>
        <v>#NAME?</v>
      </c>
      <c r="AG88" s="577" t="e">
        <f ca="1">_xll.qlDayCounterYearFraction(DayCounter,SettlementDate,AF88,,,Trigger)</f>
        <v>#NAME?</v>
      </c>
      <c r="AH88" s="574" t="e">
        <f t="shared" ca="1" si="9"/>
        <v>#NAME?</v>
      </c>
      <c r="AI88" s="574" t="e">
        <f t="shared" ca="1" si="10"/>
        <v>#NAME?</v>
      </c>
      <c r="AJ88" s="574" t="e">
        <f t="shared" ca="1" si="11"/>
        <v>#NAME?</v>
      </c>
    </row>
    <row r="89" spans="14:36" x14ac:dyDescent="0.2">
      <c r="N89" s="748"/>
      <c r="O89" s="748"/>
      <c r="AF89" s="561" t="e">
        <f ca="1">_xll.qlCalendarAdvance(Calendar,AF88,"1d","mf",,Trigger)</f>
        <v>#NAME?</v>
      </c>
      <c r="AG89" s="577" t="e">
        <f ca="1">_xll.qlDayCounterYearFraction(DayCounter,SettlementDate,AF89,,,Trigger)</f>
        <v>#NAME?</v>
      </c>
      <c r="AH89" s="574" t="e">
        <f t="shared" ca="1" si="9"/>
        <v>#NAME?</v>
      </c>
      <c r="AI89" s="574" t="e">
        <f t="shared" ca="1" si="10"/>
        <v>#NAME?</v>
      </c>
      <c r="AJ89" s="574" t="e">
        <f t="shared" ca="1" si="11"/>
        <v>#NAME?</v>
      </c>
    </row>
    <row r="90" spans="14:36" x14ac:dyDescent="0.2">
      <c r="N90" s="748"/>
      <c r="O90" s="748"/>
      <c r="AF90" s="561" t="e">
        <f ca="1">_xll.qlCalendarAdvance(Calendar,AF89,"1d","mf",,Trigger)</f>
        <v>#NAME?</v>
      </c>
      <c r="AG90" s="577" t="e">
        <f ca="1">_xll.qlDayCounterYearFraction(DayCounter,SettlementDate,AF90,,,Trigger)</f>
        <v>#NAME?</v>
      </c>
      <c r="AH90" s="574" t="e">
        <f t="shared" ca="1" si="9"/>
        <v>#NAME?</v>
      </c>
      <c r="AI90" s="574" t="e">
        <f t="shared" ca="1" si="10"/>
        <v>#NAME?</v>
      </c>
      <c r="AJ90" s="574" t="e">
        <f t="shared" ca="1" si="11"/>
        <v>#NAME?</v>
      </c>
    </row>
    <row r="91" spans="14:36" x14ac:dyDescent="0.2">
      <c r="N91" s="748"/>
      <c r="O91" s="748"/>
      <c r="AF91" s="561" t="e">
        <f ca="1">_xll.qlCalendarAdvance(Calendar,AF90,"1d","mf",,Trigger)</f>
        <v>#NAME?</v>
      </c>
      <c r="AG91" s="577" t="e">
        <f ca="1">_xll.qlDayCounterYearFraction(DayCounter,SettlementDate,AF91,,,Trigger)</f>
        <v>#NAME?</v>
      </c>
      <c r="AH91" s="574" t="e">
        <f t="shared" ca="1" si="9"/>
        <v>#NAME?</v>
      </c>
      <c r="AI91" s="574" t="e">
        <f t="shared" ca="1" si="10"/>
        <v>#NAME?</v>
      </c>
      <c r="AJ91" s="574" t="e">
        <f t="shared" ca="1" si="11"/>
        <v>#NAME?</v>
      </c>
    </row>
    <row r="92" spans="14:36" x14ac:dyDescent="0.2">
      <c r="N92" s="748"/>
      <c r="O92" s="748"/>
      <c r="AF92" s="561" t="e">
        <f ca="1">_xll.qlCalendarAdvance(Calendar,AF91,"1d","mf",,Trigger)</f>
        <v>#NAME?</v>
      </c>
      <c r="AG92" s="577" t="e">
        <f ca="1">_xll.qlDayCounterYearFraction(DayCounter,SettlementDate,AF92,,,Trigger)</f>
        <v>#NAME?</v>
      </c>
      <c r="AH92" s="574" t="e">
        <f t="shared" ca="1" si="9"/>
        <v>#NAME?</v>
      </c>
      <c r="AI92" s="574" t="e">
        <f t="shared" ca="1" si="10"/>
        <v>#NAME?</v>
      </c>
      <c r="AJ92" s="574" t="e">
        <f t="shared" ca="1" si="11"/>
        <v>#NAME?</v>
      </c>
    </row>
    <row r="93" spans="14:36" x14ac:dyDescent="0.2">
      <c r="N93" s="748"/>
      <c r="O93" s="748"/>
      <c r="AF93" s="561" t="e">
        <f ca="1">_xll.qlCalendarAdvance(Calendar,AF92,"1d","mf",,Trigger)</f>
        <v>#NAME?</v>
      </c>
      <c r="AG93" s="577" t="e">
        <f ca="1">_xll.qlDayCounterYearFraction(DayCounter,SettlementDate,AF93,,,Trigger)</f>
        <v>#NAME?</v>
      </c>
      <c r="AH93" s="574" t="e">
        <f t="shared" ca="1" si="9"/>
        <v>#NAME?</v>
      </c>
      <c r="AI93" s="574" t="e">
        <f t="shared" ca="1" si="10"/>
        <v>#NAME?</v>
      </c>
      <c r="AJ93" s="574" t="e">
        <f t="shared" ca="1" si="11"/>
        <v>#NAME?</v>
      </c>
    </row>
    <row r="94" spans="14:36" x14ac:dyDescent="0.2">
      <c r="N94" s="748"/>
      <c r="O94" s="748"/>
      <c r="AF94" s="561" t="e">
        <f ca="1">_xll.qlCalendarAdvance(Calendar,AF93,"1d","mf",,Trigger)</f>
        <v>#NAME?</v>
      </c>
      <c r="AG94" s="577" t="e">
        <f ca="1">_xll.qlDayCounterYearFraction(DayCounter,SettlementDate,AF94,,,Trigger)</f>
        <v>#NAME?</v>
      </c>
      <c r="AH94" s="574" t="e">
        <f t="shared" ca="1" si="9"/>
        <v>#NAME?</v>
      </c>
      <c r="AI94" s="574" t="e">
        <f t="shared" ca="1" si="10"/>
        <v>#NAME?</v>
      </c>
      <c r="AJ94" s="574" t="e">
        <f t="shared" ca="1" si="11"/>
        <v>#NAME?</v>
      </c>
    </row>
    <row r="95" spans="14:36" x14ac:dyDescent="0.2">
      <c r="N95" s="748"/>
      <c r="O95" s="748"/>
      <c r="AF95" s="561" t="e">
        <f ca="1">_xll.qlCalendarAdvance(Calendar,AF94,"1d","mf",,Trigger)</f>
        <v>#NAME?</v>
      </c>
      <c r="AG95" s="577" t="e">
        <f ca="1">_xll.qlDayCounterYearFraction(DayCounter,SettlementDate,AF95,,,Trigger)</f>
        <v>#NAME?</v>
      </c>
      <c r="AH95" s="574" t="e">
        <f t="shared" ca="1" si="9"/>
        <v>#NAME?</v>
      </c>
      <c r="AI95" s="574" t="e">
        <f t="shared" ca="1" si="10"/>
        <v>#NAME?</v>
      </c>
      <c r="AJ95" s="574" t="e">
        <f t="shared" ca="1" si="11"/>
        <v>#NAME?</v>
      </c>
    </row>
    <row r="96" spans="14:36" x14ac:dyDescent="0.2">
      <c r="N96" s="748"/>
      <c r="O96" s="748"/>
      <c r="AF96" s="561" t="e">
        <f ca="1">_xll.qlCalendarAdvance(Calendar,AF95,"1d","mf",,Trigger)</f>
        <v>#NAME?</v>
      </c>
      <c r="AG96" s="577" t="e">
        <f ca="1">_xll.qlDayCounterYearFraction(DayCounter,SettlementDate,AF96,,,Trigger)</f>
        <v>#NAME?</v>
      </c>
      <c r="AH96" s="574" t="e">
        <f t="shared" ca="1" si="9"/>
        <v>#NAME?</v>
      </c>
      <c r="AI96" s="574" t="e">
        <f t="shared" ca="1" si="10"/>
        <v>#NAME?</v>
      </c>
      <c r="AJ96" s="574" t="e">
        <f t="shared" ca="1" si="11"/>
        <v>#NAME?</v>
      </c>
    </row>
    <row r="97" spans="14:36" x14ac:dyDescent="0.2">
      <c r="N97" s="748"/>
      <c r="O97" s="748"/>
      <c r="AF97" s="561" t="e">
        <f ca="1">_xll.qlCalendarAdvance(Calendar,AF96,"1d","mf",,Trigger)</f>
        <v>#NAME?</v>
      </c>
      <c r="AG97" s="577" t="e">
        <f ca="1">_xll.qlDayCounterYearFraction(DayCounter,SettlementDate,AF97,,,Trigger)</f>
        <v>#NAME?</v>
      </c>
      <c r="AH97" s="574" t="e">
        <f t="shared" ca="1" si="9"/>
        <v>#NAME?</v>
      </c>
      <c r="AI97" s="574" t="e">
        <f t="shared" ca="1" si="10"/>
        <v>#NAME?</v>
      </c>
      <c r="AJ97" s="574" t="e">
        <f t="shared" ca="1" si="11"/>
        <v>#NAME?</v>
      </c>
    </row>
    <row r="98" spans="14:36" x14ac:dyDescent="0.2">
      <c r="N98" s="748"/>
      <c r="O98" s="748"/>
      <c r="AF98" s="561" t="e">
        <f ca="1">_xll.qlCalendarAdvance(Calendar,AF97,"1d","mf",,Trigger)</f>
        <v>#NAME?</v>
      </c>
      <c r="AG98" s="577" t="e">
        <f ca="1">_xll.qlDayCounterYearFraction(DayCounter,SettlementDate,AF98,,,Trigger)</f>
        <v>#NAME?</v>
      </c>
      <c r="AH98" s="574" t="e">
        <f t="shared" ca="1" si="9"/>
        <v>#NAME?</v>
      </c>
      <c r="AI98" s="574" t="e">
        <f t="shared" ca="1" si="10"/>
        <v>#NAME?</v>
      </c>
      <c r="AJ98" s="574" t="e">
        <f t="shared" ca="1" si="11"/>
        <v>#NAME?</v>
      </c>
    </row>
    <row r="99" spans="14:36" x14ac:dyDescent="0.2">
      <c r="N99" s="748"/>
      <c r="O99" s="748"/>
      <c r="AF99" s="561" t="e">
        <f ca="1">_xll.qlCalendarAdvance(Calendar,AF98,"1d","mf",,Trigger)</f>
        <v>#NAME?</v>
      </c>
      <c r="AG99" s="577" t="e">
        <f ca="1">_xll.qlDayCounterYearFraction(DayCounter,SettlementDate,AF99,,,Trigger)</f>
        <v>#NAME?</v>
      </c>
      <c r="AH99" s="574" t="e">
        <f t="shared" ca="1" si="9"/>
        <v>#NAME?</v>
      </c>
      <c r="AI99" s="574" t="e">
        <f t="shared" ca="1" si="10"/>
        <v>#NAME?</v>
      </c>
      <c r="AJ99" s="574" t="e">
        <f t="shared" ca="1" si="11"/>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9"/>
        <v>#NAME?</v>
      </c>
      <c r="AI100" s="574" t="e">
        <f t="shared" ca="1" si="10"/>
        <v>#NAME?</v>
      </c>
      <c r="AJ100" s="574" t="e">
        <f t="shared" ca="1" si="11"/>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9"/>
        <v>#NAME?</v>
      </c>
      <c r="AI101" s="574" t="e">
        <f t="shared" ca="1" si="10"/>
        <v>#NAME?</v>
      </c>
      <c r="AJ101" s="574" t="e">
        <f t="shared" ca="1" si="11"/>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9"/>
        <v>#NAME?</v>
      </c>
      <c r="AI102" s="574" t="e">
        <f t="shared" ca="1" si="10"/>
        <v>#NAME?</v>
      </c>
      <c r="AJ102" s="574" t="e">
        <f t="shared" ca="1" si="11"/>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9"/>
        <v>#NAME?</v>
      </c>
      <c r="AI103" s="574" t="e">
        <f t="shared" ca="1" si="10"/>
        <v>#NAME?</v>
      </c>
      <c r="AJ103" s="574" t="e">
        <f t="shared" ca="1" si="11"/>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9"/>
        <v>#NAME?</v>
      </c>
      <c r="AI104" s="574" t="e">
        <f t="shared" ca="1" si="10"/>
        <v>#NAME?</v>
      </c>
      <c r="AJ104" s="574" t="e">
        <f t="shared" ca="1" si="11"/>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9"/>
        <v>#NAME?</v>
      </c>
      <c r="AI105" s="574" t="e">
        <f t="shared" ca="1" si="10"/>
        <v>#NAME?</v>
      </c>
      <c r="AJ105" s="574" t="e">
        <f t="shared" ca="1" si="11"/>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9"/>
        <v>#NAME?</v>
      </c>
      <c r="AI106" s="574" t="e">
        <f t="shared" ca="1" si="10"/>
        <v>#NAME?</v>
      </c>
      <c r="AJ106" s="574" t="e">
        <f t="shared" ca="1" si="11"/>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9"/>
        <v>#NAME?</v>
      </c>
      <c r="AI107" s="574" t="e">
        <f t="shared" ca="1" si="10"/>
        <v>#NAME?</v>
      </c>
      <c r="AJ107" s="574" t="e">
        <f t="shared" ca="1" si="11"/>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9"/>
        <v>#NAME?</v>
      </c>
      <c r="AI108" s="574" t="e">
        <f t="shared" ca="1" si="10"/>
        <v>#NAME?</v>
      </c>
      <c r="AJ108" s="574" t="e">
        <f t="shared" ca="1" si="11"/>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9"/>
        <v>#NAME?</v>
      </c>
      <c r="AI109" s="574" t="e">
        <f t="shared" ca="1" si="10"/>
        <v>#NAME?</v>
      </c>
      <c r="AJ109" s="574" t="e">
        <f t="shared" ca="1" si="11"/>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9"/>
        <v>#NAME?</v>
      </c>
      <c r="AI110" s="574" t="e">
        <f t="shared" ca="1" si="10"/>
        <v>#NAME?</v>
      </c>
      <c r="AJ110" s="574" t="e">
        <f t="shared" ca="1" si="11"/>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9"/>
        <v>#NAME?</v>
      </c>
      <c r="AI111" s="574" t="e">
        <f t="shared" ca="1" si="10"/>
        <v>#NAME?</v>
      </c>
      <c r="AJ111" s="574" t="e">
        <f t="shared" ca="1" si="11"/>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9"/>
        <v>#NAME?</v>
      </c>
      <c r="AI112" s="574" t="e">
        <f t="shared" ca="1" si="10"/>
        <v>#NAME?</v>
      </c>
      <c r="AJ112" s="574" t="e">
        <f t="shared" ca="1" si="11"/>
        <v>#NAME?</v>
      </c>
    </row>
    <row r="113" spans="14:36" x14ac:dyDescent="0.2">
      <c r="N113" s="748"/>
      <c r="O113" s="748"/>
      <c r="AF113" s="561" t="e">
        <f ca="1">_xll.qlCalendarAdvance(Calendar,AF112,"1d","mf",,Trigger)</f>
        <v>#NAME?</v>
      </c>
      <c r="AG113" s="577" t="e">
        <f ca="1">_xll.qlDayCounterYearFraction(DayCounter,SettlementDate,AF113,,,Trigger)</f>
        <v>#NAME?</v>
      </c>
      <c r="AH113" s="574" t="e">
        <f t="shared" ca="1" si="9"/>
        <v>#NAME?</v>
      </c>
      <c r="AI113" s="574" t="e">
        <f t="shared" ca="1" si="10"/>
        <v>#NAME?</v>
      </c>
      <c r="AJ113" s="574" t="e">
        <f t="shared" ca="1" si="11"/>
        <v>#NAME?</v>
      </c>
    </row>
    <row r="114" spans="14:36" x14ac:dyDescent="0.2">
      <c r="N114" s="748"/>
      <c r="O114" s="748"/>
      <c r="AF114" s="561" t="e">
        <f ca="1">_xll.qlCalendarAdvance(Calendar,AF113,"1d","mf",,Trigger)</f>
        <v>#NAME?</v>
      </c>
      <c r="AG114" s="577" t="e">
        <f ca="1">_xll.qlDayCounterYearFraction(DayCounter,SettlementDate,AF114,,,Trigger)</f>
        <v>#NAME?</v>
      </c>
      <c r="AH114" s="574" t="e">
        <f t="shared" ca="1" si="9"/>
        <v>#NAME?</v>
      </c>
      <c r="AI114" s="574" t="e">
        <f t="shared" ca="1" si="10"/>
        <v>#NAME?</v>
      </c>
      <c r="AJ114" s="574" t="e">
        <f t="shared" ca="1" si="11"/>
        <v>#NAME?</v>
      </c>
    </row>
    <row r="115" spans="14:36" x14ac:dyDescent="0.2">
      <c r="N115" s="748"/>
      <c r="O115" s="748"/>
      <c r="AF115" s="561" t="e">
        <f ca="1">_xll.qlCalendarAdvance(Calendar,AF114,"1d","mf",,Trigger)</f>
        <v>#NAME?</v>
      </c>
      <c r="AG115" s="577" t="e">
        <f ca="1">_xll.qlDayCounterYearFraction(DayCounter,SettlementDate,AF115,,,Trigger)</f>
        <v>#NAME?</v>
      </c>
      <c r="AH115" s="574" t="e">
        <f t="shared" ca="1" si="9"/>
        <v>#NAME?</v>
      </c>
      <c r="AI115" s="574" t="e">
        <f t="shared" ca="1" si="10"/>
        <v>#NAME?</v>
      </c>
      <c r="AJ115" s="574" t="e">
        <f t="shared" ca="1" si="11"/>
        <v>#NAME?</v>
      </c>
    </row>
    <row r="116" spans="14:36" x14ac:dyDescent="0.2">
      <c r="N116" s="748"/>
      <c r="O116" s="748"/>
      <c r="AF116" s="561" t="e">
        <f ca="1">_xll.qlCalendarAdvance(Calendar,AF115,"1d","mf",,Trigger)</f>
        <v>#NAME?</v>
      </c>
      <c r="AG116" s="577" t="e">
        <f ca="1">_xll.qlDayCounterYearFraction(DayCounter,SettlementDate,AF116,,,Trigger)</f>
        <v>#NAME?</v>
      </c>
      <c r="AH116" s="574" t="e">
        <f t="shared" ca="1" si="9"/>
        <v>#NAME?</v>
      </c>
      <c r="AI116" s="574" t="e">
        <f t="shared" ca="1" si="10"/>
        <v>#NAME?</v>
      </c>
      <c r="AJ116" s="574" t="e">
        <f t="shared" ca="1" si="11"/>
        <v>#NAME?</v>
      </c>
    </row>
    <row r="117" spans="14:36" x14ac:dyDescent="0.2">
      <c r="N117" s="748"/>
      <c r="O117" s="748"/>
      <c r="AF117" s="561" t="e">
        <f ca="1">_xll.qlCalendarAdvance(Calendar,AF116,"1d","mf",,Trigger)</f>
        <v>#NAME?</v>
      </c>
      <c r="AG117" s="577" t="e">
        <f ca="1">_xll.qlDayCounterYearFraction(DayCounter,SettlementDate,AF117,,,Trigger)</f>
        <v>#NAME?</v>
      </c>
      <c r="AH117" s="574" t="e">
        <f t="shared" ca="1" si="9"/>
        <v>#NAME?</v>
      </c>
      <c r="AI117" s="574" t="e">
        <f t="shared" ca="1" si="10"/>
        <v>#NAME?</v>
      </c>
      <c r="AJ117" s="574" t="e">
        <f t="shared" ca="1" si="11"/>
        <v>#NAME?</v>
      </c>
    </row>
    <row r="118" spans="14:36" x14ac:dyDescent="0.2">
      <c r="N118" s="748"/>
      <c r="O118" s="748"/>
      <c r="AF118" s="561" t="e">
        <f ca="1">_xll.qlCalendarAdvance(Calendar,AF117,"1d","mf",,Trigger)</f>
        <v>#NAME?</v>
      </c>
      <c r="AG118" s="577" t="e">
        <f ca="1">_xll.qlDayCounterYearFraction(DayCounter,SettlementDate,AF118,,,Trigger)</f>
        <v>#NAME?</v>
      </c>
      <c r="AH118" s="574" t="e">
        <f t="shared" ca="1" si="9"/>
        <v>#NAME?</v>
      </c>
      <c r="AI118" s="574" t="e">
        <f t="shared" ca="1" si="10"/>
        <v>#NAME?</v>
      </c>
      <c r="AJ118" s="574" t="e">
        <f t="shared" ca="1" si="11"/>
        <v>#NAME?</v>
      </c>
    </row>
    <row r="119" spans="14:36" x14ac:dyDescent="0.2">
      <c r="N119" s="562"/>
      <c r="O119" s="748"/>
      <c r="AF119" s="561" t="e">
        <f ca="1">_xll.qlCalendarAdvance(Calendar,AF118,"1d","mf",,Trigger)</f>
        <v>#NAME?</v>
      </c>
      <c r="AG119" s="577" t="e">
        <f ca="1">_xll.qlDayCounterYearFraction(DayCounter,SettlementDate,AF119,,,Trigger)</f>
        <v>#NAME?</v>
      </c>
      <c r="AH119" s="574" t="e">
        <f t="shared" ca="1" si="9"/>
        <v>#NAME?</v>
      </c>
      <c r="AI119" s="574" t="e">
        <f t="shared" ca="1" si="10"/>
        <v>#NAME?</v>
      </c>
      <c r="AJ119" s="574" t="e">
        <f t="shared" ca="1" si="11"/>
        <v>#NAME?</v>
      </c>
    </row>
    <row r="120" spans="14:36" x14ac:dyDescent="0.2">
      <c r="N120" s="562"/>
      <c r="O120" s="748"/>
      <c r="AF120" s="561" t="e">
        <f ca="1">_xll.qlCalendarAdvance(Calendar,AF119,"1d","mf",,Trigger)</f>
        <v>#NAME?</v>
      </c>
      <c r="AG120" s="577" t="e">
        <f ca="1">_xll.qlDayCounterYearFraction(DayCounter,SettlementDate,AF120,,,Trigger)</f>
        <v>#NAME?</v>
      </c>
      <c r="AH120" s="574" t="e">
        <f t="shared" ca="1" si="9"/>
        <v>#NAME?</v>
      </c>
      <c r="AI120" s="574" t="e">
        <f t="shared" ca="1" si="10"/>
        <v>#NAME?</v>
      </c>
      <c r="AJ120" s="574" t="e">
        <f t="shared" ca="1" si="11"/>
        <v>#NAME?</v>
      </c>
    </row>
    <row r="121" spans="14:36" x14ac:dyDescent="0.2">
      <c r="N121" s="562"/>
      <c r="O121" s="748"/>
      <c r="AF121" s="561" t="e">
        <f ca="1">_xll.qlCalendarAdvance(Calendar,AF120,"1d","mf",,Trigger)</f>
        <v>#NAME?</v>
      </c>
      <c r="AG121" s="577" t="e">
        <f ca="1">_xll.qlDayCounterYearFraction(DayCounter,SettlementDate,AF121,,,Trigger)</f>
        <v>#NAME?</v>
      </c>
      <c r="AH121" s="574" t="e">
        <f t="shared" ca="1" si="9"/>
        <v>#NAME?</v>
      </c>
      <c r="AI121" s="574" t="e">
        <f t="shared" ca="1" si="10"/>
        <v>#NAME?</v>
      </c>
      <c r="AJ121" s="574" t="e">
        <f t="shared" ca="1" si="11"/>
        <v>#NAME?</v>
      </c>
    </row>
    <row r="122" spans="14:36" x14ac:dyDescent="0.2">
      <c r="N122" s="562"/>
      <c r="O122" s="748"/>
      <c r="AF122" s="561" t="e">
        <f ca="1">_xll.qlCalendarAdvance(Calendar,AF121,"1d","mf",,Trigger)</f>
        <v>#NAME?</v>
      </c>
      <c r="AG122" s="577" t="e">
        <f ca="1">_xll.qlDayCounterYearFraction(DayCounter,SettlementDate,AF122,,,Trigger)</f>
        <v>#NAME?</v>
      </c>
      <c r="AH122" s="574" t="e">
        <f t="shared" ca="1" si="9"/>
        <v>#NAME?</v>
      </c>
      <c r="AI122" s="574" t="e">
        <f t="shared" ca="1" si="10"/>
        <v>#NAME?</v>
      </c>
      <c r="AJ122" s="574" t="e">
        <f t="shared" ca="1" si="11"/>
        <v>#NAME?</v>
      </c>
    </row>
    <row r="123" spans="14:36" x14ac:dyDescent="0.2">
      <c r="N123" s="562"/>
      <c r="O123" s="748"/>
      <c r="AF123" s="561" t="e">
        <f ca="1">_xll.qlCalendarAdvance(Calendar,AF122,"1d","mf",,Trigger)</f>
        <v>#NAME?</v>
      </c>
      <c r="AG123" s="577" t="e">
        <f ca="1">_xll.qlDayCounterYearFraction(DayCounter,SettlementDate,AF123,,,Trigger)</f>
        <v>#NAME?</v>
      </c>
      <c r="AH123" s="574" t="e">
        <f t="shared" ca="1" si="9"/>
        <v>#NAME?</v>
      </c>
      <c r="AI123" s="574" t="e">
        <f t="shared" ca="1" si="10"/>
        <v>#NAME?</v>
      </c>
      <c r="AJ123" s="574" t="e">
        <f t="shared" ca="1" si="11"/>
        <v>#NAME?</v>
      </c>
    </row>
    <row r="124" spans="14:36" x14ac:dyDescent="0.2">
      <c r="N124" s="562"/>
      <c r="O124" s="748"/>
      <c r="AF124" s="561" t="e">
        <f ca="1">_xll.qlCalendarAdvance(Calendar,AF123,"1d","mf",,Trigger)</f>
        <v>#NAME?</v>
      </c>
      <c r="AG124" s="577" t="e">
        <f ca="1">_xll.qlDayCounterYearFraction(DayCounter,SettlementDate,AF124,,,Trigger)</f>
        <v>#NAME?</v>
      </c>
      <c r="AH124" s="574" t="e">
        <f t="shared" ca="1" si="9"/>
        <v>#NAME?</v>
      </c>
      <c r="AI124" s="574" t="e">
        <f t="shared" ca="1" si="10"/>
        <v>#NAME?</v>
      </c>
      <c r="AJ124" s="574" t="e">
        <f t="shared" ca="1" si="11"/>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9"/>
        <v>#NAME?</v>
      </c>
      <c r="AI125" s="574" t="e">
        <f t="shared" ca="1" si="10"/>
        <v>#NAME?</v>
      </c>
      <c r="AJ125" s="574" t="e">
        <f t="shared" ca="1" si="11"/>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9"/>
        <v>#NAME?</v>
      </c>
      <c r="AI126" s="574" t="e">
        <f t="shared" ca="1" si="10"/>
        <v>#NAME?</v>
      </c>
      <c r="AJ126" s="574" t="e">
        <f t="shared" ca="1" si="11"/>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9"/>
        <v>#NAME?</v>
      </c>
      <c r="AI127" s="574" t="e">
        <f t="shared" ca="1" si="10"/>
        <v>#NAME?</v>
      </c>
      <c r="AJ127" s="574" t="e">
        <f t="shared" ca="1" si="11"/>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9"/>
        <v>#NAME?</v>
      </c>
      <c r="AI128" s="574" t="e">
        <f t="shared" ca="1" si="10"/>
        <v>#NAME?</v>
      </c>
      <c r="AJ128" s="574" t="e">
        <f t="shared" ca="1" si="11"/>
        <v>#NAME?</v>
      </c>
    </row>
    <row r="129" spans="14:36" x14ac:dyDescent="0.2">
      <c r="N129" s="562"/>
      <c r="O129" s="562"/>
      <c r="AF129" s="561" t="e">
        <f ca="1">_xll.qlCalendarAdvance(Calendar,AF128,"1d","mf",,Trigger)</f>
        <v>#NAME?</v>
      </c>
      <c r="AG129" s="577" t="e">
        <f ca="1">_xll.qlDayCounterYearFraction(DayCounter,SettlementDate,AF129,,,Trigger)</f>
        <v>#NAME?</v>
      </c>
      <c r="AH129" s="574" t="e">
        <f t="shared" ca="1" si="9"/>
        <v>#NAME?</v>
      </c>
      <c r="AI129" s="574" t="e">
        <f t="shared" ca="1" si="10"/>
        <v>#NAME?</v>
      </c>
      <c r="AJ129" s="574" t="e">
        <f t="shared" ca="1" si="11"/>
        <v>#NAME?</v>
      </c>
    </row>
    <row r="130" spans="14:36" x14ac:dyDescent="0.2">
      <c r="N130" s="562"/>
      <c r="O130" s="562"/>
      <c r="AF130" s="561" t="e">
        <f ca="1">_xll.qlCalendarAdvance(Calendar,AF129,"1d","mf",,Trigger)</f>
        <v>#NAME?</v>
      </c>
      <c r="AG130" s="577" t="e">
        <f ca="1">_xll.qlDayCounterYearFraction(DayCounter,SettlementDate,AF130,,,Trigger)</f>
        <v>#NAME?</v>
      </c>
      <c r="AH130" s="574" t="e">
        <f t="shared" ca="1" si="9"/>
        <v>#NAME?</v>
      </c>
      <c r="AI130" s="574" t="e">
        <f t="shared" ca="1" si="10"/>
        <v>#NAME?</v>
      </c>
      <c r="AJ130" s="574" t="e">
        <f t="shared" ca="1" si="11"/>
        <v>#NAME?</v>
      </c>
    </row>
    <row r="131" spans="14:36" x14ac:dyDescent="0.2">
      <c r="N131" s="562"/>
      <c r="O131" s="562"/>
      <c r="AF131" s="561" t="e">
        <f ca="1">_xll.qlCalendarAdvance(Calendar,AF130,"1d","mf",,Trigger)</f>
        <v>#NAME?</v>
      </c>
      <c r="AG131" s="577" t="e">
        <f ca="1">_xll.qlDayCounterYearFraction(DayCounter,SettlementDate,AF131,,,Trigger)</f>
        <v>#NAME?</v>
      </c>
      <c r="AH131" s="574" t="e">
        <f t="shared" ref="AH131:AH194" ca="1" si="12">$W$13</f>
        <v>#NAME?</v>
      </c>
      <c r="AI131" s="574" t="e">
        <f t="shared" ref="AI131:AI194" ca="1" si="13">$W$10+$W$9*AG131</f>
        <v>#NAME?</v>
      </c>
      <c r="AJ131" s="574" t="e">
        <f t="shared" ref="AJ131:AJ194" ca="1" si="14">($W$5+$W$4*AG131+$W$3*AG131^2)</f>
        <v>#NAME?</v>
      </c>
    </row>
    <row r="132" spans="14:36" x14ac:dyDescent="0.2">
      <c r="N132" s="562"/>
      <c r="O132" s="562"/>
      <c r="AF132" s="561" t="e">
        <f ca="1">_xll.qlCalendarAdvance(Calendar,AF131,"1d","mf",,Trigger)</f>
        <v>#NAME?</v>
      </c>
      <c r="AG132" s="577" t="e">
        <f ca="1">_xll.qlDayCounterYearFraction(DayCounter,SettlementDate,AF132,,,Trigger)</f>
        <v>#NAME?</v>
      </c>
      <c r="AH132" s="574" t="e">
        <f t="shared" ca="1" si="12"/>
        <v>#NAME?</v>
      </c>
      <c r="AI132" s="574" t="e">
        <f t="shared" ca="1" si="13"/>
        <v>#NAME?</v>
      </c>
      <c r="AJ132" s="574" t="e">
        <f t="shared" ca="1" si="14"/>
        <v>#NAME?</v>
      </c>
    </row>
    <row r="133" spans="14:36" x14ac:dyDescent="0.2">
      <c r="N133" s="562"/>
      <c r="O133" s="562"/>
      <c r="AF133" s="561" t="e">
        <f ca="1">_xll.qlCalendarAdvance(Calendar,AF132,"1d","mf",,Trigger)</f>
        <v>#NAME?</v>
      </c>
      <c r="AG133" s="577" t="e">
        <f ca="1">_xll.qlDayCounterYearFraction(DayCounter,SettlementDate,AF133,,,Trigger)</f>
        <v>#NAME?</v>
      </c>
      <c r="AH133" s="574" t="e">
        <f t="shared" ca="1" si="12"/>
        <v>#NAME?</v>
      </c>
      <c r="AI133" s="574" t="e">
        <f t="shared" ca="1" si="13"/>
        <v>#NAME?</v>
      </c>
      <c r="AJ133" s="574" t="e">
        <f t="shared" ca="1" si="14"/>
        <v>#NAME?</v>
      </c>
    </row>
    <row r="134" spans="14:36" x14ac:dyDescent="0.2">
      <c r="N134" s="562"/>
      <c r="O134" s="562"/>
      <c r="AF134" s="561" t="e">
        <f ca="1">_xll.qlCalendarAdvance(Calendar,AF133,"1d","mf",,Trigger)</f>
        <v>#NAME?</v>
      </c>
      <c r="AG134" s="577" t="e">
        <f ca="1">_xll.qlDayCounterYearFraction(DayCounter,SettlementDate,AF134,,,Trigger)</f>
        <v>#NAME?</v>
      </c>
      <c r="AH134" s="574" t="e">
        <f t="shared" ca="1" si="12"/>
        <v>#NAME?</v>
      </c>
      <c r="AI134" s="574" t="e">
        <f t="shared" ca="1" si="13"/>
        <v>#NAME?</v>
      </c>
      <c r="AJ134" s="574" t="e">
        <f t="shared" ca="1" si="14"/>
        <v>#NAME?</v>
      </c>
    </row>
    <row r="135" spans="14:36" x14ac:dyDescent="0.2">
      <c r="O135" s="562"/>
      <c r="AF135" s="561" t="e">
        <f ca="1">_xll.qlCalendarAdvance(Calendar,AF134,"1d","mf",,Trigger)</f>
        <v>#NAME?</v>
      </c>
      <c r="AG135" s="577" t="e">
        <f ca="1">_xll.qlDayCounterYearFraction(DayCounter,SettlementDate,AF135,,,Trigger)</f>
        <v>#NAME?</v>
      </c>
      <c r="AH135" s="574" t="e">
        <f t="shared" ca="1" si="12"/>
        <v>#NAME?</v>
      </c>
      <c r="AI135" s="574" t="e">
        <f t="shared" ca="1" si="13"/>
        <v>#NAME?</v>
      </c>
      <c r="AJ135" s="574" t="e">
        <f t="shared" ca="1" si="14"/>
        <v>#NAME?</v>
      </c>
    </row>
    <row r="136" spans="14:36" x14ac:dyDescent="0.2">
      <c r="O136" s="562"/>
      <c r="AF136" s="561" t="e">
        <f ca="1">_xll.qlCalendarAdvance(Calendar,AF135,"1d","mf",,Trigger)</f>
        <v>#NAME?</v>
      </c>
      <c r="AG136" s="577" t="e">
        <f ca="1">_xll.qlDayCounterYearFraction(DayCounter,SettlementDate,AF136,,,Trigger)</f>
        <v>#NAME?</v>
      </c>
      <c r="AH136" s="574" t="e">
        <f t="shared" ca="1" si="12"/>
        <v>#NAME?</v>
      </c>
      <c r="AI136" s="574" t="e">
        <f t="shared" ca="1" si="13"/>
        <v>#NAME?</v>
      </c>
      <c r="AJ136" s="574" t="e">
        <f t="shared" ca="1" si="14"/>
        <v>#NAME?</v>
      </c>
    </row>
    <row r="137" spans="14:36" x14ac:dyDescent="0.2">
      <c r="O137" s="562"/>
      <c r="AF137" s="561" t="e">
        <f ca="1">_xll.qlCalendarAdvance(Calendar,AF136,"1d","mf",,Trigger)</f>
        <v>#NAME?</v>
      </c>
      <c r="AG137" s="577" t="e">
        <f ca="1">_xll.qlDayCounterYearFraction(DayCounter,SettlementDate,AF137,,,Trigger)</f>
        <v>#NAME?</v>
      </c>
      <c r="AH137" s="574" t="e">
        <f t="shared" ca="1" si="12"/>
        <v>#NAME?</v>
      </c>
      <c r="AI137" s="574" t="e">
        <f t="shared" ca="1" si="13"/>
        <v>#NAME?</v>
      </c>
      <c r="AJ137" s="574" t="e">
        <f t="shared" ca="1" si="14"/>
        <v>#NAME?</v>
      </c>
    </row>
    <row r="138" spans="14:36" x14ac:dyDescent="0.2">
      <c r="O138" s="562"/>
      <c r="AF138" s="561" t="e">
        <f ca="1">_xll.qlCalendarAdvance(Calendar,AF137,"1d","mf",,Trigger)</f>
        <v>#NAME?</v>
      </c>
      <c r="AG138" s="577" t="e">
        <f ca="1">_xll.qlDayCounterYearFraction(DayCounter,SettlementDate,AF138,,,Trigger)</f>
        <v>#NAME?</v>
      </c>
      <c r="AH138" s="574" t="e">
        <f t="shared" ca="1" si="12"/>
        <v>#NAME?</v>
      </c>
      <c r="AI138" s="574" t="e">
        <f t="shared" ca="1" si="13"/>
        <v>#NAME?</v>
      </c>
      <c r="AJ138" s="574" t="e">
        <f t="shared" ca="1" si="14"/>
        <v>#NAME?</v>
      </c>
    </row>
    <row r="139" spans="14:36" x14ac:dyDescent="0.2">
      <c r="O139" s="562"/>
      <c r="AF139" s="561" t="e">
        <f ca="1">_xll.qlCalendarAdvance(Calendar,AF138,"1d","mf",,Trigger)</f>
        <v>#NAME?</v>
      </c>
      <c r="AG139" s="577" t="e">
        <f ca="1">_xll.qlDayCounterYearFraction(DayCounter,SettlementDate,AF139,,,Trigger)</f>
        <v>#NAME?</v>
      </c>
      <c r="AH139" s="574" t="e">
        <f t="shared" ca="1" si="12"/>
        <v>#NAME?</v>
      </c>
      <c r="AI139" s="574" t="e">
        <f t="shared" ca="1" si="13"/>
        <v>#NAME?</v>
      </c>
      <c r="AJ139" s="574" t="e">
        <f t="shared" ca="1" si="14"/>
        <v>#NAME?</v>
      </c>
    </row>
    <row r="140" spans="14:36" x14ac:dyDescent="0.2">
      <c r="O140" s="562"/>
      <c r="AF140" s="561" t="e">
        <f ca="1">_xll.qlCalendarAdvance(Calendar,AF139,"1d","mf",,Trigger)</f>
        <v>#NAME?</v>
      </c>
      <c r="AG140" s="577" t="e">
        <f ca="1">_xll.qlDayCounterYearFraction(DayCounter,SettlementDate,AF140,,,Trigger)</f>
        <v>#NAME?</v>
      </c>
      <c r="AH140" s="574" t="e">
        <f t="shared" ca="1" si="12"/>
        <v>#NAME?</v>
      </c>
      <c r="AI140" s="574" t="e">
        <f t="shared" ca="1" si="13"/>
        <v>#NAME?</v>
      </c>
      <c r="AJ140" s="574" t="e">
        <f t="shared" ca="1" si="14"/>
        <v>#NAME?</v>
      </c>
    </row>
    <row r="141" spans="14:36" x14ac:dyDescent="0.2">
      <c r="AF141" s="561" t="e">
        <f ca="1">_xll.qlCalendarAdvance(Calendar,AF140,"1d","mf",,Trigger)</f>
        <v>#NAME?</v>
      </c>
      <c r="AG141" s="577" t="e">
        <f ca="1">_xll.qlDayCounterYearFraction(DayCounter,SettlementDate,AF141,,,Trigger)</f>
        <v>#NAME?</v>
      </c>
      <c r="AH141" s="574" t="e">
        <f t="shared" ca="1" si="12"/>
        <v>#NAME?</v>
      </c>
      <c r="AI141" s="574" t="e">
        <f t="shared" ca="1" si="13"/>
        <v>#NAME?</v>
      </c>
      <c r="AJ141" s="574" t="e">
        <f t="shared" ca="1" si="14"/>
        <v>#NAME?</v>
      </c>
    </row>
    <row r="142" spans="14:36" x14ac:dyDescent="0.2">
      <c r="AF142" s="561" t="e">
        <f ca="1">_xll.qlCalendarAdvance(Calendar,AF141,"1d","mf",,Trigger)</f>
        <v>#NAME?</v>
      </c>
      <c r="AG142" s="577" t="e">
        <f ca="1">_xll.qlDayCounterYearFraction(DayCounter,SettlementDate,AF142,,,Trigger)</f>
        <v>#NAME?</v>
      </c>
      <c r="AH142" s="574" t="e">
        <f t="shared" ca="1" si="12"/>
        <v>#NAME?</v>
      </c>
      <c r="AI142" s="574" t="e">
        <f t="shared" ca="1" si="13"/>
        <v>#NAME?</v>
      </c>
      <c r="AJ142" s="574" t="e">
        <f t="shared" ca="1" si="14"/>
        <v>#NAME?</v>
      </c>
    </row>
    <row r="143" spans="14:36" x14ac:dyDescent="0.2">
      <c r="AF143" s="561" t="e">
        <f ca="1">_xll.qlCalendarAdvance(Calendar,AF142,"1d","mf",,Trigger)</f>
        <v>#NAME?</v>
      </c>
      <c r="AG143" s="577" t="e">
        <f ca="1">_xll.qlDayCounterYearFraction(DayCounter,SettlementDate,AF143,,,Trigger)</f>
        <v>#NAME?</v>
      </c>
      <c r="AH143" s="574" t="e">
        <f t="shared" ca="1" si="12"/>
        <v>#NAME?</v>
      </c>
      <c r="AI143" s="574" t="e">
        <f t="shared" ca="1" si="13"/>
        <v>#NAME?</v>
      </c>
      <c r="AJ143" s="574" t="e">
        <f t="shared" ca="1" si="14"/>
        <v>#NAME?</v>
      </c>
    </row>
    <row r="144" spans="14:36" x14ac:dyDescent="0.2">
      <c r="AF144" s="561" t="e">
        <f ca="1">_xll.qlCalendarAdvance(Calendar,AF143,"1d","mf",,Trigger)</f>
        <v>#NAME?</v>
      </c>
      <c r="AG144" s="577" t="e">
        <f ca="1">_xll.qlDayCounterYearFraction(DayCounter,SettlementDate,AF144,,,Trigger)</f>
        <v>#NAME?</v>
      </c>
      <c r="AH144" s="574" t="e">
        <f t="shared" ca="1" si="12"/>
        <v>#NAME?</v>
      </c>
      <c r="AI144" s="574" t="e">
        <f t="shared" ca="1" si="13"/>
        <v>#NAME?</v>
      </c>
      <c r="AJ144" s="574" t="e">
        <f t="shared" ca="1" si="14"/>
        <v>#NAME?</v>
      </c>
    </row>
    <row r="145" spans="32:36" x14ac:dyDescent="0.2">
      <c r="AF145" s="561" t="e">
        <f ca="1">_xll.qlCalendarAdvance(Calendar,AF144,"1d","mf",,Trigger)</f>
        <v>#NAME?</v>
      </c>
      <c r="AG145" s="577" t="e">
        <f ca="1">_xll.qlDayCounterYearFraction(DayCounter,SettlementDate,AF145,,,Trigger)</f>
        <v>#NAME?</v>
      </c>
      <c r="AH145" s="574" t="e">
        <f t="shared" ca="1" si="12"/>
        <v>#NAME?</v>
      </c>
      <c r="AI145" s="574" t="e">
        <f t="shared" ca="1" si="13"/>
        <v>#NAME?</v>
      </c>
      <c r="AJ145" s="574" t="e">
        <f t="shared" ca="1" si="14"/>
        <v>#NAME?</v>
      </c>
    </row>
    <row r="146" spans="32:36" x14ac:dyDescent="0.2">
      <c r="AF146" s="561" t="e">
        <f ca="1">_xll.qlCalendarAdvance(Calendar,AF145,"1d","mf",,Trigger)</f>
        <v>#NAME?</v>
      </c>
      <c r="AG146" s="577" t="e">
        <f ca="1">_xll.qlDayCounterYearFraction(DayCounter,SettlementDate,AF146,,,Trigger)</f>
        <v>#NAME?</v>
      </c>
      <c r="AH146" s="574" t="e">
        <f t="shared" ca="1" si="12"/>
        <v>#NAME?</v>
      </c>
      <c r="AI146" s="574" t="e">
        <f t="shared" ca="1" si="13"/>
        <v>#NAME?</v>
      </c>
      <c r="AJ146" s="574" t="e">
        <f t="shared" ca="1" si="14"/>
        <v>#NAME?</v>
      </c>
    </row>
    <row r="147" spans="32:36" x14ac:dyDescent="0.2">
      <c r="AF147" s="561" t="e">
        <f ca="1">_xll.qlCalendarAdvance(Calendar,AF146,"1d","mf",,Trigger)</f>
        <v>#NAME?</v>
      </c>
      <c r="AG147" s="577" t="e">
        <f ca="1">_xll.qlDayCounterYearFraction(DayCounter,SettlementDate,AF147,,,Trigger)</f>
        <v>#NAME?</v>
      </c>
      <c r="AH147" s="574" t="e">
        <f t="shared" ca="1" si="12"/>
        <v>#NAME?</v>
      </c>
      <c r="AI147" s="574" t="e">
        <f t="shared" ca="1" si="13"/>
        <v>#NAME?</v>
      </c>
      <c r="AJ147" s="574" t="e">
        <f t="shared" ca="1" si="14"/>
        <v>#NAME?</v>
      </c>
    </row>
    <row r="148" spans="32:36" x14ac:dyDescent="0.2">
      <c r="AF148" s="561" t="e">
        <f ca="1">_xll.qlCalendarAdvance(Calendar,AF147,"1d","mf",,Trigger)</f>
        <v>#NAME?</v>
      </c>
      <c r="AG148" s="577" t="e">
        <f ca="1">_xll.qlDayCounterYearFraction(DayCounter,SettlementDate,AF148,,,Trigger)</f>
        <v>#NAME?</v>
      </c>
      <c r="AH148" s="574" t="e">
        <f t="shared" ca="1" si="12"/>
        <v>#NAME?</v>
      </c>
      <c r="AI148" s="574" t="e">
        <f t="shared" ca="1" si="13"/>
        <v>#NAME?</v>
      </c>
      <c r="AJ148" s="574" t="e">
        <f t="shared" ca="1" si="14"/>
        <v>#NAME?</v>
      </c>
    </row>
    <row r="149" spans="32:36" x14ac:dyDescent="0.2">
      <c r="AF149" s="561" t="e">
        <f ca="1">_xll.qlCalendarAdvance(Calendar,AF148,"1d","mf",,Trigger)</f>
        <v>#NAME?</v>
      </c>
      <c r="AG149" s="577" t="e">
        <f ca="1">_xll.qlDayCounterYearFraction(DayCounter,SettlementDate,AF149,,,Trigger)</f>
        <v>#NAME?</v>
      </c>
      <c r="AH149" s="574" t="e">
        <f t="shared" ca="1" si="12"/>
        <v>#NAME?</v>
      </c>
      <c r="AI149" s="574" t="e">
        <f t="shared" ca="1" si="13"/>
        <v>#NAME?</v>
      </c>
      <c r="AJ149" s="574" t="e">
        <f t="shared" ca="1" si="14"/>
        <v>#NAME?</v>
      </c>
    </row>
    <row r="150" spans="32:36" x14ac:dyDescent="0.2">
      <c r="AF150" s="561" t="e">
        <f ca="1">_xll.qlCalendarAdvance(Calendar,AF149,"1d","mf",,Trigger)</f>
        <v>#NAME?</v>
      </c>
      <c r="AG150" s="577" t="e">
        <f ca="1">_xll.qlDayCounterYearFraction(DayCounter,SettlementDate,AF150,,,Trigger)</f>
        <v>#NAME?</v>
      </c>
      <c r="AH150" s="574" t="e">
        <f t="shared" ca="1" si="12"/>
        <v>#NAME?</v>
      </c>
      <c r="AI150" s="574" t="e">
        <f t="shared" ca="1" si="13"/>
        <v>#NAME?</v>
      </c>
      <c r="AJ150" s="574" t="e">
        <f t="shared" ca="1" si="14"/>
        <v>#NAME?</v>
      </c>
    </row>
    <row r="151" spans="32:36" x14ac:dyDescent="0.2">
      <c r="AF151" s="561" t="e">
        <f ca="1">_xll.qlCalendarAdvance(Calendar,AF150,"1d","mf",,Trigger)</f>
        <v>#NAME?</v>
      </c>
      <c r="AG151" s="577" t="e">
        <f ca="1">_xll.qlDayCounterYearFraction(DayCounter,SettlementDate,AF151,,,Trigger)</f>
        <v>#NAME?</v>
      </c>
      <c r="AH151" s="574" t="e">
        <f t="shared" ca="1" si="12"/>
        <v>#NAME?</v>
      </c>
      <c r="AI151" s="574" t="e">
        <f t="shared" ca="1" si="13"/>
        <v>#NAME?</v>
      </c>
      <c r="AJ151" s="574" t="e">
        <f t="shared" ca="1" si="14"/>
        <v>#NAME?</v>
      </c>
    </row>
    <row r="152" spans="32:36" x14ac:dyDescent="0.2">
      <c r="AF152" s="561" t="e">
        <f ca="1">_xll.qlCalendarAdvance(Calendar,AF151,"1d","mf",,Trigger)</f>
        <v>#NAME?</v>
      </c>
      <c r="AG152" s="577" t="e">
        <f ca="1">_xll.qlDayCounterYearFraction(DayCounter,SettlementDate,AF152,,,Trigger)</f>
        <v>#NAME?</v>
      </c>
      <c r="AH152" s="574" t="e">
        <f t="shared" ca="1" si="12"/>
        <v>#NAME?</v>
      </c>
      <c r="AI152" s="574" t="e">
        <f t="shared" ca="1" si="13"/>
        <v>#NAME?</v>
      </c>
      <c r="AJ152" s="574" t="e">
        <f t="shared" ca="1" si="14"/>
        <v>#NAME?</v>
      </c>
    </row>
    <row r="153" spans="32:36" x14ac:dyDescent="0.2">
      <c r="AF153" s="561" t="e">
        <f ca="1">_xll.qlCalendarAdvance(Calendar,AF152,"1d","mf",,Trigger)</f>
        <v>#NAME?</v>
      </c>
      <c r="AG153" s="577" t="e">
        <f ca="1">_xll.qlDayCounterYearFraction(DayCounter,SettlementDate,AF153,,,Trigger)</f>
        <v>#NAME?</v>
      </c>
      <c r="AH153" s="574" t="e">
        <f t="shared" ca="1" si="12"/>
        <v>#NAME?</v>
      </c>
      <c r="AI153" s="574" t="e">
        <f t="shared" ca="1" si="13"/>
        <v>#NAME?</v>
      </c>
      <c r="AJ153" s="574" t="e">
        <f t="shared" ca="1" si="14"/>
        <v>#NAME?</v>
      </c>
    </row>
    <row r="154" spans="32:36" x14ac:dyDescent="0.2">
      <c r="AF154" s="561" t="e">
        <f ca="1">_xll.qlCalendarAdvance(Calendar,AF153,"1d","mf",,Trigger)</f>
        <v>#NAME?</v>
      </c>
      <c r="AG154" s="577" t="e">
        <f ca="1">_xll.qlDayCounterYearFraction(DayCounter,SettlementDate,AF154,,,Trigger)</f>
        <v>#NAME?</v>
      </c>
      <c r="AH154" s="574" t="e">
        <f t="shared" ca="1" si="12"/>
        <v>#NAME?</v>
      </c>
      <c r="AI154" s="574" t="e">
        <f t="shared" ca="1" si="13"/>
        <v>#NAME?</v>
      </c>
      <c r="AJ154" s="574" t="e">
        <f t="shared" ca="1" si="14"/>
        <v>#NAME?</v>
      </c>
    </row>
    <row r="155" spans="32:36" x14ac:dyDescent="0.2">
      <c r="AF155" s="561" t="e">
        <f ca="1">_xll.qlCalendarAdvance(Calendar,AF154,"1d","mf",,Trigger)</f>
        <v>#NAME?</v>
      </c>
      <c r="AG155" s="577" t="e">
        <f ca="1">_xll.qlDayCounterYearFraction(DayCounter,SettlementDate,AF155,,,Trigger)</f>
        <v>#NAME?</v>
      </c>
      <c r="AH155" s="574" t="e">
        <f t="shared" ca="1" si="12"/>
        <v>#NAME?</v>
      </c>
      <c r="AI155" s="574" t="e">
        <f t="shared" ca="1" si="13"/>
        <v>#NAME?</v>
      </c>
      <c r="AJ155" s="574" t="e">
        <f t="shared" ca="1" si="14"/>
        <v>#NAME?</v>
      </c>
    </row>
    <row r="156" spans="32:36" x14ac:dyDescent="0.2">
      <c r="AF156" s="561" t="e">
        <f ca="1">_xll.qlCalendarAdvance(Calendar,AF155,"1d","mf",,Trigger)</f>
        <v>#NAME?</v>
      </c>
      <c r="AG156" s="577" t="e">
        <f ca="1">_xll.qlDayCounterYearFraction(DayCounter,SettlementDate,AF156,,,Trigger)</f>
        <v>#NAME?</v>
      </c>
      <c r="AH156" s="574" t="e">
        <f t="shared" ca="1" si="12"/>
        <v>#NAME?</v>
      </c>
      <c r="AI156" s="574" t="e">
        <f t="shared" ca="1" si="13"/>
        <v>#NAME?</v>
      </c>
      <c r="AJ156" s="574" t="e">
        <f t="shared" ca="1" si="14"/>
        <v>#NAME?</v>
      </c>
    </row>
    <row r="157" spans="32:36" x14ac:dyDescent="0.2">
      <c r="AF157" s="561" t="e">
        <f ca="1">_xll.qlCalendarAdvance(Calendar,AF156,"1d","mf",,Trigger)</f>
        <v>#NAME?</v>
      </c>
      <c r="AG157" s="577" t="e">
        <f ca="1">_xll.qlDayCounterYearFraction(DayCounter,SettlementDate,AF157,,,Trigger)</f>
        <v>#NAME?</v>
      </c>
      <c r="AH157" s="574" t="e">
        <f t="shared" ca="1" si="12"/>
        <v>#NAME?</v>
      </c>
      <c r="AI157" s="574" t="e">
        <f t="shared" ca="1" si="13"/>
        <v>#NAME?</v>
      </c>
      <c r="AJ157" s="574" t="e">
        <f t="shared" ca="1" si="14"/>
        <v>#NAME?</v>
      </c>
    </row>
    <row r="158" spans="32:36" x14ac:dyDescent="0.2">
      <c r="AF158" s="561" t="e">
        <f ca="1">_xll.qlCalendarAdvance(Calendar,AF157,"1d","mf",,Trigger)</f>
        <v>#NAME?</v>
      </c>
      <c r="AG158" s="577" t="e">
        <f ca="1">_xll.qlDayCounterYearFraction(DayCounter,SettlementDate,AF158,,,Trigger)</f>
        <v>#NAME?</v>
      </c>
      <c r="AH158" s="574" t="e">
        <f t="shared" ca="1" si="12"/>
        <v>#NAME?</v>
      </c>
      <c r="AI158" s="574" t="e">
        <f t="shared" ca="1" si="13"/>
        <v>#NAME?</v>
      </c>
      <c r="AJ158" s="574" t="e">
        <f t="shared" ca="1" si="14"/>
        <v>#NAME?</v>
      </c>
    </row>
    <row r="159" spans="32:36" x14ac:dyDescent="0.2">
      <c r="AF159" s="561" t="e">
        <f ca="1">_xll.qlCalendarAdvance(Calendar,AF158,"1d","mf",,Trigger)</f>
        <v>#NAME?</v>
      </c>
      <c r="AG159" s="577" t="e">
        <f ca="1">_xll.qlDayCounterYearFraction(DayCounter,SettlementDate,AF159,,,Trigger)</f>
        <v>#NAME?</v>
      </c>
      <c r="AH159" s="574" t="e">
        <f t="shared" ca="1" si="12"/>
        <v>#NAME?</v>
      </c>
      <c r="AI159" s="574" t="e">
        <f t="shared" ca="1" si="13"/>
        <v>#NAME?</v>
      </c>
      <c r="AJ159" s="574" t="e">
        <f t="shared" ca="1" si="14"/>
        <v>#NAME?</v>
      </c>
    </row>
    <row r="160" spans="32:36" x14ac:dyDescent="0.2">
      <c r="AF160" s="561" t="e">
        <f ca="1">_xll.qlCalendarAdvance(Calendar,AF159,"1d","mf",,Trigger)</f>
        <v>#NAME?</v>
      </c>
      <c r="AG160" s="577" t="e">
        <f ca="1">_xll.qlDayCounterYearFraction(DayCounter,SettlementDate,AF160,,,Trigger)</f>
        <v>#NAME?</v>
      </c>
      <c r="AH160" s="574" t="e">
        <f t="shared" ca="1" si="12"/>
        <v>#NAME?</v>
      </c>
      <c r="AI160" s="574" t="e">
        <f t="shared" ca="1" si="13"/>
        <v>#NAME?</v>
      </c>
      <c r="AJ160" s="574" t="e">
        <f t="shared" ca="1" si="14"/>
        <v>#NAME?</v>
      </c>
    </row>
    <row r="161" spans="32:36" x14ac:dyDescent="0.2">
      <c r="AF161" s="561" t="e">
        <f ca="1">_xll.qlCalendarAdvance(Calendar,AF160,"1d","mf",,Trigger)</f>
        <v>#NAME?</v>
      </c>
      <c r="AG161" s="577" t="e">
        <f ca="1">_xll.qlDayCounterYearFraction(DayCounter,SettlementDate,AF161,,,Trigger)</f>
        <v>#NAME?</v>
      </c>
      <c r="AH161" s="574" t="e">
        <f t="shared" ca="1" si="12"/>
        <v>#NAME?</v>
      </c>
      <c r="AI161" s="574" t="e">
        <f t="shared" ca="1" si="13"/>
        <v>#NAME?</v>
      </c>
      <c r="AJ161" s="574" t="e">
        <f t="shared" ca="1" si="14"/>
        <v>#NAME?</v>
      </c>
    </row>
    <row r="162" spans="32:36" x14ac:dyDescent="0.2">
      <c r="AF162" s="561" t="e">
        <f ca="1">_xll.qlCalendarAdvance(Calendar,AF161,"1d","mf",,Trigger)</f>
        <v>#NAME?</v>
      </c>
      <c r="AG162" s="577" t="e">
        <f ca="1">_xll.qlDayCounterYearFraction(DayCounter,SettlementDate,AF162,,,Trigger)</f>
        <v>#NAME?</v>
      </c>
      <c r="AH162" s="574" t="e">
        <f t="shared" ca="1" si="12"/>
        <v>#NAME?</v>
      </c>
      <c r="AI162" s="574" t="e">
        <f t="shared" ca="1" si="13"/>
        <v>#NAME?</v>
      </c>
      <c r="AJ162" s="574" t="e">
        <f t="shared" ca="1" si="14"/>
        <v>#NAME?</v>
      </c>
    </row>
    <row r="163" spans="32:36" x14ac:dyDescent="0.2">
      <c r="AF163" s="561" t="e">
        <f ca="1">_xll.qlCalendarAdvance(Calendar,AF162,"1d","mf",,Trigger)</f>
        <v>#NAME?</v>
      </c>
      <c r="AG163" s="577" t="e">
        <f ca="1">_xll.qlDayCounterYearFraction(DayCounter,SettlementDate,AF163,,,Trigger)</f>
        <v>#NAME?</v>
      </c>
      <c r="AH163" s="574" t="e">
        <f t="shared" ca="1" si="12"/>
        <v>#NAME?</v>
      </c>
      <c r="AI163" s="574" t="e">
        <f t="shared" ca="1" si="13"/>
        <v>#NAME?</v>
      </c>
      <c r="AJ163" s="574" t="e">
        <f t="shared" ca="1" si="14"/>
        <v>#NAME?</v>
      </c>
    </row>
    <row r="164" spans="32:36" x14ac:dyDescent="0.2">
      <c r="AF164" s="561" t="e">
        <f ca="1">_xll.qlCalendarAdvance(Calendar,AF163,"1d","mf",,Trigger)</f>
        <v>#NAME?</v>
      </c>
      <c r="AG164" s="577" t="e">
        <f ca="1">_xll.qlDayCounterYearFraction(DayCounter,SettlementDate,AF164,,,Trigger)</f>
        <v>#NAME?</v>
      </c>
      <c r="AH164" s="574" t="e">
        <f t="shared" ca="1" si="12"/>
        <v>#NAME?</v>
      </c>
      <c r="AI164" s="574" t="e">
        <f t="shared" ca="1" si="13"/>
        <v>#NAME?</v>
      </c>
      <c r="AJ164" s="574" t="e">
        <f t="shared" ca="1" si="14"/>
        <v>#NAME?</v>
      </c>
    </row>
    <row r="165" spans="32:36" x14ac:dyDescent="0.2">
      <c r="AF165" s="561" t="e">
        <f ca="1">_xll.qlCalendarAdvance(Calendar,AF164,"1d","mf",,Trigger)</f>
        <v>#NAME?</v>
      </c>
      <c r="AG165" s="577" t="e">
        <f ca="1">_xll.qlDayCounterYearFraction(DayCounter,SettlementDate,AF165,,,Trigger)</f>
        <v>#NAME?</v>
      </c>
      <c r="AH165" s="574" t="e">
        <f t="shared" ca="1" si="12"/>
        <v>#NAME?</v>
      </c>
      <c r="AI165" s="574" t="e">
        <f t="shared" ca="1" si="13"/>
        <v>#NAME?</v>
      </c>
      <c r="AJ165" s="574" t="e">
        <f t="shared" ca="1" si="14"/>
        <v>#NAME?</v>
      </c>
    </row>
    <row r="166" spans="32:36" x14ac:dyDescent="0.2">
      <c r="AF166" s="561" t="e">
        <f ca="1">_xll.qlCalendarAdvance(Calendar,AF165,"1d","mf",,Trigger)</f>
        <v>#NAME?</v>
      </c>
      <c r="AG166" s="577" t="e">
        <f ca="1">_xll.qlDayCounterYearFraction(DayCounter,SettlementDate,AF166,,,Trigger)</f>
        <v>#NAME?</v>
      </c>
      <c r="AH166" s="574" t="e">
        <f t="shared" ca="1" si="12"/>
        <v>#NAME?</v>
      </c>
      <c r="AI166" s="574" t="e">
        <f t="shared" ca="1" si="13"/>
        <v>#NAME?</v>
      </c>
      <c r="AJ166" s="574" t="e">
        <f t="shared" ca="1" si="14"/>
        <v>#NAME?</v>
      </c>
    </row>
    <row r="167" spans="32:36" x14ac:dyDescent="0.2">
      <c r="AF167" s="561" t="e">
        <f ca="1">_xll.qlCalendarAdvance(Calendar,AF166,"1d","mf",,Trigger)</f>
        <v>#NAME?</v>
      </c>
      <c r="AG167" s="577" t="e">
        <f ca="1">_xll.qlDayCounterYearFraction(DayCounter,SettlementDate,AF167,,,Trigger)</f>
        <v>#NAME?</v>
      </c>
      <c r="AH167" s="574" t="e">
        <f t="shared" ca="1" si="12"/>
        <v>#NAME?</v>
      </c>
      <c r="AI167" s="574" t="e">
        <f t="shared" ca="1" si="13"/>
        <v>#NAME?</v>
      </c>
      <c r="AJ167" s="574" t="e">
        <f t="shared" ca="1" si="14"/>
        <v>#NAME?</v>
      </c>
    </row>
    <row r="168" spans="32:36" x14ac:dyDescent="0.2">
      <c r="AF168" s="561" t="e">
        <f ca="1">_xll.qlCalendarAdvance(Calendar,AF167,"1d","mf",,Trigger)</f>
        <v>#NAME?</v>
      </c>
      <c r="AG168" s="577" t="e">
        <f ca="1">_xll.qlDayCounterYearFraction(DayCounter,SettlementDate,AF168,,,Trigger)</f>
        <v>#NAME?</v>
      </c>
      <c r="AH168" s="574" t="e">
        <f t="shared" ca="1" si="12"/>
        <v>#NAME?</v>
      </c>
      <c r="AI168" s="574" t="e">
        <f t="shared" ca="1" si="13"/>
        <v>#NAME?</v>
      </c>
      <c r="AJ168" s="574" t="e">
        <f t="shared" ca="1" si="14"/>
        <v>#NAME?</v>
      </c>
    </row>
    <row r="169" spans="32:36" x14ac:dyDescent="0.2">
      <c r="AF169" s="561" t="e">
        <f ca="1">_xll.qlCalendarAdvance(Calendar,AF168,"1d","mf",,Trigger)</f>
        <v>#NAME?</v>
      </c>
      <c r="AG169" s="577" t="e">
        <f ca="1">_xll.qlDayCounterYearFraction(DayCounter,SettlementDate,AF169,,,Trigger)</f>
        <v>#NAME?</v>
      </c>
      <c r="AH169" s="574" t="e">
        <f t="shared" ca="1" si="12"/>
        <v>#NAME?</v>
      </c>
      <c r="AI169" s="574" t="e">
        <f t="shared" ca="1" si="13"/>
        <v>#NAME?</v>
      </c>
      <c r="AJ169" s="574" t="e">
        <f t="shared" ca="1" si="14"/>
        <v>#NAME?</v>
      </c>
    </row>
    <row r="170" spans="32:36" x14ac:dyDescent="0.2">
      <c r="AF170" s="561" t="e">
        <f ca="1">_xll.qlCalendarAdvance(Calendar,AF169,"1d","mf",,Trigger)</f>
        <v>#NAME?</v>
      </c>
      <c r="AG170" s="577" t="e">
        <f ca="1">_xll.qlDayCounterYearFraction(DayCounter,SettlementDate,AF170,,,Trigger)</f>
        <v>#NAME?</v>
      </c>
      <c r="AH170" s="574" t="e">
        <f t="shared" ca="1" si="12"/>
        <v>#NAME?</v>
      </c>
      <c r="AI170" s="574" t="e">
        <f t="shared" ca="1" si="13"/>
        <v>#NAME?</v>
      </c>
      <c r="AJ170" s="574" t="e">
        <f t="shared" ca="1" si="14"/>
        <v>#NAME?</v>
      </c>
    </row>
    <row r="171" spans="32:36" x14ac:dyDescent="0.2">
      <c r="AF171" s="561" t="e">
        <f ca="1">_xll.qlCalendarAdvance(Calendar,AF170,"1d","mf",,Trigger)</f>
        <v>#NAME?</v>
      </c>
      <c r="AG171" s="577" t="e">
        <f ca="1">_xll.qlDayCounterYearFraction(DayCounter,SettlementDate,AF171,,,Trigger)</f>
        <v>#NAME?</v>
      </c>
      <c r="AH171" s="574" t="e">
        <f t="shared" ca="1" si="12"/>
        <v>#NAME?</v>
      </c>
      <c r="AI171" s="574" t="e">
        <f t="shared" ca="1" si="13"/>
        <v>#NAME?</v>
      </c>
      <c r="AJ171" s="574" t="e">
        <f t="shared" ca="1" si="14"/>
        <v>#NAME?</v>
      </c>
    </row>
    <row r="172" spans="32:36" x14ac:dyDescent="0.2">
      <c r="AF172" s="561" t="e">
        <f ca="1">_xll.qlCalendarAdvance(Calendar,AF171,"1d","mf",,Trigger)</f>
        <v>#NAME?</v>
      </c>
      <c r="AG172" s="577" t="e">
        <f ca="1">_xll.qlDayCounterYearFraction(DayCounter,SettlementDate,AF172,,,Trigger)</f>
        <v>#NAME?</v>
      </c>
      <c r="AH172" s="574" t="e">
        <f t="shared" ca="1" si="12"/>
        <v>#NAME?</v>
      </c>
      <c r="AI172" s="574" t="e">
        <f t="shared" ca="1" si="13"/>
        <v>#NAME?</v>
      </c>
      <c r="AJ172" s="574" t="e">
        <f t="shared" ca="1" si="14"/>
        <v>#NAME?</v>
      </c>
    </row>
    <row r="173" spans="32:36" x14ac:dyDescent="0.2">
      <c r="AF173" s="561" t="e">
        <f ca="1">_xll.qlCalendarAdvance(Calendar,AF172,"1d","mf",,Trigger)</f>
        <v>#NAME?</v>
      </c>
      <c r="AG173" s="577" t="e">
        <f ca="1">_xll.qlDayCounterYearFraction(DayCounter,SettlementDate,AF173,,,Trigger)</f>
        <v>#NAME?</v>
      </c>
      <c r="AH173" s="574" t="e">
        <f t="shared" ca="1" si="12"/>
        <v>#NAME?</v>
      </c>
      <c r="AI173" s="574" t="e">
        <f t="shared" ca="1" si="13"/>
        <v>#NAME?</v>
      </c>
      <c r="AJ173" s="574" t="e">
        <f t="shared" ca="1" si="14"/>
        <v>#NAME?</v>
      </c>
    </row>
    <row r="174" spans="32:36" x14ac:dyDescent="0.2">
      <c r="AF174" s="561" t="e">
        <f ca="1">_xll.qlCalendarAdvance(Calendar,AF173,"1d","mf",,Trigger)</f>
        <v>#NAME?</v>
      </c>
      <c r="AG174" s="577" t="e">
        <f ca="1">_xll.qlDayCounterYearFraction(DayCounter,SettlementDate,AF174,,,Trigger)</f>
        <v>#NAME?</v>
      </c>
      <c r="AH174" s="574" t="e">
        <f t="shared" ca="1" si="12"/>
        <v>#NAME?</v>
      </c>
      <c r="AI174" s="574" t="e">
        <f t="shared" ca="1" si="13"/>
        <v>#NAME?</v>
      </c>
      <c r="AJ174" s="574" t="e">
        <f t="shared" ca="1" si="14"/>
        <v>#NAME?</v>
      </c>
    </row>
    <row r="175" spans="32:36" x14ac:dyDescent="0.2">
      <c r="AF175" s="561" t="e">
        <f ca="1">_xll.qlCalendarAdvance(Calendar,AF174,"1d","mf",,Trigger)</f>
        <v>#NAME?</v>
      </c>
      <c r="AG175" s="577" t="e">
        <f ca="1">_xll.qlDayCounterYearFraction(DayCounter,SettlementDate,AF175,,,Trigger)</f>
        <v>#NAME?</v>
      </c>
      <c r="AH175" s="574" t="e">
        <f t="shared" ca="1" si="12"/>
        <v>#NAME?</v>
      </c>
      <c r="AI175" s="574" t="e">
        <f t="shared" ca="1" si="13"/>
        <v>#NAME?</v>
      </c>
      <c r="AJ175" s="574" t="e">
        <f t="shared" ca="1" si="14"/>
        <v>#NAME?</v>
      </c>
    </row>
    <row r="176" spans="32:36" x14ac:dyDescent="0.2">
      <c r="AF176" s="561" t="e">
        <f ca="1">_xll.qlCalendarAdvance(Calendar,AF175,"1d","mf",,Trigger)</f>
        <v>#NAME?</v>
      </c>
      <c r="AG176" s="577" t="e">
        <f ca="1">_xll.qlDayCounterYearFraction(DayCounter,SettlementDate,AF176,,,Trigger)</f>
        <v>#NAME?</v>
      </c>
      <c r="AH176" s="574" t="e">
        <f t="shared" ca="1" si="12"/>
        <v>#NAME?</v>
      </c>
      <c r="AI176" s="574" t="e">
        <f t="shared" ca="1" si="13"/>
        <v>#NAME?</v>
      </c>
      <c r="AJ176" s="574" t="e">
        <f t="shared" ca="1" si="14"/>
        <v>#NAME?</v>
      </c>
    </row>
    <row r="177" spans="32:36" x14ac:dyDescent="0.2">
      <c r="AF177" s="561" t="e">
        <f ca="1">_xll.qlCalendarAdvance(Calendar,AF176,"1d","mf",,Trigger)</f>
        <v>#NAME?</v>
      </c>
      <c r="AG177" s="577" t="e">
        <f ca="1">_xll.qlDayCounterYearFraction(DayCounter,SettlementDate,AF177,,,Trigger)</f>
        <v>#NAME?</v>
      </c>
      <c r="AH177" s="574" t="e">
        <f t="shared" ca="1" si="12"/>
        <v>#NAME?</v>
      </c>
      <c r="AI177" s="574" t="e">
        <f t="shared" ca="1" si="13"/>
        <v>#NAME?</v>
      </c>
      <c r="AJ177" s="574" t="e">
        <f t="shared" ca="1" si="14"/>
        <v>#NAME?</v>
      </c>
    </row>
    <row r="178" spans="32:36" x14ac:dyDescent="0.2">
      <c r="AF178" s="561" t="e">
        <f ca="1">_xll.qlCalendarAdvance(Calendar,AF177,"1d","mf",,Trigger)</f>
        <v>#NAME?</v>
      </c>
      <c r="AG178" s="577" t="e">
        <f ca="1">_xll.qlDayCounterYearFraction(DayCounter,SettlementDate,AF178,,,Trigger)</f>
        <v>#NAME?</v>
      </c>
      <c r="AH178" s="574" t="e">
        <f t="shared" ca="1" si="12"/>
        <v>#NAME?</v>
      </c>
      <c r="AI178" s="574" t="e">
        <f t="shared" ca="1" si="13"/>
        <v>#NAME?</v>
      </c>
      <c r="AJ178" s="574" t="e">
        <f t="shared" ca="1" si="14"/>
        <v>#NAME?</v>
      </c>
    </row>
    <row r="179" spans="32:36" x14ac:dyDescent="0.2">
      <c r="AF179" s="561" t="e">
        <f ca="1">_xll.qlCalendarAdvance(Calendar,AF178,"1d","mf",,Trigger)</f>
        <v>#NAME?</v>
      </c>
      <c r="AG179" s="577" t="e">
        <f ca="1">_xll.qlDayCounterYearFraction(DayCounter,SettlementDate,AF179,,,Trigger)</f>
        <v>#NAME?</v>
      </c>
      <c r="AH179" s="574" t="e">
        <f t="shared" ca="1" si="12"/>
        <v>#NAME?</v>
      </c>
      <c r="AI179" s="574" t="e">
        <f t="shared" ca="1" si="13"/>
        <v>#NAME?</v>
      </c>
      <c r="AJ179" s="574" t="e">
        <f t="shared" ca="1" si="14"/>
        <v>#NAME?</v>
      </c>
    </row>
    <row r="180" spans="32:36" x14ac:dyDescent="0.2">
      <c r="AF180" s="561" t="e">
        <f ca="1">_xll.qlCalendarAdvance(Calendar,AF179,"1d","mf",,Trigger)</f>
        <v>#NAME?</v>
      </c>
      <c r="AG180" s="577" t="e">
        <f ca="1">_xll.qlDayCounterYearFraction(DayCounter,SettlementDate,AF180,,,Trigger)</f>
        <v>#NAME?</v>
      </c>
      <c r="AH180" s="574" t="e">
        <f t="shared" ca="1" si="12"/>
        <v>#NAME?</v>
      </c>
      <c r="AI180" s="574" t="e">
        <f t="shared" ca="1" si="13"/>
        <v>#NAME?</v>
      </c>
      <c r="AJ180" s="574" t="e">
        <f t="shared" ca="1" si="14"/>
        <v>#NAME?</v>
      </c>
    </row>
    <row r="181" spans="32:36" x14ac:dyDescent="0.2">
      <c r="AF181" s="561" t="e">
        <f ca="1">_xll.qlCalendarAdvance(Calendar,AF180,"1d","mf",,Trigger)</f>
        <v>#NAME?</v>
      </c>
      <c r="AG181" s="577" t="e">
        <f ca="1">_xll.qlDayCounterYearFraction(DayCounter,SettlementDate,AF181,,,Trigger)</f>
        <v>#NAME?</v>
      </c>
      <c r="AH181" s="574" t="e">
        <f t="shared" ca="1" si="12"/>
        <v>#NAME?</v>
      </c>
      <c r="AI181" s="574" t="e">
        <f t="shared" ca="1" si="13"/>
        <v>#NAME?</v>
      </c>
      <c r="AJ181" s="574" t="e">
        <f t="shared" ca="1" si="14"/>
        <v>#NAME?</v>
      </c>
    </row>
    <row r="182" spans="32:36" x14ac:dyDescent="0.2">
      <c r="AF182" s="561" t="e">
        <f ca="1">_xll.qlCalendarAdvance(Calendar,AF181,"1d","mf",,Trigger)</f>
        <v>#NAME?</v>
      </c>
      <c r="AG182" s="577" t="e">
        <f ca="1">_xll.qlDayCounterYearFraction(DayCounter,SettlementDate,AF182,,,Trigger)</f>
        <v>#NAME?</v>
      </c>
      <c r="AH182" s="574" t="e">
        <f t="shared" ca="1" si="12"/>
        <v>#NAME?</v>
      </c>
      <c r="AI182" s="574" t="e">
        <f t="shared" ca="1" si="13"/>
        <v>#NAME?</v>
      </c>
      <c r="AJ182" s="574" t="e">
        <f t="shared" ca="1" si="14"/>
        <v>#NAME?</v>
      </c>
    </row>
    <row r="183" spans="32:36" x14ac:dyDescent="0.2">
      <c r="AF183" s="561" t="e">
        <f ca="1">_xll.qlCalendarAdvance(Calendar,AF182,"1d","mf",,Trigger)</f>
        <v>#NAME?</v>
      </c>
      <c r="AG183" s="577" t="e">
        <f ca="1">_xll.qlDayCounterYearFraction(DayCounter,SettlementDate,AF183,,,Trigger)</f>
        <v>#NAME?</v>
      </c>
      <c r="AH183" s="574" t="e">
        <f t="shared" ca="1" si="12"/>
        <v>#NAME?</v>
      </c>
      <c r="AI183" s="574" t="e">
        <f t="shared" ca="1" si="13"/>
        <v>#NAME?</v>
      </c>
      <c r="AJ183" s="574" t="e">
        <f t="shared" ca="1" si="14"/>
        <v>#NAME?</v>
      </c>
    </row>
    <row r="184" spans="32:36" x14ac:dyDescent="0.2">
      <c r="AF184" s="561" t="e">
        <f ca="1">_xll.qlCalendarAdvance(Calendar,AF183,"1d","mf",,Trigger)</f>
        <v>#NAME?</v>
      </c>
      <c r="AG184" s="577" t="e">
        <f ca="1">_xll.qlDayCounterYearFraction(DayCounter,SettlementDate,AF184,,,Trigger)</f>
        <v>#NAME?</v>
      </c>
      <c r="AH184" s="574" t="e">
        <f t="shared" ca="1" si="12"/>
        <v>#NAME?</v>
      </c>
      <c r="AI184" s="574" t="e">
        <f t="shared" ca="1" si="13"/>
        <v>#NAME?</v>
      </c>
      <c r="AJ184" s="574" t="e">
        <f t="shared" ca="1" si="14"/>
        <v>#NAME?</v>
      </c>
    </row>
    <row r="185" spans="32:36" x14ac:dyDescent="0.2">
      <c r="AF185" s="561" t="e">
        <f ca="1">_xll.qlCalendarAdvance(Calendar,AF184,"1d","mf",,Trigger)</f>
        <v>#NAME?</v>
      </c>
      <c r="AG185" s="577" t="e">
        <f ca="1">_xll.qlDayCounterYearFraction(DayCounter,SettlementDate,AF185,,,Trigger)</f>
        <v>#NAME?</v>
      </c>
      <c r="AH185" s="574" t="e">
        <f t="shared" ca="1" si="12"/>
        <v>#NAME?</v>
      </c>
      <c r="AI185" s="574" t="e">
        <f t="shared" ca="1" si="13"/>
        <v>#NAME?</v>
      </c>
      <c r="AJ185" s="574" t="e">
        <f t="shared" ca="1" si="14"/>
        <v>#NAME?</v>
      </c>
    </row>
    <row r="186" spans="32:36" x14ac:dyDescent="0.2">
      <c r="AF186" s="561" t="e">
        <f ca="1">_xll.qlCalendarAdvance(Calendar,AF185,"1d","mf",,Trigger)</f>
        <v>#NAME?</v>
      </c>
      <c r="AG186" s="577" t="e">
        <f ca="1">_xll.qlDayCounterYearFraction(DayCounter,SettlementDate,AF186,,,Trigger)</f>
        <v>#NAME?</v>
      </c>
      <c r="AH186" s="574" t="e">
        <f t="shared" ca="1" si="12"/>
        <v>#NAME?</v>
      </c>
      <c r="AI186" s="574" t="e">
        <f t="shared" ca="1" si="13"/>
        <v>#NAME?</v>
      </c>
      <c r="AJ186" s="574" t="e">
        <f t="shared" ca="1" si="14"/>
        <v>#NAME?</v>
      </c>
    </row>
    <row r="187" spans="32:36" x14ac:dyDescent="0.2">
      <c r="AF187" s="561" t="e">
        <f ca="1">_xll.qlCalendarAdvance(Calendar,AF186,"1d","mf",,Trigger)</f>
        <v>#NAME?</v>
      </c>
      <c r="AG187" s="577" t="e">
        <f ca="1">_xll.qlDayCounterYearFraction(DayCounter,SettlementDate,AF187,,,Trigger)</f>
        <v>#NAME?</v>
      </c>
      <c r="AH187" s="574" t="e">
        <f t="shared" ca="1" si="12"/>
        <v>#NAME?</v>
      </c>
      <c r="AI187" s="574" t="e">
        <f t="shared" ca="1" si="13"/>
        <v>#NAME?</v>
      </c>
      <c r="AJ187" s="574" t="e">
        <f t="shared" ca="1" si="14"/>
        <v>#NAME?</v>
      </c>
    </row>
    <row r="188" spans="32:36" x14ac:dyDescent="0.2">
      <c r="AF188" s="561" t="e">
        <f ca="1">_xll.qlCalendarAdvance(Calendar,AF187,"1d","mf",,Trigger)</f>
        <v>#NAME?</v>
      </c>
      <c r="AG188" s="577" t="e">
        <f ca="1">_xll.qlDayCounterYearFraction(DayCounter,SettlementDate,AF188,,,Trigger)</f>
        <v>#NAME?</v>
      </c>
      <c r="AH188" s="574" t="e">
        <f t="shared" ca="1" si="12"/>
        <v>#NAME?</v>
      </c>
      <c r="AI188" s="574" t="e">
        <f t="shared" ca="1" si="13"/>
        <v>#NAME?</v>
      </c>
      <c r="AJ188" s="574" t="e">
        <f t="shared" ca="1" si="14"/>
        <v>#NAME?</v>
      </c>
    </row>
    <row r="189" spans="32:36" x14ac:dyDescent="0.2">
      <c r="AF189" s="561" t="e">
        <f ca="1">_xll.qlCalendarAdvance(Calendar,AF188,"1d","mf",,Trigger)</f>
        <v>#NAME?</v>
      </c>
      <c r="AG189" s="577" t="e">
        <f ca="1">_xll.qlDayCounterYearFraction(DayCounter,SettlementDate,AF189,,,Trigger)</f>
        <v>#NAME?</v>
      </c>
      <c r="AH189" s="574" t="e">
        <f t="shared" ca="1" si="12"/>
        <v>#NAME?</v>
      </c>
      <c r="AI189" s="574" t="e">
        <f t="shared" ca="1" si="13"/>
        <v>#NAME?</v>
      </c>
      <c r="AJ189" s="574" t="e">
        <f t="shared" ca="1" si="14"/>
        <v>#NAME?</v>
      </c>
    </row>
    <row r="190" spans="32:36" x14ac:dyDescent="0.2">
      <c r="AF190" s="561" t="e">
        <f ca="1">_xll.qlCalendarAdvance(Calendar,AF189,"1d","mf",,Trigger)</f>
        <v>#NAME?</v>
      </c>
      <c r="AG190" s="577" t="e">
        <f ca="1">_xll.qlDayCounterYearFraction(DayCounter,SettlementDate,AF190,,,Trigger)</f>
        <v>#NAME?</v>
      </c>
      <c r="AH190" s="574" t="e">
        <f t="shared" ca="1" si="12"/>
        <v>#NAME?</v>
      </c>
      <c r="AI190" s="574" t="e">
        <f t="shared" ca="1" si="13"/>
        <v>#NAME?</v>
      </c>
      <c r="AJ190" s="574" t="e">
        <f t="shared" ca="1" si="14"/>
        <v>#NAME?</v>
      </c>
    </row>
    <row r="191" spans="32:36" x14ac:dyDescent="0.2">
      <c r="AF191" s="561" t="e">
        <f ca="1">_xll.qlCalendarAdvance(Calendar,AF190,"1d","mf",,Trigger)</f>
        <v>#NAME?</v>
      </c>
      <c r="AG191" s="577" t="e">
        <f ca="1">_xll.qlDayCounterYearFraction(DayCounter,SettlementDate,AF191,,,Trigger)</f>
        <v>#NAME?</v>
      </c>
      <c r="AH191" s="574" t="e">
        <f t="shared" ca="1" si="12"/>
        <v>#NAME?</v>
      </c>
      <c r="AI191" s="574" t="e">
        <f t="shared" ca="1" si="13"/>
        <v>#NAME?</v>
      </c>
      <c r="AJ191" s="574" t="e">
        <f t="shared" ca="1" si="14"/>
        <v>#NAME?</v>
      </c>
    </row>
    <row r="192" spans="32:36" x14ac:dyDescent="0.2">
      <c r="AF192" s="561" t="e">
        <f ca="1">_xll.qlCalendarAdvance(Calendar,AF191,"1d","mf",,Trigger)</f>
        <v>#NAME?</v>
      </c>
      <c r="AG192" s="577" t="e">
        <f ca="1">_xll.qlDayCounterYearFraction(DayCounter,SettlementDate,AF192,,,Trigger)</f>
        <v>#NAME?</v>
      </c>
      <c r="AH192" s="574" t="e">
        <f t="shared" ca="1" si="12"/>
        <v>#NAME?</v>
      </c>
      <c r="AI192" s="574" t="e">
        <f t="shared" ca="1" si="13"/>
        <v>#NAME?</v>
      </c>
      <c r="AJ192" s="574" t="e">
        <f t="shared" ca="1" si="14"/>
        <v>#NAME?</v>
      </c>
    </row>
    <row r="193" spans="32:36" x14ac:dyDescent="0.2">
      <c r="AF193" s="561" t="e">
        <f ca="1">_xll.qlCalendarAdvance(Calendar,AF192,"1d","mf",,Trigger)</f>
        <v>#NAME?</v>
      </c>
      <c r="AG193" s="577" t="e">
        <f ca="1">_xll.qlDayCounterYearFraction(DayCounter,SettlementDate,AF193,,,Trigger)</f>
        <v>#NAME?</v>
      </c>
      <c r="AH193" s="574" t="e">
        <f t="shared" ca="1" si="12"/>
        <v>#NAME?</v>
      </c>
      <c r="AI193" s="574" t="e">
        <f t="shared" ca="1" si="13"/>
        <v>#NAME?</v>
      </c>
      <c r="AJ193" s="574" t="e">
        <f t="shared" ca="1" si="14"/>
        <v>#NAME?</v>
      </c>
    </row>
    <row r="194" spans="32:36" x14ac:dyDescent="0.2">
      <c r="AF194" s="561" t="e">
        <f ca="1">_xll.qlCalendarAdvance(Calendar,AF193,"1d","mf",,Trigger)</f>
        <v>#NAME?</v>
      </c>
      <c r="AG194" s="577" t="e">
        <f ca="1">_xll.qlDayCounterYearFraction(DayCounter,SettlementDate,AF194,,,Trigger)</f>
        <v>#NAME?</v>
      </c>
      <c r="AH194" s="574" t="e">
        <f t="shared" ca="1" si="12"/>
        <v>#NAME?</v>
      </c>
      <c r="AI194" s="574" t="e">
        <f t="shared" ca="1" si="13"/>
        <v>#NAME?</v>
      </c>
      <c r="AJ194" s="574" t="e">
        <f t="shared" ca="1" si="14"/>
        <v>#NAME?</v>
      </c>
    </row>
    <row r="195" spans="32:36" x14ac:dyDescent="0.2">
      <c r="AF195" s="561" t="e">
        <f ca="1">_xll.qlCalendarAdvance(Calendar,AF194,"1d","mf",,Trigger)</f>
        <v>#NAME?</v>
      </c>
      <c r="AG195" s="577" t="e">
        <f ca="1">_xll.qlDayCounterYearFraction(DayCounter,SettlementDate,AF195,,,Trigger)</f>
        <v>#NAME?</v>
      </c>
      <c r="AH195" s="574" t="e">
        <f t="shared" ref="AH195:AH259" ca="1" si="15">$W$13</f>
        <v>#NAME?</v>
      </c>
      <c r="AI195" s="574" t="e">
        <f t="shared" ref="AI195:AI259" ca="1" si="16">$W$10+$W$9*AG195</f>
        <v>#NAME?</v>
      </c>
      <c r="AJ195" s="574" t="e">
        <f t="shared" ref="AJ195:AJ259" ca="1" si="17">($W$5+$W$4*AG195+$W$3*AG195^2)</f>
        <v>#NAME?</v>
      </c>
    </row>
    <row r="196" spans="32:36" x14ac:dyDescent="0.2">
      <c r="AF196" s="561" t="e">
        <f ca="1">_xll.qlCalendarAdvance(Calendar,AF195,"1d","mf",,Trigger)</f>
        <v>#NAME?</v>
      </c>
      <c r="AG196" s="577" t="e">
        <f ca="1">_xll.qlDayCounterYearFraction(DayCounter,SettlementDate,AF196,,,Trigger)</f>
        <v>#NAME?</v>
      </c>
      <c r="AH196" s="574" t="e">
        <f t="shared" ca="1" si="15"/>
        <v>#NAME?</v>
      </c>
      <c r="AI196" s="574" t="e">
        <f t="shared" ca="1" si="16"/>
        <v>#NAME?</v>
      </c>
      <c r="AJ196" s="574" t="e">
        <f t="shared" ca="1" si="17"/>
        <v>#NAME?</v>
      </c>
    </row>
    <row r="197" spans="32:36" x14ac:dyDescent="0.2">
      <c r="AF197" s="561" t="e">
        <f ca="1">_xll.qlCalendarAdvance(Calendar,AF196,"1d","mf",,Trigger)</f>
        <v>#NAME?</v>
      </c>
      <c r="AG197" s="577" t="e">
        <f ca="1">_xll.qlDayCounterYearFraction(DayCounter,SettlementDate,AF197,,,Trigger)</f>
        <v>#NAME?</v>
      </c>
      <c r="AH197" s="574" t="e">
        <f t="shared" ca="1" si="15"/>
        <v>#NAME?</v>
      </c>
      <c r="AI197" s="574" t="e">
        <f t="shared" ca="1" si="16"/>
        <v>#NAME?</v>
      </c>
      <c r="AJ197" s="574" t="e">
        <f t="shared" ca="1" si="17"/>
        <v>#NAME?</v>
      </c>
    </row>
    <row r="198" spans="32:36" x14ac:dyDescent="0.2">
      <c r="AF198" s="561" t="e">
        <f ca="1">_xll.qlCalendarAdvance(Calendar,AF197,"1d","mf",,Trigger)</f>
        <v>#NAME?</v>
      </c>
      <c r="AG198" s="577" t="e">
        <f ca="1">_xll.qlDayCounterYearFraction(DayCounter,SettlementDate,AF198,,,Trigger)</f>
        <v>#NAME?</v>
      </c>
      <c r="AH198" s="574" t="e">
        <f t="shared" ca="1" si="15"/>
        <v>#NAME?</v>
      </c>
      <c r="AI198" s="574" t="e">
        <f t="shared" ca="1" si="16"/>
        <v>#NAME?</v>
      </c>
      <c r="AJ198" s="574" t="e">
        <f t="shared" ca="1" si="17"/>
        <v>#NAME?</v>
      </c>
    </row>
    <row r="199" spans="32:36" x14ac:dyDescent="0.2">
      <c r="AF199" s="561" t="e">
        <f ca="1">_xll.qlCalendarAdvance(Calendar,AF198,"1d","mf",,Trigger)</f>
        <v>#NAME?</v>
      </c>
      <c r="AG199" s="577" t="e">
        <f ca="1">_xll.qlDayCounterYearFraction(DayCounter,SettlementDate,AF199,,,Trigger)</f>
        <v>#NAME?</v>
      </c>
      <c r="AH199" s="574" t="e">
        <f t="shared" ca="1" si="15"/>
        <v>#NAME?</v>
      </c>
      <c r="AI199" s="574" t="e">
        <f t="shared" ca="1" si="16"/>
        <v>#NAME?</v>
      </c>
      <c r="AJ199" s="574" t="e">
        <f t="shared" ca="1" si="17"/>
        <v>#NAME?</v>
      </c>
    </row>
    <row r="200" spans="32:36" x14ac:dyDescent="0.2">
      <c r="AF200" s="561" t="e">
        <f ca="1">_xll.qlCalendarAdvance(Calendar,AF199,"1d","mf",,Trigger)</f>
        <v>#NAME?</v>
      </c>
      <c r="AG200" s="577" t="e">
        <f ca="1">_xll.qlDayCounterYearFraction(DayCounter,SettlementDate,AF200,,,Trigger)</f>
        <v>#NAME?</v>
      </c>
      <c r="AH200" s="574" t="e">
        <f t="shared" ca="1" si="15"/>
        <v>#NAME?</v>
      </c>
      <c r="AI200" s="574" t="e">
        <f t="shared" ca="1" si="16"/>
        <v>#NAME?</v>
      </c>
      <c r="AJ200" s="574" t="e">
        <f t="shared" ca="1" si="17"/>
        <v>#NAME?</v>
      </c>
    </row>
    <row r="201" spans="32:36" x14ac:dyDescent="0.2">
      <c r="AF201" s="561" t="e">
        <f ca="1">_xll.qlCalendarAdvance(Calendar,AF200,"1d","mf",,Trigger)</f>
        <v>#NAME?</v>
      </c>
      <c r="AG201" s="577" t="e">
        <f ca="1">_xll.qlDayCounterYearFraction(DayCounter,SettlementDate,AF201,,,Trigger)</f>
        <v>#NAME?</v>
      </c>
      <c r="AH201" s="574" t="e">
        <f t="shared" ca="1" si="15"/>
        <v>#NAME?</v>
      </c>
      <c r="AI201" s="574" t="e">
        <f t="shared" ca="1" si="16"/>
        <v>#NAME?</v>
      </c>
      <c r="AJ201" s="574" t="e">
        <f t="shared" ca="1" si="17"/>
        <v>#NAME?</v>
      </c>
    </row>
    <row r="202" spans="32:36" x14ac:dyDescent="0.2">
      <c r="AF202" s="561" t="e">
        <f ca="1">_xll.qlCalendarAdvance(Calendar,AF201,"1d","mf",,Trigger)</f>
        <v>#NAME?</v>
      </c>
      <c r="AG202" s="577" t="e">
        <f ca="1">_xll.qlDayCounterYearFraction(DayCounter,SettlementDate,AF202,,,Trigger)</f>
        <v>#NAME?</v>
      </c>
      <c r="AH202" s="574" t="e">
        <f t="shared" ca="1" si="15"/>
        <v>#NAME?</v>
      </c>
      <c r="AI202" s="574" t="e">
        <f t="shared" ca="1" si="16"/>
        <v>#NAME?</v>
      </c>
      <c r="AJ202" s="574" t="e">
        <f t="shared" ca="1" si="17"/>
        <v>#NAME?</v>
      </c>
    </row>
    <row r="203" spans="32:36" x14ac:dyDescent="0.2">
      <c r="AF203" s="561" t="e">
        <f ca="1">_xll.qlCalendarAdvance(Calendar,AF202,"1d","mf",,Trigger)</f>
        <v>#NAME?</v>
      </c>
      <c r="AG203" s="577" t="e">
        <f ca="1">_xll.qlDayCounterYearFraction(DayCounter,SettlementDate,AF203,,,Trigger)</f>
        <v>#NAME?</v>
      </c>
      <c r="AH203" s="574" t="e">
        <f t="shared" ca="1" si="15"/>
        <v>#NAME?</v>
      </c>
      <c r="AI203" s="574" t="e">
        <f t="shared" ca="1" si="16"/>
        <v>#NAME?</v>
      </c>
      <c r="AJ203" s="574" t="e">
        <f t="shared" ca="1" si="17"/>
        <v>#NAME?</v>
      </c>
    </row>
    <row r="204" spans="32:36" x14ac:dyDescent="0.2">
      <c r="AF204" s="561" t="e">
        <f ca="1">_xll.qlCalendarAdvance(Calendar,AF203,"1d","mf",,Trigger)</f>
        <v>#NAME?</v>
      </c>
      <c r="AG204" s="577" t="e">
        <f ca="1">_xll.qlDayCounterYearFraction(DayCounter,SettlementDate,AF204,,,Trigger)</f>
        <v>#NAME?</v>
      </c>
      <c r="AH204" s="574" t="e">
        <f t="shared" ca="1" si="15"/>
        <v>#NAME?</v>
      </c>
      <c r="AI204" s="574" t="e">
        <f t="shared" ca="1" si="16"/>
        <v>#NAME?</v>
      </c>
      <c r="AJ204" s="574" t="e">
        <f t="shared" ca="1" si="17"/>
        <v>#NAME?</v>
      </c>
    </row>
    <row r="205" spans="32:36" x14ac:dyDescent="0.2">
      <c r="AF205" s="561" t="e">
        <f ca="1">_xll.qlCalendarAdvance(Calendar,AF204,"1d","mf",,Trigger)</f>
        <v>#NAME?</v>
      </c>
      <c r="AG205" s="577" t="e">
        <f ca="1">_xll.qlDayCounterYearFraction(DayCounter,SettlementDate,AF205,,,Trigger)</f>
        <v>#NAME?</v>
      </c>
      <c r="AH205" s="574" t="e">
        <f t="shared" ca="1" si="15"/>
        <v>#NAME?</v>
      </c>
      <c r="AI205" s="574" t="e">
        <f t="shared" ca="1" si="16"/>
        <v>#NAME?</v>
      </c>
      <c r="AJ205" s="574" t="e">
        <f t="shared" ca="1" si="17"/>
        <v>#NAME?</v>
      </c>
    </row>
    <row r="206" spans="32:36" x14ac:dyDescent="0.2">
      <c r="AF206" s="561" t="e">
        <f ca="1">_xll.qlCalendarAdvance(Calendar,AF205,"1d","mf",,Trigger)</f>
        <v>#NAME?</v>
      </c>
      <c r="AG206" s="577" t="e">
        <f ca="1">_xll.qlDayCounterYearFraction(DayCounter,SettlementDate,AF206,,,Trigger)</f>
        <v>#NAME?</v>
      </c>
      <c r="AH206" s="574" t="e">
        <f t="shared" ca="1" si="15"/>
        <v>#NAME?</v>
      </c>
      <c r="AI206" s="574" t="e">
        <f t="shared" ca="1" si="16"/>
        <v>#NAME?</v>
      </c>
      <c r="AJ206" s="574" t="e">
        <f t="shared" ca="1" si="17"/>
        <v>#NAME?</v>
      </c>
    </row>
    <row r="207" spans="32:36" x14ac:dyDescent="0.2">
      <c r="AF207" s="561" t="e">
        <f ca="1">_xll.qlCalendarAdvance(Calendar,AF206,"1d","mf",,Trigger)</f>
        <v>#NAME?</v>
      </c>
      <c r="AG207" s="577" t="e">
        <f ca="1">_xll.qlDayCounterYearFraction(DayCounter,SettlementDate,AF207,,,Trigger)</f>
        <v>#NAME?</v>
      </c>
      <c r="AH207" s="574" t="e">
        <f t="shared" ca="1" si="15"/>
        <v>#NAME?</v>
      </c>
      <c r="AI207" s="574" t="e">
        <f t="shared" ca="1" si="16"/>
        <v>#NAME?</v>
      </c>
      <c r="AJ207" s="574" t="e">
        <f t="shared" ca="1" si="17"/>
        <v>#NAME?</v>
      </c>
    </row>
    <row r="208" spans="32:36" x14ac:dyDescent="0.2">
      <c r="AF208" s="561" t="e">
        <f ca="1">_xll.qlCalendarAdvance(Calendar,AF207,"1d","mf",,Trigger)</f>
        <v>#NAME?</v>
      </c>
      <c r="AG208" s="577" t="e">
        <f ca="1">_xll.qlDayCounterYearFraction(DayCounter,SettlementDate,AF208,,,Trigger)</f>
        <v>#NAME?</v>
      </c>
      <c r="AH208" s="574" t="e">
        <f t="shared" ca="1" si="15"/>
        <v>#NAME?</v>
      </c>
      <c r="AI208" s="574" t="e">
        <f t="shared" ca="1" si="16"/>
        <v>#NAME?</v>
      </c>
      <c r="AJ208" s="574" t="e">
        <f t="shared" ca="1" si="17"/>
        <v>#NAME?</v>
      </c>
    </row>
    <row r="209" spans="32:36" x14ac:dyDescent="0.2">
      <c r="AF209" s="561" t="e">
        <f ca="1">_xll.qlCalendarAdvance(Calendar,AF208,"1d","mf",,Trigger)</f>
        <v>#NAME?</v>
      </c>
      <c r="AG209" s="577" t="e">
        <f ca="1">_xll.qlDayCounterYearFraction(DayCounter,SettlementDate,AF209,,,Trigger)</f>
        <v>#NAME?</v>
      </c>
      <c r="AH209" s="574" t="e">
        <f t="shared" ca="1" si="15"/>
        <v>#NAME?</v>
      </c>
      <c r="AI209" s="574" t="e">
        <f t="shared" ca="1" si="16"/>
        <v>#NAME?</v>
      </c>
      <c r="AJ209" s="574" t="e">
        <f t="shared" ca="1" si="17"/>
        <v>#NAME?</v>
      </c>
    </row>
    <row r="210" spans="32:36" x14ac:dyDescent="0.2">
      <c r="AF210" s="561" t="e">
        <f ca="1">_xll.qlCalendarAdvance(Calendar,AF209,"1d","mf",,Trigger)</f>
        <v>#NAME?</v>
      </c>
      <c r="AG210" s="577" t="e">
        <f ca="1">_xll.qlDayCounterYearFraction(DayCounter,SettlementDate,AF210,,,Trigger)</f>
        <v>#NAME?</v>
      </c>
      <c r="AH210" s="574" t="e">
        <f t="shared" ca="1" si="15"/>
        <v>#NAME?</v>
      </c>
      <c r="AI210" s="574" t="e">
        <f t="shared" ca="1" si="16"/>
        <v>#NAME?</v>
      </c>
      <c r="AJ210" s="574" t="e">
        <f t="shared" ca="1" si="17"/>
        <v>#NAME?</v>
      </c>
    </row>
    <row r="211" spans="32:36" x14ac:dyDescent="0.2">
      <c r="AF211" s="561" t="e">
        <f ca="1">_xll.qlCalendarAdvance(Calendar,AF210,"1d","mf",,Trigger)</f>
        <v>#NAME?</v>
      </c>
      <c r="AG211" s="577" t="e">
        <f ca="1">_xll.qlDayCounterYearFraction(DayCounter,SettlementDate,AF211,,,Trigger)</f>
        <v>#NAME?</v>
      </c>
      <c r="AH211" s="574" t="e">
        <f t="shared" ca="1" si="15"/>
        <v>#NAME?</v>
      </c>
      <c r="AI211" s="574" t="e">
        <f t="shared" ca="1" si="16"/>
        <v>#NAME?</v>
      </c>
      <c r="AJ211" s="574" t="e">
        <f t="shared" ca="1" si="17"/>
        <v>#NAME?</v>
      </c>
    </row>
    <row r="212" spans="32:36" x14ac:dyDescent="0.2">
      <c r="AF212" s="561" t="e">
        <f ca="1">_xll.qlCalendarAdvance(Calendar,AF211,"1d","mf",,Trigger)</f>
        <v>#NAME?</v>
      </c>
      <c r="AG212" s="577" t="e">
        <f ca="1">_xll.qlDayCounterYearFraction(DayCounter,SettlementDate,AF212,,,Trigger)</f>
        <v>#NAME?</v>
      </c>
      <c r="AH212" s="574" t="e">
        <f t="shared" ca="1" si="15"/>
        <v>#NAME?</v>
      </c>
      <c r="AI212" s="574" t="e">
        <f t="shared" ca="1" si="16"/>
        <v>#NAME?</v>
      </c>
      <c r="AJ212" s="574" t="e">
        <f t="shared" ca="1" si="17"/>
        <v>#NAME?</v>
      </c>
    </row>
    <row r="213" spans="32:36" x14ac:dyDescent="0.2">
      <c r="AF213" s="561" t="e">
        <f ca="1">_xll.qlCalendarAdvance(Calendar,AF212,"1d","mf",,Trigger)</f>
        <v>#NAME?</v>
      </c>
      <c r="AG213" s="577" t="e">
        <f ca="1">_xll.qlDayCounterYearFraction(DayCounter,SettlementDate,AF213,,,Trigger)</f>
        <v>#NAME?</v>
      </c>
      <c r="AH213" s="574" t="e">
        <f t="shared" ca="1" si="15"/>
        <v>#NAME?</v>
      </c>
      <c r="AI213" s="574" t="e">
        <f t="shared" ca="1" si="16"/>
        <v>#NAME?</v>
      </c>
      <c r="AJ213" s="574" t="e">
        <f t="shared" ca="1" si="17"/>
        <v>#NAME?</v>
      </c>
    </row>
    <row r="214" spans="32:36" x14ac:dyDescent="0.2">
      <c r="AF214" s="561" t="e">
        <f ca="1">_xll.qlCalendarAdvance(Calendar,AF213,"1d","mf",,Trigger)</f>
        <v>#NAME?</v>
      </c>
      <c r="AG214" s="577" t="e">
        <f ca="1">_xll.qlDayCounterYearFraction(DayCounter,SettlementDate,AF214,,,Trigger)</f>
        <v>#NAME?</v>
      </c>
      <c r="AH214" s="574" t="e">
        <f t="shared" ca="1" si="15"/>
        <v>#NAME?</v>
      </c>
      <c r="AI214" s="574" t="e">
        <f t="shared" ca="1" si="16"/>
        <v>#NAME?</v>
      </c>
      <c r="AJ214" s="574" t="e">
        <f t="shared" ca="1" si="17"/>
        <v>#NAME?</v>
      </c>
    </row>
    <row r="215" spans="32:36" x14ac:dyDescent="0.2">
      <c r="AF215" s="561" t="e">
        <f ca="1">_xll.qlCalendarAdvance(Calendar,AF214,"1d","mf",,Trigger)</f>
        <v>#NAME?</v>
      </c>
      <c r="AG215" s="577" t="e">
        <f ca="1">_xll.qlDayCounterYearFraction(DayCounter,SettlementDate,AF215,,,Trigger)</f>
        <v>#NAME?</v>
      </c>
      <c r="AH215" s="574" t="e">
        <f t="shared" ca="1" si="15"/>
        <v>#NAME?</v>
      </c>
      <c r="AI215" s="574" t="e">
        <f t="shared" ca="1" si="16"/>
        <v>#NAME?</v>
      </c>
      <c r="AJ215" s="574" t="e">
        <f t="shared" ca="1" si="17"/>
        <v>#NAME?</v>
      </c>
    </row>
    <row r="216" spans="32:36" x14ac:dyDescent="0.2">
      <c r="AF216" s="561" t="e">
        <f ca="1">_xll.qlCalendarAdvance(Calendar,AF215,"1d","mf",,Trigger)</f>
        <v>#NAME?</v>
      </c>
      <c r="AG216" s="577" t="e">
        <f ca="1">_xll.qlDayCounterYearFraction(DayCounter,SettlementDate,AF216,,,Trigger)</f>
        <v>#NAME?</v>
      </c>
      <c r="AH216" s="574" t="e">
        <f t="shared" ca="1" si="15"/>
        <v>#NAME?</v>
      </c>
      <c r="AI216" s="574" t="e">
        <f t="shared" ca="1" si="16"/>
        <v>#NAME?</v>
      </c>
      <c r="AJ216" s="574" t="e">
        <f t="shared" ca="1" si="17"/>
        <v>#NAME?</v>
      </c>
    </row>
    <row r="217" spans="32:36" x14ac:dyDescent="0.2">
      <c r="AF217" s="561" t="e">
        <f ca="1">_xll.qlCalendarAdvance(Calendar,AF216,"1d","mf",,Trigger)</f>
        <v>#NAME?</v>
      </c>
      <c r="AG217" s="577" t="e">
        <f ca="1">_xll.qlDayCounterYearFraction(DayCounter,SettlementDate,AF217,,,Trigger)</f>
        <v>#NAME?</v>
      </c>
      <c r="AH217" s="574" t="e">
        <f t="shared" ca="1" si="15"/>
        <v>#NAME?</v>
      </c>
      <c r="AI217" s="574" t="e">
        <f t="shared" ca="1" si="16"/>
        <v>#NAME?</v>
      </c>
      <c r="AJ217" s="574" t="e">
        <f t="shared" ca="1" si="17"/>
        <v>#NAME?</v>
      </c>
    </row>
    <row r="218" spans="32:36" x14ac:dyDescent="0.2">
      <c r="AF218" s="561" t="e">
        <f ca="1">_xll.qlCalendarAdvance(Calendar,AF217,"1d","mf",,Trigger)</f>
        <v>#NAME?</v>
      </c>
      <c r="AG218" s="577" t="e">
        <f ca="1">_xll.qlDayCounterYearFraction(DayCounter,SettlementDate,AF218,,,Trigger)</f>
        <v>#NAME?</v>
      </c>
      <c r="AH218" s="574" t="e">
        <f t="shared" ca="1" si="15"/>
        <v>#NAME?</v>
      </c>
      <c r="AI218" s="574" t="e">
        <f t="shared" ca="1" si="16"/>
        <v>#NAME?</v>
      </c>
      <c r="AJ218" s="574" t="e">
        <f t="shared" ca="1" si="17"/>
        <v>#NAME?</v>
      </c>
    </row>
    <row r="219" spans="32:36" x14ac:dyDescent="0.2">
      <c r="AF219" s="561" t="e">
        <f ca="1">_xll.qlCalendarAdvance(Calendar,AF218,"1d","mf",,Trigger)</f>
        <v>#NAME?</v>
      </c>
      <c r="AG219" s="577" t="e">
        <f ca="1">_xll.qlDayCounterYearFraction(DayCounter,SettlementDate,AF219,,,Trigger)</f>
        <v>#NAME?</v>
      </c>
      <c r="AH219" s="574" t="e">
        <f t="shared" ca="1" si="15"/>
        <v>#NAME?</v>
      </c>
      <c r="AI219" s="574" t="e">
        <f t="shared" ca="1" si="16"/>
        <v>#NAME?</v>
      </c>
      <c r="AJ219" s="574" t="e">
        <f t="shared" ca="1" si="17"/>
        <v>#NAME?</v>
      </c>
    </row>
    <row r="220" spans="32:36" x14ac:dyDescent="0.2">
      <c r="AF220" s="561" t="e">
        <f ca="1">_xll.qlCalendarAdvance(Calendar,AF219,"1d","mf",,Trigger)</f>
        <v>#NAME?</v>
      </c>
      <c r="AG220" s="577" t="e">
        <f ca="1">_xll.qlDayCounterYearFraction(DayCounter,SettlementDate,AF220,,,Trigger)</f>
        <v>#NAME?</v>
      </c>
      <c r="AH220" s="574" t="e">
        <f t="shared" ca="1" si="15"/>
        <v>#NAME?</v>
      </c>
      <c r="AI220" s="574" t="e">
        <f t="shared" ca="1" si="16"/>
        <v>#NAME?</v>
      </c>
      <c r="AJ220" s="574" t="e">
        <f t="shared" ca="1" si="17"/>
        <v>#NAME?</v>
      </c>
    </row>
    <row r="221" spans="32:36" x14ac:dyDescent="0.2">
      <c r="AF221" s="561" t="e">
        <f ca="1">_xll.qlCalendarAdvance(Calendar,AF220,"1d","mf",,Trigger)</f>
        <v>#NAME?</v>
      </c>
      <c r="AG221" s="577" t="e">
        <f ca="1">_xll.qlDayCounterYearFraction(DayCounter,SettlementDate,AF221,,,Trigger)</f>
        <v>#NAME?</v>
      </c>
      <c r="AH221" s="574" t="e">
        <f t="shared" ca="1" si="15"/>
        <v>#NAME?</v>
      </c>
      <c r="AI221" s="574" t="e">
        <f t="shared" ca="1" si="16"/>
        <v>#NAME?</v>
      </c>
      <c r="AJ221" s="574" t="e">
        <f t="shared" ca="1" si="17"/>
        <v>#NAME?</v>
      </c>
    </row>
    <row r="222" spans="32:36" x14ac:dyDescent="0.2">
      <c r="AF222" s="561" t="e">
        <f ca="1">_xll.qlCalendarAdvance(Calendar,AF221,"1d","mf",,Trigger)</f>
        <v>#NAME?</v>
      </c>
      <c r="AG222" s="577" t="e">
        <f ca="1">_xll.qlDayCounterYearFraction(DayCounter,SettlementDate,AF222,,,Trigger)</f>
        <v>#NAME?</v>
      </c>
      <c r="AH222" s="574" t="e">
        <f t="shared" ca="1" si="15"/>
        <v>#NAME?</v>
      </c>
      <c r="AI222" s="574" t="e">
        <f t="shared" ca="1" si="16"/>
        <v>#NAME?</v>
      </c>
      <c r="AJ222" s="574" t="e">
        <f t="shared" ca="1" si="17"/>
        <v>#NAME?</v>
      </c>
    </row>
    <row r="223" spans="32:36" x14ac:dyDescent="0.2">
      <c r="AF223" s="561" t="e">
        <f ca="1">_xll.qlCalendarAdvance(Calendar,AF222,"1d","mf",,Trigger)</f>
        <v>#NAME?</v>
      </c>
      <c r="AG223" s="577" t="e">
        <f ca="1">_xll.qlDayCounterYearFraction(DayCounter,SettlementDate,AF223,,,Trigger)</f>
        <v>#NAME?</v>
      </c>
      <c r="AH223" s="574" t="e">
        <f t="shared" ca="1" si="15"/>
        <v>#NAME?</v>
      </c>
      <c r="AI223" s="574" t="e">
        <f t="shared" ca="1" si="16"/>
        <v>#NAME?</v>
      </c>
      <c r="AJ223" s="574" t="e">
        <f t="shared" ca="1" si="17"/>
        <v>#NAME?</v>
      </c>
    </row>
    <row r="224" spans="32:36" x14ac:dyDescent="0.2">
      <c r="AF224" s="561" t="e">
        <f ca="1">_xll.qlCalendarAdvance(Calendar,AF223,"1d","mf",,Trigger)</f>
        <v>#NAME?</v>
      </c>
      <c r="AG224" s="577" t="e">
        <f ca="1">_xll.qlDayCounterYearFraction(DayCounter,SettlementDate,AF224,,,Trigger)</f>
        <v>#NAME?</v>
      </c>
      <c r="AH224" s="574" t="e">
        <f t="shared" ca="1" si="15"/>
        <v>#NAME?</v>
      </c>
      <c r="AI224" s="574" t="e">
        <f t="shared" ca="1" si="16"/>
        <v>#NAME?</v>
      </c>
      <c r="AJ224" s="574" t="e">
        <f t="shared" ca="1" si="17"/>
        <v>#NAME?</v>
      </c>
    </row>
    <row r="225" spans="32:36" x14ac:dyDescent="0.2">
      <c r="AF225" s="561" t="e">
        <f ca="1">_xll.qlCalendarAdvance(Calendar,AF224,"1d","mf",,Trigger)</f>
        <v>#NAME?</v>
      </c>
      <c r="AG225" s="577" t="e">
        <f ca="1">_xll.qlDayCounterYearFraction(DayCounter,SettlementDate,AF225,,,Trigger)</f>
        <v>#NAME?</v>
      </c>
      <c r="AH225" s="574" t="e">
        <f t="shared" ca="1" si="15"/>
        <v>#NAME?</v>
      </c>
      <c r="AI225" s="574" t="e">
        <f t="shared" ca="1" si="16"/>
        <v>#NAME?</v>
      </c>
      <c r="AJ225" s="574" t="e">
        <f t="shared" ca="1" si="17"/>
        <v>#NAME?</v>
      </c>
    </row>
    <row r="226" spans="32:36" x14ac:dyDescent="0.2">
      <c r="AF226" s="561" t="e">
        <f ca="1">_xll.qlCalendarAdvance(Calendar,AF225,"1d","mf",,Trigger)</f>
        <v>#NAME?</v>
      </c>
      <c r="AG226" s="577" t="e">
        <f ca="1">_xll.qlDayCounterYearFraction(DayCounter,SettlementDate,AF226,,,Trigger)</f>
        <v>#NAME?</v>
      </c>
      <c r="AH226" s="574" t="e">
        <f t="shared" ca="1" si="15"/>
        <v>#NAME?</v>
      </c>
      <c r="AI226" s="574" t="e">
        <f t="shared" ca="1" si="16"/>
        <v>#NAME?</v>
      </c>
      <c r="AJ226" s="574" t="e">
        <f t="shared" ca="1" si="17"/>
        <v>#NAME?</v>
      </c>
    </row>
    <row r="227" spans="32:36" x14ac:dyDescent="0.2">
      <c r="AF227" s="561" t="e">
        <f ca="1">_xll.qlCalendarAdvance(Calendar,AF226,"1d","mf",,Trigger)</f>
        <v>#NAME?</v>
      </c>
      <c r="AG227" s="577" t="e">
        <f ca="1">_xll.qlDayCounterYearFraction(DayCounter,SettlementDate,AF227,,,Trigger)</f>
        <v>#NAME?</v>
      </c>
      <c r="AH227" s="574" t="e">
        <f t="shared" ca="1" si="15"/>
        <v>#NAME?</v>
      </c>
      <c r="AI227" s="574" t="e">
        <f t="shared" ca="1" si="16"/>
        <v>#NAME?</v>
      </c>
      <c r="AJ227" s="574" t="e">
        <f t="shared" ca="1" si="17"/>
        <v>#NAME?</v>
      </c>
    </row>
    <row r="228" spans="32:36" x14ac:dyDescent="0.2">
      <c r="AF228" s="561" t="e">
        <f ca="1">_xll.qlCalendarAdvance(Calendar,AF227,"1d","mf",,Trigger)</f>
        <v>#NAME?</v>
      </c>
      <c r="AG228" s="577" t="e">
        <f ca="1">_xll.qlDayCounterYearFraction(DayCounter,SettlementDate,AF228,,,Trigger)</f>
        <v>#NAME?</v>
      </c>
      <c r="AH228" s="574" t="e">
        <f t="shared" ca="1" si="15"/>
        <v>#NAME?</v>
      </c>
      <c r="AI228" s="574" t="e">
        <f t="shared" ca="1" si="16"/>
        <v>#NAME?</v>
      </c>
      <c r="AJ228" s="574" t="e">
        <f t="shared" ca="1" si="17"/>
        <v>#NAME?</v>
      </c>
    </row>
    <row r="229" spans="32:36" x14ac:dyDescent="0.2">
      <c r="AF229" s="561" t="e">
        <f ca="1">_xll.qlCalendarAdvance(Calendar,AF228,"1d","mf",,Trigger)</f>
        <v>#NAME?</v>
      </c>
      <c r="AG229" s="577" t="e">
        <f ca="1">_xll.qlDayCounterYearFraction(DayCounter,SettlementDate,AF229,,,Trigger)</f>
        <v>#NAME?</v>
      </c>
      <c r="AH229" s="574" t="e">
        <f t="shared" ca="1" si="15"/>
        <v>#NAME?</v>
      </c>
      <c r="AI229" s="574" t="e">
        <f t="shared" ca="1" si="16"/>
        <v>#NAME?</v>
      </c>
      <c r="AJ229" s="574" t="e">
        <f t="shared" ca="1" si="17"/>
        <v>#NAME?</v>
      </c>
    </row>
    <row r="230" spans="32:36" x14ac:dyDescent="0.2">
      <c r="AF230" s="561" t="e">
        <f ca="1">_xll.qlCalendarAdvance(Calendar,AF229,"1d","mf",,Trigger)</f>
        <v>#NAME?</v>
      </c>
      <c r="AG230" s="577" t="e">
        <f ca="1">_xll.qlDayCounterYearFraction(DayCounter,SettlementDate,AF230,,,Trigger)</f>
        <v>#NAME?</v>
      </c>
      <c r="AH230" s="574" t="e">
        <f t="shared" ca="1" si="15"/>
        <v>#NAME?</v>
      </c>
      <c r="AI230" s="574" t="e">
        <f t="shared" ca="1" si="16"/>
        <v>#NAME?</v>
      </c>
      <c r="AJ230" s="574" t="e">
        <f t="shared" ca="1" si="17"/>
        <v>#NAME?</v>
      </c>
    </row>
    <row r="231" spans="32:36" x14ac:dyDescent="0.2">
      <c r="AF231" s="561" t="e">
        <f ca="1">_xll.qlCalendarAdvance(Calendar,AF230,"1d","mf",,Trigger)</f>
        <v>#NAME?</v>
      </c>
      <c r="AG231" s="577" t="e">
        <f ca="1">_xll.qlDayCounterYearFraction(DayCounter,SettlementDate,AF231,,,Trigger)</f>
        <v>#NAME?</v>
      </c>
      <c r="AH231" s="574" t="e">
        <f t="shared" ca="1" si="15"/>
        <v>#NAME?</v>
      </c>
      <c r="AI231" s="574" t="e">
        <f t="shared" ca="1" si="16"/>
        <v>#NAME?</v>
      </c>
      <c r="AJ231" s="574" t="e">
        <f t="shared" ca="1" si="17"/>
        <v>#NAME?</v>
      </c>
    </row>
    <row r="232" spans="32:36" x14ac:dyDescent="0.2">
      <c r="AF232" s="561" t="e">
        <f ca="1">_xll.qlCalendarAdvance(Calendar,AF231,"1d","mf",,Trigger)</f>
        <v>#NAME?</v>
      </c>
      <c r="AG232" s="577" t="e">
        <f ca="1">_xll.qlDayCounterYearFraction(DayCounter,SettlementDate,AF232,,,Trigger)</f>
        <v>#NAME?</v>
      </c>
      <c r="AH232" s="574" t="e">
        <f t="shared" ca="1" si="15"/>
        <v>#NAME?</v>
      </c>
      <c r="AI232" s="574" t="e">
        <f t="shared" ca="1" si="16"/>
        <v>#NAME?</v>
      </c>
      <c r="AJ232" s="574" t="e">
        <f t="shared" ca="1" si="17"/>
        <v>#NAME?</v>
      </c>
    </row>
    <row r="233" spans="32:36" x14ac:dyDescent="0.2">
      <c r="AF233" s="561" t="e">
        <f ca="1">_xll.qlCalendarAdvance(Calendar,AF232,"1d","mf",,Trigger)</f>
        <v>#NAME?</v>
      </c>
      <c r="AG233" s="577" t="e">
        <f ca="1">_xll.qlDayCounterYearFraction(DayCounter,SettlementDate,AF233,,,Trigger)</f>
        <v>#NAME?</v>
      </c>
      <c r="AH233" s="574" t="e">
        <f t="shared" ca="1" si="15"/>
        <v>#NAME?</v>
      </c>
      <c r="AI233" s="574" t="e">
        <f t="shared" ca="1" si="16"/>
        <v>#NAME?</v>
      </c>
      <c r="AJ233" s="574" t="e">
        <f t="shared" ca="1" si="17"/>
        <v>#NAME?</v>
      </c>
    </row>
    <row r="234" spans="32:36" x14ac:dyDescent="0.2">
      <c r="AF234" s="561" t="e">
        <f ca="1">_xll.qlCalendarAdvance(Calendar,AF233,"1d","mf",,Trigger)</f>
        <v>#NAME?</v>
      </c>
      <c r="AG234" s="577" t="e">
        <f ca="1">_xll.qlDayCounterYearFraction(DayCounter,SettlementDate,AF234,,,Trigger)</f>
        <v>#NAME?</v>
      </c>
      <c r="AH234" s="574" t="e">
        <f t="shared" ca="1" si="15"/>
        <v>#NAME?</v>
      </c>
      <c r="AI234" s="574" t="e">
        <f t="shared" ca="1" si="16"/>
        <v>#NAME?</v>
      </c>
      <c r="AJ234" s="574" t="e">
        <f t="shared" ca="1" si="17"/>
        <v>#NAME?</v>
      </c>
    </row>
    <row r="235" spans="32:36" x14ac:dyDescent="0.2">
      <c r="AF235" s="561" t="e">
        <f ca="1">_xll.qlCalendarAdvance(Calendar,AF234,"1d","mf",,Trigger)</f>
        <v>#NAME?</v>
      </c>
      <c r="AG235" s="577" t="e">
        <f ca="1">_xll.qlDayCounterYearFraction(DayCounter,SettlementDate,AF235,,,Trigger)</f>
        <v>#NAME?</v>
      </c>
      <c r="AH235" s="574" t="e">
        <f t="shared" ca="1" si="15"/>
        <v>#NAME?</v>
      </c>
      <c r="AI235" s="574" t="e">
        <f t="shared" ca="1" si="16"/>
        <v>#NAME?</v>
      </c>
      <c r="AJ235" s="574" t="e">
        <f t="shared" ca="1" si="17"/>
        <v>#NAME?</v>
      </c>
    </row>
    <row r="236" spans="32:36" x14ac:dyDescent="0.2">
      <c r="AF236" s="561" t="e">
        <f ca="1">_xll.qlCalendarAdvance(Calendar,AF235,"1d","mf",,Trigger)</f>
        <v>#NAME?</v>
      </c>
      <c r="AG236" s="577" t="e">
        <f ca="1">_xll.qlDayCounterYearFraction(DayCounter,SettlementDate,AF236,,,Trigger)</f>
        <v>#NAME?</v>
      </c>
      <c r="AH236" s="574" t="e">
        <f t="shared" ca="1" si="15"/>
        <v>#NAME?</v>
      </c>
      <c r="AI236" s="574" t="e">
        <f t="shared" ca="1" si="16"/>
        <v>#NAME?</v>
      </c>
      <c r="AJ236" s="574" t="e">
        <f t="shared" ca="1" si="17"/>
        <v>#NAME?</v>
      </c>
    </row>
    <row r="237" spans="32:36" x14ac:dyDescent="0.2">
      <c r="AF237" s="561" t="e">
        <f ca="1">_xll.qlCalendarAdvance(Calendar,AF236,"1d","mf",,Trigger)</f>
        <v>#NAME?</v>
      </c>
      <c r="AG237" s="577" t="e">
        <f ca="1">_xll.qlDayCounterYearFraction(DayCounter,SettlementDate,AF237,,,Trigger)</f>
        <v>#NAME?</v>
      </c>
      <c r="AH237" s="574" t="e">
        <f t="shared" ca="1" si="15"/>
        <v>#NAME?</v>
      </c>
      <c r="AI237" s="574" t="e">
        <f t="shared" ca="1" si="16"/>
        <v>#NAME?</v>
      </c>
      <c r="AJ237" s="574" t="e">
        <f t="shared" ca="1" si="17"/>
        <v>#NAME?</v>
      </c>
    </row>
    <row r="238" spans="32:36" x14ac:dyDescent="0.2">
      <c r="AF238" s="561" t="e">
        <f ca="1">_xll.qlCalendarAdvance(Calendar,AF237,"1d","mf",,Trigger)</f>
        <v>#NAME?</v>
      </c>
      <c r="AG238" s="577" t="e">
        <f ca="1">_xll.qlDayCounterYearFraction(DayCounter,SettlementDate,AF238,,,Trigger)</f>
        <v>#NAME?</v>
      </c>
      <c r="AH238" s="574" t="e">
        <f t="shared" ca="1" si="15"/>
        <v>#NAME?</v>
      </c>
      <c r="AI238" s="574" t="e">
        <f t="shared" ca="1" si="16"/>
        <v>#NAME?</v>
      </c>
      <c r="AJ238" s="574" t="e">
        <f t="shared" ca="1" si="17"/>
        <v>#NAME?</v>
      </c>
    </row>
    <row r="239" spans="32:36" x14ac:dyDescent="0.2">
      <c r="AF239" s="561" t="e">
        <f ca="1">_xll.qlCalendarAdvance(Calendar,AF238,"1d","mf",,Trigger)</f>
        <v>#NAME?</v>
      </c>
      <c r="AG239" s="577" t="e">
        <f ca="1">_xll.qlDayCounterYearFraction(DayCounter,SettlementDate,AF239,,,Trigger)</f>
        <v>#NAME?</v>
      </c>
      <c r="AH239" s="574" t="e">
        <f t="shared" ca="1" si="15"/>
        <v>#NAME?</v>
      </c>
      <c r="AI239" s="574" t="e">
        <f t="shared" ca="1" si="16"/>
        <v>#NAME?</v>
      </c>
      <c r="AJ239" s="574" t="e">
        <f t="shared" ca="1" si="17"/>
        <v>#NAME?</v>
      </c>
    </row>
    <row r="240" spans="32:36" x14ac:dyDescent="0.2">
      <c r="AF240" s="561" t="e">
        <f ca="1">_xll.qlCalendarAdvance(Calendar,AF239,"1d","mf",,Trigger)</f>
        <v>#NAME?</v>
      </c>
      <c r="AG240" s="577" t="e">
        <f ca="1">_xll.qlDayCounterYearFraction(DayCounter,SettlementDate,AF240,,,Trigger)</f>
        <v>#NAME?</v>
      </c>
      <c r="AH240" s="574" t="e">
        <f t="shared" ca="1" si="15"/>
        <v>#NAME?</v>
      </c>
      <c r="AI240" s="574" t="e">
        <f t="shared" ca="1" si="16"/>
        <v>#NAME?</v>
      </c>
      <c r="AJ240" s="574" t="e">
        <f t="shared" ca="1" si="17"/>
        <v>#NAME?</v>
      </c>
    </row>
    <row r="241" spans="32:36" x14ac:dyDescent="0.2">
      <c r="AF241" s="561" t="e">
        <f ca="1">_xll.qlCalendarAdvance(Calendar,AF240,"1d","mf",,Trigger)</f>
        <v>#NAME?</v>
      </c>
      <c r="AG241" s="577" t="e">
        <f ca="1">_xll.qlDayCounterYearFraction(DayCounter,SettlementDate,AF241,,,Trigger)</f>
        <v>#NAME?</v>
      </c>
      <c r="AH241" s="574" t="e">
        <f t="shared" ca="1" si="15"/>
        <v>#NAME?</v>
      </c>
      <c r="AI241" s="574" t="e">
        <f t="shared" ca="1" si="16"/>
        <v>#NAME?</v>
      </c>
      <c r="AJ241" s="574" t="e">
        <f t="shared" ca="1" si="17"/>
        <v>#NAME?</v>
      </c>
    </row>
    <row r="242" spans="32:36" x14ac:dyDescent="0.2">
      <c r="AF242" s="561" t="e">
        <f ca="1">_xll.qlCalendarAdvance(Calendar,AF241,"1d","mf",,Trigger)</f>
        <v>#NAME?</v>
      </c>
      <c r="AG242" s="577" t="e">
        <f ca="1">_xll.qlDayCounterYearFraction(DayCounter,SettlementDate,AF242,,,Trigger)</f>
        <v>#NAME?</v>
      </c>
      <c r="AH242" s="574" t="e">
        <f t="shared" ca="1" si="15"/>
        <v>#NAME?</v>
      </c>
      <c r="AI242" s="574" t="e">
        <f t="shared" ca="1" si="16"/>
        <v>#NAME?</v>
      </c>
      <c r="AJ242" s="574" t="e">
        <f t="shared" ca="1" si="17"/>
        <v>#NAME?</v>
      </c>
    </row>
    <row r="243" spans="32:36" x14ac:dyDescent="0.2">
      <c r="AF243" s="561" t="e">
        <f ca="1">_xll.qlCalendarAdvance(Calendar,AF242,"1d","mf",,Trigger)</f>
        <v>#NAME?</v>
      </c>
      <c r="AG243" s="577" t="e">
        <f ca="1">_xll.qlDayCounterYearFraction(DayCounter,SettlementDate,AF243,,,Trigger)</f>
        <v>#NAME?</v>
      </c>
      <c r="AH243" s="574" t="e">
        <f t="shared" ca="1" si="15"/>
        <v>#NAME?</v>
      </c>
      <c r="AI243" s="574" t="e">
        <f t="shared" ca="1" si="16"/>
        <v>#NAME?</v>
      </c>
      <c r="AJ243" s="574" t="e">
        <f t="shared" ca="1" si="17"/>
        <v>#NAME?</v>
      </c>
    </row>
    <row r="244" spans="32:36" x14ac:dyDescent="0.2">
      <c r="AF244" s="561" t="e">
        <f ca="1">_xll.qlCalendarAdvance(Calendar,AF243,"1d","mf",,Trigger)</f>
        <v>#NAME?</v>
      </c>
      <c r="AG244" s="577" t="e">
        <f ca="1">_xll.qlDayCounterYearFraction(DayCounter,SettlementDate,AF244,,,Trigger)</f>
        <v>#NAME?</v>
      </c>
      <c r="AH244" s="574" t="e">
        <f t="shared" ca="1" si="15"/>
        <v>#NAME?</v>
      </c>
      <c r="AI244" s="574" t="e">
        <f t="shared" ca="1" si="16"/>
        <v>#NAME?</v>
      </c>
      <c r="AJ244" s="574" t="e">
        <f t="shared" ca="1" si="17"/>
        <v>#NAME?</v>
      </c>
    </row>
    <row r="245" spans="32:36" x14ac:dyDescent="0.2">
      <c r="AF245" s="561" t="e">
        <f ca="1">_xll.qlCalendarAdvance(Calendar,AF244,"1d","mf",,Trigger)</f>
        <v>#NAME?</v>
      </c>
      <c r="AG245" s="577" t="e">
        <f ca="1">_xll.qlDayCounterYearFraction(DayCounter,SettlementDate,AF245,,,Trigger)</f>
        <v>#NAME?</v>
      </c>
      <c r="AH245" s="574" t="e">
        <f t="shared" ca="1" si="15"/>
        <v>#NAME?</v>
      </c>
      <c r="AI245" s="574" t="e">
        <f t="shared" ca="1" si="16"/>
        <v>#NAME?</v>
      </c>
      <c r="AJ245" s="574" t="e">
        <f t="shared" ca="1" si="17"/>
        <v>#NAME?</v>
      </c>
    </row>
    <row r="246" spans="32:36" x14ac:dyDescent="0.2">
      <c r="AF246" s="561" t="e">
        <f ca="1">_xll.qlCalendarAdvance(Calendar,AF245,"1d","mf",,Trigger)</f>
        <v>#NAME?</v>
      </c>
      <c r="AG246" s="577" t="e">
        <f ca="1">_xll.qlDayCounterYearFraction(DayCounter,SettlementDate,AF246,,,Trigger)</f>
        <v>#NAME?</v>
      </c>
      <c r="AH246" s="574" t="e">
        <f t="shared" ca="1" si="15"/>
        <v>#NAME?</v>
      </c>
      <c r="AI246" s="574" t="e">
        <f t="shared" ca="1" si="16"/>
        <v>#NAME?</v>
      </c>
      <c r="AJ246" s="574" t="e">
        <f t="shared" ca="1" si="17"/>
        <v>#NAME?</v>
      </c>
    </row>
    <row r="247" spans="32:36" x14ac:dyDescent="0.2">
      <c r="AF247" s="561" t="e">
        <f ca="1">_xll.qlCalendarAdvance(Calendar,AF246,"1d","mf",,Trigger)</f>
        <v>#NAME?</v>
      </c>
      <c r="AG247" s="577" t="e">
        <f ca="1">_xll.qlDayCounterYearFraction(DayCounter,SettlementDate,AF247,,,Trigger)</f>
        <v>#NAME?</v>
      </c>
      <c r="AH247" s="574" t="e">
        <f t="shared" ca="1" si="15"/>
        <v>#NAME?</v>
      </c>
      <c r="AI247" s="574" t="e">
        <f t="shared" ca="1" si="16"/>
        <v>#NAME?</v>
      </c>
      <c r="AJ247" s="574" t="e">
        <f t="shared" ca="1" si="17"/>
        <v>#NAME?</v>
      </c>
    </row>
    <row r="248" spans="32:36" x14ac:dyDescent="0.2">
      <c r="AF248" s="561" t="e">
        <f ca="1">_xll.qlCalendarAdvance(Calendar,AF247,"1d","mf",,Trigger)</f>
        <v>#NAME?</v>
      </c>
      <c r="AG248" s="577" t="e">
        <f ca="1">_xll.qlDayCounterYearFraction(DayCounter,SettlementDate,AF248,,,Trigger)</f>
        <v>#NAME?</v>
      </c>
      <c r="AH248" s="574" t="e">
        <f t="shared" ca="1" si="15"/>
        <v>#NAME?</v>
      </c>
      <c r="AI248" s="574" t="e">
        <f t="shared" ca="1" si="16"/>
        <v>#NAME?</v>
      </c>
      <c r="AJ248" s="574" t="e">
        <f t="shared" ca="1" si="17"/>
        <v>#NAME?</v>
      </c>
    </row>
    <row r="249" spans="32:36" x14ac:dyDescent="0.2">
      <c r="AF249" s="561" t="e">
        <f ca="1">_xll.qlCalendarAdvance(Calendar,AF248,"1d","mf",,Trigger)</f>
        <v>#NAME?</v>
      </c>
      <c r="AG249" s="577" t="e">
        <f ca="1">_xll.qlDayCounterYearFraction(DayCounter,SettlementDate,AF249,,,Trigger)</f>
        <v>#NAME?</v>
      </c>
      <c r="AH249" s="574" t="e">
        <f t="shared" ca="1" si="15"/>
        <v>#NAME?</v>
      </c>
      <c r="AI249" s="574" t="e">
        <f t="shared" ca="1" si="16"/>
        <v>#NAME?</v>
      </c>
      <c r="AJ249" s="574" t="e">
        <f t="shared" ca="1" si="17"/>
        <v>#NAME?</v>
      </c>
    </row>
    <row r="250" spans="32:36" x14ac:dyDescent="0.2">
      <c r="AF250" s="561" t="e">
        <f ca="1">_xll.qlCalendarAdvance(Calendar,AF249,"1d","mf",,Trigger)</f>
        <v>#NAME?</v>
      </c>
      <c r="AG250" s="577" t="e">
        <f ca="1">_xll.qlDayCounterYearFraction(DayCounter,SettlementDate,AF250,,,Trigger)</f>
        <v>#NAME?</v>
      </c>
      <c r="AH250" s="574" t="e">
        <f t="shared" ca="1" si="15"/>
        <v>#NAME?</v>
      </c>
      <c r="AI250" s="574" t="e">
        <f t="shared" ca="1" si="16"/>
        <v>#NAME?</v>
      </c>
      <c r="AJ250" s="574" t="e">
        <f t="shared" ca="1" si="17"/>
        <v>#NAME?</v>
      </c>
    </row>
    <row r="251" spans="32:36" x14ac:dyDescent="0.2">
      <c r="AF251" s="561" t="e">
        <f ca="1">_xll.qlCalendarAdvance(Calendar,AF250,"1d","mf",,Trigger)</f>
        <v>#NAME?</v>
      </c>
      <c r="AG251" s="577" t="e">
        <f ca="1">_xll.qlDayCounterYearFraction(DayCounter,SettlementDate,AF251,,,Trigger)</f>
        <v>#NAME?</v>
      </c>
      <c r="AH251" s="574" t="e">
        <f t="shared" ca="1" si="15"/>
        <v>#NAME?</v>
      </c>
      <c r="AI251" s="574" t="e">
        <f t="shared" ca="1" si="16"/>
        <v>#NAME?</v>
      </c>
      <c r="AJ251" s="574" t="e">
        <f t="shared" ca="1" si="17"/>
        <v>#NAME?</v>
      </c>
    </row>
    <row r="252" spans="32:36" x14ac:dyDescent="0.2">
      <c r="AF252" s="561" t="e">
        <f ca="1">_xll.qlCalendarAdvance(Calendar,AF251,"1d","mf",,Trigger)</f>
        <v>#NAME?</v>
      </c>
      <c r="AG252" s="577" t="e">
        <f ca="1">_xll.qlDayCounterYearFraction(DayCounter,SettlementDate,AF252,,,Trigger)</f>
        <v>#NAME?</v>
      </c>
      <c r="AH252" s="574" t="e">
        <f t="shared" ca="1" si="15"/>
        <v>#NAME?</v>
      </c>
      <c r="AI252" s="574" t="e">
        <f t="shared" ca="1" si="16"/>
        <v>#NAME?</v>
      </c>
      <c r="AJ252" s="574" t="e">
        <f t="shared" ca="1" si="17"/>
        <v>#NAME?</v>
      </c>
    </row>
    <row r="253" spans="32:36" x14ac:dyDescent="0.2">
      <c r="AF253" s="561" t="e">
        <f ca="1">_xll.qlCalendarAdvance(Calendar,AF252,"1d","mf",,Trigger)</f>
        <v>#NAME?</v>
      </c>
      <c r="AG253" s="577" t="e">
        <f ca="1">_xll.qlDayCounterYearFraction(DayCounter,SettlementDate,AF253,,,Trigger)</f>
        <v>#NAME?</v>
      </c>
      <c r="AH253" s="574" t="e">
        <f t="shared" ca="1" si="15"/>
        <v>#NAME?</v>
      </c>
      <c r="AI253" s="574" t="e">
        <f t="shared" ca="1" si="16"/>
        <v>#NAME?</v>
      </c>
      <c r="AJ253" s="574" t="e">
        <f t="shared" ca="1" si="17"/>
        <v>#NAME?</v>
      </c>
    </row>
    <row r="254" spans="32:36" x14ac:dyDescent="0.2">
      <c r="AF254" s="561" t="e">
        <f ca="1">_xll.qlCalendarAdvance(Calendar,AF253,"1d","mf",,Trigger)</f>
        <v>#NAME?</v>
      </c>
      <c r="AG254" s="577" t="e">
        <f ca="1">_xll.qlDayCounterYearFraction(DayCounter,SettlementDate,AF254,,,Trigger)</f>
        <v>#NAME?</v>
      </c>
      <c r="AH254" s="574" t="e">
        <f t="shared" ca="1" si="15"/>
        <v>#NAME?</v>
      </c>
      <c r="AI254" s="574" t="e">
        <f t="shared" ca="1" si="16"/>
        <v>#NAME?</v>
      </c>
      <c r="AJ254" s="574" t="e">
        <f t="shared" ca="1" si="17"/>
        <v>#NAME?</v>
      </c>
    </row>
    <row r="255" spans="32:36" x14ac:dyDescent="0.2">
      <c r="AF255" s="561" t="e">
        <f ca="1">_xll.qlCalendarAdvance(Calendar,AF254,"1d","mf",,Trigger)</f>
        <v>#NAME?</v>
      </c>
      <c r="AG255" s="577" t="e">
        <f ca="1">_xll.qlDayCounterYearFraction(DayCounter,SettlementDate,AF255,,,Trigger)</f>
        <v>#NAME?</v>
      </c>
      <c r="AH255" s="574" t="e">
        <f t="shared" ca="1" si="15"/>
        <v>#NAME?</v>
      </c>
      <c r="AI255" s="574" t="e">
        <f t="shared" ca="1" si="16"/>
        <v>#NAME?</v>
      </c>
      <c r="AJ255" s="574" t="e">
        <f t="shared" ca="1" si="17"/>
        <v>#NAME?</v>
      </c>
    </row>
    <row r="256" spans="32:36" x14ac:dyDescent="0.2">
      <c r="AF256" s="561" t="e">
        <f ca="1">_xll.qlCalendarAdvance(Calendar,AF255,"1d","mf",,Trigger)</f>
        <v>#NAME?</v>
      </c>
      <c r="AG256" s="577" t="e">
        <f ca="1">_xll.qlDayCounterYearFraction(DayCounter,SettlementDate,AF256,,,Trigger)</f>
        <v>#NAME?</v>
      </c>
      <c r="AH256" s="574" t="e">
        <f t="shared" ca="1" si="15"/>
        <v>#NAME?</v>
      </c>
      <c r="AI256" s="574" t="e">
        <f t="shared" ca="1" si="16"/>
        <v>#NAME?</v>
      </c>
      <c r="AJ256" s="574" t="e">
        <f t="shared" ca="1" si="17"/>
        <v>#NAME?</v>
      </c>
    </row>
    <row r="257" spans="32:36" x14ac:dyDescent="0.2">
      <c r="AF257" s="561" t="e">
        <f ca="1">_xll.qlCalendarAdvance(Calendar,AF256,"1d","mf",,Trigger)</f>
        <v>#NAME?</v>
      </c>
      <c r="AG257" s="577" t="e">
        <f ca="1">_xll.qlDayCounterYearFraction(DayCounter,SettlementDate,AF257,,,Trigger)</f>
        <v>#NAME?</v>
      </c>
      <c r="AH257" s="574" t="e">
        <f t="shared" ca="1" si="15"/>
        <v>#NAME?</v>
      </c>
      <c r="AI257" s="574" t="e">
        <f t="shared" ca="1" si="16"/>
        <v>#NAME?</v>
      </c>
      <c r="AJ257" s="574" t="e">
        <f t="shared" ca="1" si="17"/>
        <v>#NAME?</v>
      </c>
    </row>
    <row r="258" spans="32:36" x14ac:dyDescent="0.2">
      <c r="AF258" s="561" t="e">
        <f ca="1">_xll.qlCalendarAdvance(Calendar,AF257,"1d","mf",,Trigger)</f>
        <v>#NAME?</v>
      </c>
      <c r="AG258" s="577" t="e">
        <f ca="1">_xll.qlDayCounterYearFraction(DayCounter,SettlementDate,AF258,,,Trigger)</f>
        <v>#NAME?</v>
      </c>
      <c r="AH258" s="574" t="e">
        <f t="shared" ca="1" si="15"/>
        <v>#NAME?</v>
      </c>
      <c r="AI258" s="574" t="e">
        <f t="shared" ca="1" si="16"/>
        <v>#NAME?</v>
      </c>
      <c r="AJ258" s="574" t="e">
        <f t="shared" ca="1" si="17"/>
        <v>#NAME?</v>
      </c>
    </row>
    <row r="259" spans="32:36" x14ac:dyDescent="0.2">
      <c r="AF259" s="559" t="e">
        <f ca="1">_xll.qlCalendarAdvance(Calendar,AF258,"1d","mf",,Trigger)</f>
        <v>#NAME?</v>
      </c>
      <c r="AG259" s="570" t="e">
        <f ca="1">_xll.qlDayCounterYearFraction(DayCounter,SettlementDate,AF259,,,Trigger)</f>
        <v>#NAME?</v>
      </c>
      <c r="AH259" s="567" t="e">
        <f t="shared" ca="1" si="15"/>
        <v>#NAME?</v>
      </c>
      <c r="AI259" s="567" t="e">
        <f t="shared" ca="1" si="16"/>
        <v>#NAME?</v>
      </c>
      <c r="AJ259" s="567"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3" customWidth="1"/>
    <col min="2" max="2" width="6.7109375" style="603" customWidth="1"/>
    <col min="3" max="3" width="31.42578125" style="603" bestFit="1" customWidth="1"/>
    <col min="4" max="4" width="30.7109375" style="603" customWidth="1"/>
    <col min="5" max="5" width="22" style="603" customWidth="1"/>
    <col min="6" max="6" width="3.7109375" style="603" customWidth="1"/>
    <col min="7" max="7" width="6.7109375" style="603" customWidth="1"/>
    <col min="8" max="8" width="9" style="603" bestFit="1" customWidth="1"/>
    <col min="9" max="9" width="2.7109375" style="603" customWidth="1"/>
    <col min="10" max="10" width="9" style="603" bestFit="1" customWidth="1"/>
    <col min="11" max="11" width="2.7109375" style="603" customWidth="1"/>
    <col min="12" max="12" width="10" style="603" bestFit="1" customWidth="1"/>
    <col min="13" max="13" width="9" style="603" bestFit="1" customWidth="1"/>
    <col min="14" max="14" width="5" style="603" customWidth="1"/>
    <col min="15" max="16384" width="9.140625" style="672"/>
  </cols>
  <sheetData>
    <row r="1" spans="1:17" ht="12" thickBot="1" x14ac:dyDescent="0.25">
      <c r="A1" s="747"/>
      <c r="B1" s="743"/>
      <c r="C1" s="743"/>
      <c r="D1" s="746"/>
      <c r="E1" s="746"/>
      <c r="F1" s="745"/>
      <c r="G1" s="744"/>
      <c r="H1" s="744"/>
      <c r="I1" s="745"/>
      <c r="J1" s="745"/>
      <c r="K1" s="745"/>
      <c r="L1" s="744"/>
      <c r="M1" s="743"/>
      <c r="N1" s="742"/>
    </row>
    <row r="2" spans="1:17" s="733" customFormat="1" ht="15" x14ac:dyDescent="0.25">
      <c r="A2" s="741"/>
      <c r="B2" s="740"/>
      <c r="C2" s="670" t="s">
        <v>91</v>
      </c>
      <c r="D2" s="670" t="s">
        <v>350</v>
      </c>
      <c r="E2" s="670" t="s">
        <v>59</v>
      </c>
      <c r="F2" s="737"/>
      <c r="G2" s="736"/>
      <c r="H2" s="739" t="s">
        <v>349</v>
      </c>
      <c r="I2" s="737"/>
      <c r="J2" s="738" t="s">
        <v>78</v>
      </c>
      <c r="K2" s="737"/>
      <c r="L2" s="736" t="s">
        <v>77</v>
      </c>
      <c r="M2" s="735" t="s">
        <v>76</v>
      </c>
      <c r="N2" s="734" t="e">
        <f ca="1">_xll.ohTrigger(M3:M7)</f>
        <v>#NAME?</v>
      </c>
      <c r="P2" s="1360" t="s">
        <v>529</v>
      </c>
      <c r="Q2" s="1363" t="e">
        <f ca="1">_xll.ohTrigger('General Settings_3'!Trigger)</f>
        <v>#NAME?</v>
      </c>
    </row>
    <row r="3" spans="1:17" ht="15.75" thickBot="1" x14ac:dyDescent="0.3">
      <c r="A3" s="720">
        <v>1</v>
      </c>
      <c r="B3" s="719" t="s">
        <v>278</v>
      </c>
      <c r="C3" s="718" t="e">
        <f ca="1">Currency&amp;$B3&amp;"_SYNTH"&amp;Tenor1M&amp;QuoteSuffix</f>
        <v>#NAME?</v>
      </c>
      <c r="D3" s="718" t="e">
        <f ca="1">_xll.qlSimpleQuote(C3,,RateTickValue,Permanent,EvaluationDate,ObjectOverwrite)</f>
        <v>#NAME?</v>
      </c>
      <c r="E3" s="717" t="e">
        <f ca="1">_xll.ohRangeRetrieveError(D3)</f>
        <v>#NAME?</v>
      </c>
      <c r="F3" s="725"/>
      <c r="G3" s="732" t="s">
        <v>278</v>
      </c>
      <c r="H3" s="694" t="e">
        <f ca="1">'1MSynthDepo'!C23</f>
        <v>#NAME?</v>
      </c>
      <c r="I3" s="727" t="s">
        <v>348</v>
      </c>
      <c r="J3" s="693">
        <v>-1.0602372797308135E-3</v>
      </c>
      <c r="K3" s="725"/>
      <c r="L3" s="692">
        <f t="array" ref="L3:L40">QuoteStatic</f>
        <v>-1.0602372797308135E-3</v>
      </c>
      <c r="M3" s="691" t="e">
        <f ca="1">_xll.qlSimpleQuoteSetValue(D3,ROUND($L3,6),EvaluationDate)</f>
        <v>#NAME?</v>
      </c>
      <c r="N3" s="398"/>
      <c r="P3" s="1361" t="s">
        <v>530</v>
      </c>
      <c r="Q3" s="1364" t="e">
        <f ca="1">_xll.ohTrigger(M3:M40)</f>
        <v>#NAME?</v>
      </c>
    </row>
    <row r="4" spans="1:17" x14ac:dyDescent="0.2">
      <c r="A4" s="716" t="e">
        <f ca="1">_xll.qlPeriodEquivalent(Months1M&amp;"M")</f>
        <v>#NAME?</v>
      </c>
      <c r="B4" s="698" t="s">
        <v>347</v>
      </c>
      <c r="C4" s="697" t="e">
        <f ca="1">Currency&amp;$B4&amp;"_SYNTH"&amp;Tenor1M&amp;QuoteSuffix</f>
        <v>#NAME?</v>
      </c>
      <c r="D4" s="697" t="e">
        <f ca="1">_xll.qlSimpleQuote(C4,,RateTickValue,Permanent,EvaluationDate,ObjectOverwrite)</f>
        <v>#NAME?</v>
      </c>
      <c r="E4" s="696" t="e">
        <f ca="1">_xll.ohRangeRetrieveError(D4)</f>
        <v>#NAME?</v>
      </c>
      <c r="F4" s="725"/>
      <c r="G4" s="732" t="s">
        <v>347</v>
      </c>
      <c r="H4" s="694" t="e">
        <f ca="1">'1MSynthDepo'!C24</f>
        <v>#NAME?</v>
      </c>
      <c r="I4" s="727" t="s">
        <v>348</v>
      </c>
      <c r="J4" s="693">
        <v>-1.1221750832682684E-3</v>
      </c>
      <c r="K4" s="725"/>
      <c r="L4" s="692">
        <v>-1.1221750832682684E-3</v>
      </c>
      <c r="M4" s="691" t="e">
        <f ca="1">_xll.qlSimpleQuoteSetValue(D4,ROUND($L4,6),EvaluationDate)</f>
        <v>#NAME?</v>
      </c>
      <c r="N4" s="398"/>
    </row>
    <row r="5" spans="1:17" x14ac:dyDescent="0.2">
      <c r="A5" s="730"/>
      <c r="B5" s="698" t="s">
        <v>346</v>
      </c>
      <c r="C5" s="697" t="e">
        <f ca="1">Currency&amp;$B5&amp;"_SYNTH"&amp;Tenor1M&amp;QuoteSuffix</f>
        <v>#NAME?</v>
      </c>
      <c r="D5" s="697" t="e">
        <f ca="1">_xll.qlSimpleQuote(C5,,RateTickValue,Permanent,EvaluationDate,ObjectOverwrite)</f>
        <v>#NAME?</v>
      </c>
      <c r="E5" s="696" t="e">
        <f ca="1">_xll.ohRangeRetrieveError(D5)</f>
        <v>#NAME?</v>
      </c>
      <c r="F5" s="725"/>
      <c r="G5" s="732" t="s">
        <v>346</v>
      </c>
      <c r="H5" s="694" t="e">
        <f ca="1">'1MSynthDepo'!C25</f>
        <v>#NAME?</v>
      </c>
      <c r="I5" s="727" t="s">
        <v>348</v>
      </c>
      <c r="J5" s="693">
        <v>-1.1352201462752223E-3</v>
      </c>
      <c r="K5" s="725"/>
      <c r="L5" s="692">
        <v>-1.1352201462752223E-3</v>
      </c>
      <c r="M5" s="691" t="e">
        <f ca="1">_xll.qlSimpleQuoteSetValue(D5,ROUND($L5,6),EvaluationDate)</f>
        <v>#NAME?</v>
      </c>
      <c r="N5" s="398"/>
    </row>
    <row r="6" spans="1:17" x14ac:dyDescent="0.2">
      <c r="A6" s="730"/>
      <c r="B6" s="698" t="s">
        <v>345</v>
      </c>
      <c r="C6" s="697" t="e">
        <f ca="1">Currency&amp;$B6&amp;"_SYNTH"&amp;Tenor1M&amp;QuoteSuffix</f>
        <v>#NAME?</v>
      </c>
      <c r="D6" s="697" t="e">
        <f ca="1">_xll.qlSimpleQuote(C6,,RateTickValue,Permanent,EvaluationDate,ObjectOverwrite)</f>
        <v>#NAME?</v>
      </c>
      <c r="E6" s="696" t="e">
        <f ca="1">_xll.ohRangeRetrieveError(D6)</f>
        <v>#NAME?</v>
      </c>
      <c r="F6" s="725"/>
      <c r="G6" s="731" t="s">
        <v>345</v>
      </c>
      <c r="H6" s="694" t="e">
        <f ca="1">'1MSynthDepo'!C26</f>
        <v>#NAME?</v>
      </c>
      <c r="I6" s="727" t="s">
        <v>348</v>
      </c>
      <c r="J6" s="682">
        <v>-1.146607730109217E-3</v>
      </c>
      <c r="K6" s="725"/>
      <c r="L6" s="680">
        <v>-1.146607730109217E-3</v>
      </c>
      <c r="M6" s="679" t="e">
        <f ca="1">_xll.qlSimpleQuoteSetValue(D6,ROUND($L6,6),EvaluationDate)</f>
        <v>#NAME?</v>
      </c>
      <c r="N6" s="398"/>
    </row>
    <row r="7" spans="1:17" x14ac:dyDescent="0.2">
      <c r="A7" s="730"/>
      <c r="B7" s="688" t="s">
        <v>344</v>
      </c>
      <c r="C7" s="687" t="e">
        <f ca="1">Currency&amp;$B7&amp;"_SYNTH"&amp;Tenor1M&amp;QuoteSuffix</f>
        <v>#NAME?</v>
      </c>
      <c r="D7" s="687" t="e">
        <f ca="1">_xll.qlSimpleQuote(C7,,RateTickValue,Permanent,EvaluationDate,ObjectOverwrite)</f>
        <v>#NAME?</v>
      </c>
      <c r="E7" s="686" t="e">
        <f ca="1">_xll.ohRangeRetrieveError(D7)</f>
        <v>#NAME?</v>
      </c>
      <c r="F7" s="725"/>
      <c r="G7" s="729" t="s">
        <v>344</v>
      </c>
      <c r="H7" s="728" t="e">
        <f ca="1">'1MSynthDepo'!C27</f>
        <v>#NAME?</v>
      </c>
      <c r="I7" s="727" t="s">
        <v>348</v>
      </c>
      <c r="J7" s="726">
        <v>-1.1300000000010854E-3</v>
      </c>
      <c r="K7" s="725"/>
      <c r="L7" s="724">
        <v>-1.1300000000010854E-3</v>
      </c>
      <c r="M7" s="723" t="e">
        <f ca="1">_xll.qlSimpleQuoteSetValue(D7,ROUND($L7,6),EvaluationDate)</f>
        <v>#NAME?</v>
      </c>
      <c r="N7" s="722"/>
    </row>
    <row r="8" spans="1:17" x14ac:dyDescent="0.2">
      <c r="A8" s="702">
        <v>3</v>
      </c>
      <c r="B8" s="719" t="s">
        <v>278</v>
      </c>
      <c r="C8" s="718" t="e">
        <f t="shared" ref="C8:C14" ca="1" si="0">Currency&amp;$B8&amp;"_SYNTH"&amp;Tenor3M&amp;QuoteSuffix</f>
        <v>#NAME?</v>
      </c>
      <c r="D8" s="718" t="e">
        <f ca="1">_xll.qlSimpleQuote(C8,,RateTickValue,Permanent,EvaluationDate,ObjectOverwrite)</f>
        <v>#NAME?</v>
      </c>
      <c r="E8" s="717"/>
      <c r="F8" s="681"/>
      <c r="G8" s="714" t="s">
        <v>278</v>
      </c>
      <c r="H8" s="703" t="e">
        <f ca="1">'3MSynthDepo'!C25</f>
        <v>#NAME?</v>
      </c>
      <c r="I8" s="683"/>
      <c r="J8" s="693">
        <v>-4.3754438754817215E-4</v>
      </c>
      <c r="K8" s="681"/>
      <c r="L8" s="692">
        <v>-4.3754438754817215E-4</v>
      </c>
      <c r="M8" s="691" t="e">
        <f ca="1">_xll.qlSimpleQuoteSetValue(D8,ROUND($L8,6),EvaluationDate)</f>
        <v>#NAME?</v>
      </c>
      <c r="N8" s="721" t="e">
        <f ca="1">_xll.ohTrigger(M8:M14)</f>
        <v>#NAME?</v>
      </c>
    </row>
    <row r="9" spans="1:17" x14ac:dyDescent="0.2">
      <c r="A9" s="716" t="e">
        <f ca="1">_xll.qlPeriodEquivalent(Months3M&amp;"M")</f>
        <v>#NAME?</v>
      </c>
      <c r="B9" s="698" t="s">
        <v>347</v>
      </c>
      <c r="C9" s="697" t="e">
        <f t="shared" ca="1" si="0"/>
        <v>#NAME?</v>
      </c>
      <c r="D9" s="697" t="e">
        <f ca="1">_xll.qlSimpleQuote(C9,,RateTickValue,Permanent,EvaluationDate,ObjectOverwrite)</f>
        <v>#NAME?</v>
      </c>
      <c r="E9" s="696"/>
      <c r="F9" s="681"/>
      <c r="G9" s="707" t="s">
        <v>347</v>
      </c>
      <c r="H9" s="694" t="e">
        <f ca="1">'3MSynthDepo'!C26</f>
        <v>#NAME?</v>
      </c>
      <c r="I9" s="683"/>
      <c r="J9" s="693">
        <v>-4.8724085528536624E-4</v>
      </c>
      <c r="K9" s="681"/>
      <c r="L9" s="692">
        <v>-4.8724085528536624E-4</v>
      </c>
      <c r="M9" s="691" t="e">
        <f ca="1">_xll.qlSimpleQuoteSetValue(D9,ROUND($L9,6),EvaluationDate)</f>
        <v>#NAME?</v>
      </c>
      <c r="N9" s="398"/>
    </row>
    <row r="10" spans="1:17" x14ac:dyDescent="0.2">
      <c r="A10" s="708"/>
      <c r="B10" s="698" t="s">
        <v>346</v>
      </c>
      <c r="C10" s="697" t="e">
        <f t="shared" ca="1" si="0"/>
        <v>#NAME?</v>
      </c>
      <c r="D10" s="697" t="e">
        <f ca="1">_xll.qlSimpleQuote(C10,,RateTickValue,Permanent,EvaluationDate,ObjectOverwrite)</f>
        <v>#NAME?</v>
      </c>
      <c r="E10" s="696"/>
      <c r="F10" s="681"/>
      <c r="G10" s="707" t="s">
        <v>346</v>
      </c>
      <c r="H10" s="694" t="e">
        <f ca="1">'3MSynthDepo'!C27</f>
        <v>#NAME?</v>
      </c>
      <c r="I10" s="683"/>
      <c r="J10" s="693">
        <v>-4.803119652350775E-4</v>
      </c>
      <c r="K10" s="681"/>
      <c r="L10" s="692">
        <v>-4.803119652350775E-4</v>
      </c>
      <c r="M10" s="691" t="e">
        <f ca="1">_xll.qlSimpleQuoteSetValue(D10,ROUND($L10,6),EvaluationDate)</f>
        <v>#NAME?</v>
      </c>
      <c r="N10" s="398"/>
    </row>
    <row r="11" spans="1:17" x14ac:dyDescent="0.2">
      <c r="A11" s="708"/>
      <c r="B11" s="698" t="s">
        <v>345</v>
      </c>
      <c r="C11" s="697" t="e">
        <f t="shared" ca="1" si="0"/>
        <v>#NAME?</v>
      </c>
      <c r="D11" s="697" t="e">
        <f ca="1">_xll.qlSimpleQuote(C11,,RateTickValue,Permanent,EvaluationDate,ObjectOverwrite)</f>
        <v>#NAME?</v>
      </c>
      <c r="E11" s="696"/>
      <c r="F11" s="681"/>
      <c r="G11" s="706" t="s">
        <v>345</v>
      </c>
      <c r="H11" s="684" t="e">
        <f ca="1">'3MSynthDepo'!C28</f>
        <v>#NAME?</v>
      </c>
      <c r="I11" s="683"/>
      <c r="J11" s="682">
        <v>-4.7356952190570818E-4</v>
      </c>
      <c r="K11" s="681"/>
      <c r="L11" s="680">
        <v>-4.7356952190570818E-4</v>
      </c>
      <c r="M11" s="679" t="e">
        <f ca="1">_xll.qlSimpleQuoteSetValue(D11,ROUND($L11,6),EvaluationDate)</f>
        <v>#NAME?</v>
      </c>
      <c r="N11" s="398"/>
    </row>
    <row r="12" spans="1:17" x14ac:dyDescent="0.2">
      <c r="A12" s="708"/>
      <c r="B12" s="698" t="s">
        <v>344</v>
      </c>
      <c r="C12" s="697" t="e">
        <f t="shared" ca="1" si="0"/>
        <v>#NAME?</v>
      </c>
      <c r="D12" s="697" t="e">
        <f ca="1">_xll.qlSimpleQuote(C12,,RateTickValue,Permanent,EvaluationDate,ObjectOverwrite)</f>
        <v>#NAME?</v>
      </c>
      <c r="E12" s="696"/>
      <c r="F12" s="681"/>
      <c r="G12" s="707" t="s">
        <v>344</v>
      </c>
      <c r="H12" s="694" t="e">
        <f ca="1">'3MSynthDepo'!C29</f>
        <v>#NAME?</v>
      </c>
      <c r="I12" s="683"/>
      <c r="J12" s="693">
        <v>-4.3425837757737895E-4</v>
      </c>
      <c r="K12" s="681"/>
      <c r="L12" s="692">
        <v>-4.3425837757737895E-4</v>
      </c>
      <c r="M12" s="691" t="e">
        <f ca="1">_xll.qlSimpleQuoteSetValue(D12,ROUND($L12,6),EvaluationDate)</f>
        <v>#NAME?</v>
      </c>
      <c r="N12" s="398"/>
    </row>
    <row r="13" spans="1:17" x14ac:dyDescent="0.2">
      <c r="A13" s="708"/>
      <c r="B13" s="698" t="s">
        <v>343</v>
      </c>
      <c r="C13" s="697" t="e">
        <f t="shared" ca="1" si="0"/>
        <v>#NAME?</v>
      </c>
      <c r="D13" s="697" t="e">
        <f ca="1">_xll.qlSimpleQuote(C13,,RateTickValue,Permanent,EvaluationDate,ObjectOverwrite)</f>
        <v>#NAME?</v>
      </c>
      <c r="E13" s="696"/>
      <c r="F13" s="681"/>
      <c r="G13" s="707" t="s">
        <v>343</v>
      </c>
      <c r="H13" s="694" t="e">
        <f ca="1">'3MSynthDepo'!C30</f>
        <v>#NAME?</v>
      </c>
      <c r="I13" s="683"/>
      <c r="J13" s="693">
        <v>-4.3874018060640626E-4</v>
      </c>
      <c r="K13" s="681"/>
      <c r="L13" s="692">
        <v>-4.3874018060640626E-4</v>
      </c>
      <c r="M13" s="691" t="e">
        <f ca="1">_xll.qlSimpleQuoteSetValue(D13,ROUND($L13,6),EvaluationDate)</f>
        <v>#NAME?</v>
      </c>
      <c r="N13" s="398"/>
    </row>
    <row r="14" spans="1:17" x14ac:dyDescent="0.2">
      <c r="A14" s="689"/>
      <c r="B14" s="688" t="s">
        <v>342</v>
      </c>
      <c r="C14" s="687" t="e">
        <f t="shared" ca="1" si="0"/>
        <v>#NAME?</v>
      </c>
      <c r="D14" s="687" t="e">
        <f ca="1">_xll.qlSimpleQuote(C14,,RateTickValue,Permanent,EvaluationDate,ObjectOverwrite)</f>
        <v>#NAME?</v>
      </c>
      <c r="E14" s="686"/>
      <c r="F14" s="681"/>
      <c r="G14" s="706" t="s">
        <v>342</v>
      </c>
      <c r="H14" s="684" t="e">
        <f ca="1">'3MSynthDepo'!C31</f>
        <v>#NAME?</v>
      </c>
      <c r="I14" s="683"/>
      <c r="J14" s="682">
        <v>-4.277753607922686E-4</v>
      </c>
      <c r="K14" s="681"/>
      <c r="L14" s="680">
        <v>-4.277753607922686E-4</v>
      </c>
      <c r="M14" s="679" t="e">
        <f ca="1">_xll.qlSimpleQuoteSetValue(D14,ROUND($L14,6),EvaluationDate)</f>
        <v>#NAME?</v>
      </c>
      <c r="N14" s="398"/>
    </row>
    <row r="15" spans="1:17" x14ac:dyDescent="0.2">
      <c r="A15" s="720">
        <v>6</v>
      </c>
      <c r="B15" s="719" t="s">
        <v>278</v>
      </c>
      <c r="C15" s="718" t="e">
        <f t="shared" ref="C15:C24" ca="1" si="1">Currency&amp;$B15&amp;"_SYNTH"&amp;Tenor6M&amp;QuoteSuffix</f>
        <v>#NAME?</v>
      </c>
      <c r="D15" s="718" t="e">
        <f ca="1">_xll.qlSimpleQuote(C15,,RateTickValue,Permanent,EvaluationDate,ObjectOverwrite)</f>
        <v>#NAME?</v>
      </c>
      <c r="E15" s="717" t="e">
        <f ca="1">_xll.ohRangeRetrieveError(D15)</f>
        <v>#NAME?</v>
      </c>
      <c r="F15" s="681"/>
      <c r="G15" s="714" t="s">
        <v>278</v>
      </c>
      <c r="H15" s="703" t="e">
        <f ca="1">'6MSynthDepo'!C28</f>
        <v>#NAME?</v>
      </c>
      <c r="I15" s="683"/>
      <c r="J15" s="693">
        <v>3.1041711273438466E-4</v>
      </c>
      <c r="K15" s="681"/>
      <c r="L15" s="692">
        <v>3.1041711273438466E-4</v>
      </c>
      <c r="M15" s="691" t="e">
        <f ca="1">_xll.qlSimpleQuoteSetValue(D15,ROUND($L15,6),EvaluationDate)</f>
        <v>#NAME?</v>
      </c>
      <c r="N15" s="678" t="e">
        <f ca="1">_xll.ohTrigger(M15:M24)</f>
        <v>#NAME?</v>
      </c>
    </row>
    <row r="16" spans="1:17" x14ac:dyDescent="0.2">
      <c r="A16" s="716" t="e">
        <f ca="1">_xll.qlPeriodEquivalent(Months6M&amp;"M")</f>
        <v>#NAME?</v>
      </c>
      <c r="B16" s="698" t="s">
        <v>347</v>
      </c>
      <c r="C16" s="697" t="e">
        <f t="shared" ca="1" si="1"/>
        <v>#NAME?</v>
      </c>
      <c r="D16" s="697" t="e">
        <f ca="1">_xll.qlSimpleQuote(C16,,RateTickValue,Permanent,EvaluationDate,ObjectOverwrite)</f>
        <v>#NAME?</v>
      </c>
      <c r="E16" s="696" t="e">
        <f ca="1">_xll.ohRangeRetrieveError(D16)</f>
        <v>#NAME?</v>
      </c>
      <c r="F16" s="681"/>
      <c r="G16" s="707" t="s">
        <v>347</v>
      </c>
      <c r="H16" s="694" t="e">
        <f ca="1">'6MSynthDepo'!C29</f>
        <v>#NAME?</v>
      </c>
      <c r="I16" s="683"/>
      <c r="J16" s="693">
        <v>2.5970884868950099E-4</v>
      </c>
      <c r="K16" s="681"/>
      <c r="L16" s="692">
        <v>2.5970884868950099E-4</v>
      </c>
      <c r="M16" s="691" t="e">
        <f ca="1">_xll.qlSimpleQuoteSetValue(D16,ROUND($L16,6),EvaluationDate)</f>
        <v>#NAME?</v>
      </c>
      <c r="N16" s="690"/>
    </row>
    <row r="17" spans="1:14" x14ac:dyDescent="0.2">
      <c r="A17" s="715"/>
      <c r="B17" s="698" t="s">
        <v>346</v>
      </c>
      <c r="C17" s="697" t="e">
        <f t="shared" ca="1" si="1"/>
        <v>#NAME?</v>
      </c>
      <c r="D17" s="697" t="e">
        <f ca="1">_xll.qlSimpleQuote(C17,,RateTickValue,Permanent,EvaluationDate,ObjectOverwrite)</f>
        <v>#NAME?</v>
      </c>
      <c r="E17" s="696" t="e">
        <f ca="1">_xll.ohRangeRetrieveError(D17)</f>
        <v>#NAME?</v>
      </c>
      <c r="F17" s="701"/>
      <c r="G17" s="707" t="s">
        <v>346</v>
      </c>
      <c r="H17" s="694" t="e">
        <f ca="1">'6MSynthDepo'!C30</f>
        <v>#NAME?</v>
      </c>
      <c r="I17" s="683"/>
      <c r="J17" s="693">
        <v>2.6501422268105604E-4</v>
      </c>
      <c r="K17" s="681"/>
      <c r="L17" s="692">
        <v>2.6501422268105604E-4</v>
      </c>
      <c r="M17" s="691" t="e">
        <f ca="1">_xll.qlSimpleQuoteSetValue(D17,ROUND($L17,6),EvaluationDate)</f>
        <v>#NAME?</v>
      </c>
      <c r="N17" s="690"/>
    </row>
    <row r="18" spans="1:14" x14ac:dyDescent="0.2">
      <c r="A18" s="708"/>
      <c r="B18" s="698" t="s">
        <v>345</v>
      </c>
      <c r="C18" s="697" t="e">
        <f t="shared" ca="1" si="1"/>
        <v>#NAME?</v>
      </c>
      <c r="D18" s="697" t="e">
        <f ca="1">_xll.qlSimpleQuote(C18,,RateTickValue,Permanent,EvaluationDate,ObjectOverwrite)</f>
        <v>#NAME?</v>
      </c>
      <c r="E18" s="696" t="e">
        <f ca="1">_xll.ohRangeRetrieveError(D18)</f>
        <v>#NAME?</v>
      </c>
      <c r="F18" s="701"/>
      <c r="G18" s="707" t="s">
        <v>345</v>
      </c>
      <c r="H18" s="694" t="e">
        <f ca="1">'6MSynthDepo'!C31</f>
        <v>#NAME?</v>
      </c>
      <c r="I18" s="683"/>
      <c r="J18" s="693">
        <v>2.7031965171429661E-4</v>
      </c>
      <c r="K18" s="681"/>
      <c r="L18" s="692">
        <v>2.7031965171429661E-4</v>
      </c>
      <c r="M18" s="691" t="e">
        <f ca="1">_xll.qlSimpleQuoteSetValue(D18,ROUND($L18,6),EvaluationDate)</f>
        <v>#NAME?</v>
      </c>
      <c r="N18" s="690"/>
    </row>
    <row r="19" spans="1:14" x14ac:dyDescent="0.2">
      <c r="A19" s="708"/>
      <c r="B19" s="698" t="s">
        <v>344</v>
      </c>
      <c r="C19" s="697" t="e">
        <f t="shared" ca="1" si="1"/>
        <v>#NAME?</v>
      </c>
      <c r="D19" s="697" t="e">
        <f ca="1">_xll.qlSimpleQuote(C19,,RateTickValue,Permanent,EvaluationDate,ObjectOverwrite)</f>
        <v>#NAME?</v>
      </c>
      <c r="E19" s="696" t="e">
        <f ca="1">_xll.ohRangeRetrieveError(D19)</f>
        <v>#NAME?</v>
      </c>
      <c r="F19" s="701"/>
      <c r="G19" s="714" t="s">
        <v>344</v>
      </c>
      <c r="H19" s="703" t="e">
        <f ca="1">'6MSynthDepo'!C32</f>
        <v>#NAME?</v>
      </c>
      <c r="I19" s="713"/>
      <c r="J19" s="712">
        <v>3.079033475847997E-4</v>
      </c>
      <c r="K19" s="711"/>
      <c r="L19" s="710">
        <v>3.079033475847997E-4</v>
      </c>
      <c r="M19" s="709" t="e">
        <f ca="1">_xll.qlSimpleQuoteSetValue(D19,ROUND($L19,6),EvaluationDate)</f>
        <v>#NAME?</v>
      </c>
      <c r="N19" s="690"/>
    </row>
    <row r="20" spans="1:14" x14ac:dyDescent="0.2">
      <c r="A20" s="708"/>
      <c r="B20" s="698" t="s">
        <v>343</v>
      </c>
      <c r="C20" s="697" t="e">
        <f t="shared" ca="1" si="1"/>
        <v>#NAME?</v>
      </c>
      <c r="D20" s="697" t="e">
        <f ca="1">_xll.qlSimpleQuote(C20,,RateTickValue,Permanent,EvaluationDate,ObjectOverwrite)</f>
        <v>#NAME?</v>
      </c>
      <c r="E20" s="696" t="e">
        <f ca="1">_xll.ohRangeRetrieveError(D20)</f>
        <v>#NAME?</v>
      </c>
      <c r="F20" s="701"/>
      <c r="G20" s="707" t="s">
        <v>343</v>
      </c>
      <c r="H20" s="694" t="e">
        <f ca="1">'6MSynthDepo'!C33</f>
        <v>#NAME?</v>
      </c>
      <c r="I20" s="683"/>
      <c r="J20" s="693">
        <v>3.0051497594123434E-4</v>
      </c>
      <c r="K20" s="681"/>
      <c r="L20" s="692">
        <v>3.0051497594123434E-4</v>
      </c>
      <c r="M20" s="691" t="e">
        <f ca="1">_xll.qlSimpleQuoteSetValue(D20,ROUND($L20,6),EvaluationDate)</f>
        <v>#NAME?</v>
      </c>
      <c r="N20" s="690"/>
    </row>
    <row r="21" spans="1:14" x14ac:dyDescent="0.2">
      <c r="A21" s="708"/>
      <c r="B21" s="698" t="s">
        <v>342</v>
      </c>
      <c r="C21" s="697" t="e">
        <f t="shared" ca="1" si="1"/>
        <v>#NAME?</v>
      </c>
      <c r="D21" s="697" t="e">
        <f ca="1">_xll.qlSimpleQuote(C21,,RateTickValue,Permanent,EvaluationDate,ObjectOverwrite)</f>
        <v>#NAME?</v>
      </c>
      <c r="E21" s="696" t="e">
        <f ca="1">_xll.ohRangeRetrieveError(D21)</f>
        <v>#NAME?</v>
      </c>
      <c r="F21" s="701"/>
      <c r="G21" s="707" t="s">
        <v>342</v>
      </c>
      <c r="H21" s="694" t="e">
        <f ca="1">'6MSynthDepo'!C34</f>
        <v>#NAME?</v>
      </c>
      <c r="I21" s="683"/>
      <c r="J21" s="693">
        <v>3.1223786868635103E-4</v>
      </c>
      <c r="K21" s="681"/>
      <c r="L21" s="692">
        <v>3.1223786868635103E-4</v>
      </c>
      <c r="M21" s="691" t="e">
        <f ca="1">_xll.qlSimpleQuoteSetValue(D21,ROUND($L21,6),EvaluationDate)</f>
        <v>#NAME?</v>
      </c>
      <c r="N21" s="690"/>
    </row>
    <row r="22" spans="1:14" x14ac:dyDescent="0.2">
      <c r="A22" s="708"/>
      <c r="B22" s="698" t="s">
        <v>341</v>
      </c>
      <c r="C22" s="697" t="e">
        <f t="shared" ca="1" si="1"/>
        <v>#NAME?</v>
      </c>
      <c r="D22" s="697" t="e">
        <f ca="1">_xll.qlSimpleQuote(C22,,RateTickValue,Permanent,EvaluationDate,ObjectOverwrite)</f>
        <v>#NAME?</v>
      </c>
      <c r="E22" s="696" t="e">
        <f ca="1">_xll.ohRangeRetrieveError(D22)</f>
        <v>#NAME?</v>
      </c>
      <c r="F22" s="701"/>
      <c r="G22" s="707" t="s">
        <v>341</v>
      </c>
      <c r="H22" s="694" t="e">
        <f ca="1">'6MSynthDepo'!C35</f>
        <v>#NAME?</v>
      </c>
      <c r="I22" s="683"/>
      <c r="J22" s="693">
        <v>2.9149882219895368E-4</v>
      </c>
      <c r="K22" s="681"/>
      <c r="L22" s="692">
        <v>2.9149882219895368E-4</v>
      </c>
      <c r="M22" s="691" t="e">
        <f ca="1">_xll.qlSimpleQuoteSetValue(D22,ROUND($L22,6),EvaluationDate)</f>
        <v>#NAME?</v>
      </c>
      <c r="N22" s="690"/>
    </row>
    <row r="23" spans="1:14" x14ac:dyDescent="0.2">
      <c r="A23" s="708"/>
      <c r="B23" s="698" t="s">
        <v>340</v>
      </c>
      <c r="C23" s="697" t="e">
        <f t="shared" ca="1" si="1"/>
        <v>#NAME?</v>
      </c>
      <c r="D23" s="697" t="e">
        <f ca="1">_xll.qlSimpleQuote(C23,,RateTickValue,Permanent,EvaluationDate,ObjectOverwrite)</f>
        <v>#NAME?</v>
      </c>
      <c r="E23" s="696" t="e">
        <f ca="1">_xll.ohRangeRetrieveError(D23)</f>
        <v>#NAME?</v>
      </c>
      <c r="F23" s="701"/>
      <c r="G23" s="707" t="s">
        <v>340</v>
      </c>
      <c r="H23" s="694" t="e">
        <f ca="1">'6MSynthDepo'!C36</f>
        <v>#NAME?</v>
      </c>
      <c r="I23" s="683"/>
      <c r="J23" s="693">
        <v>2.7789315175838931E-4</v>
      </c>
      <c r="K23" s="681"/>
      <c r="L23" s="692">
        <v>2.7789315175838931E-4</v>
      </c>
      <c r="M23" s="691" t="e">
        <f ca="1">_xll.qlSimpleQuoteSetValue(D23,ROUND($L23,6),EvaluationDate)</f>
        <v>#NAME?</v>
      </c>
      <c r="N23" s="690"/>
    </row>
    <row r="24" spans="1:14" x14ac:dyDescent="0.2">
      <c r="A24" s="689"/>
      <c r="B24" s="688" t="s">
        <v>339</v>
      </c>
      <c r="C24" s="687" t="e">
        <f t="shared" ca="1" si="1"/>
        <v>#NAME?</v>
      </c>
      <c r="D24" s="687" t="e">
        <f ca="1">_xll.qlSimpleQuote(C24,,RateTickValue,Permanent,EvaluationDate,ObjectOverwrite)</f>
        <v>#NAME?</v>
      </c>
      <c r="E24" s="686" t="e">
        <f ca="1">_xll.ohRangeRetrieveError(D24)</f>
        <v>#NAME?</v>
      </c>
      <c r="F24" s="701"/>
      <c r="G24" s="706" t="s">
        <v>339</v>
      </c>
      <c r="H24" s="684" t="e">
        <f ca="1">'6MSynthDepo'!C37</f>
        <v>#NAME?</v>
      </c>
      <c r="I24" s="683"/>
      <c r="J24" s="682">
        <v>2.6655633636438571E-4</v>
      </c>
      <c r="K24" s="681"/>
      <c r="L24" s="680">
        <v>2.6655633636438571E-4</v>
      </c>
      <c r="M24" s="679" t="e">
        <f ca="1">_xll.qlSimpleQuoteSetValue(D24,ROUND($L24,6),EvaluationDate)</f>
        <v>#NAME?</v>
      </c>
      <c r="N24" s="690"/>
    </row>
    <row r="25" spans="1:14" x14ac:dyDescent="0.2">
      <c r="A25" s="705">
        <v>12</v>
      </c>
      <c r="B25" s="698" t="s">
        <v>278</v>
      </c>
      <c r="C25" s="697" t="e">
        <f t="shared" ref="C25:C40" ca="1" si="2">Currency&amp;$B25&amp;"_SYNTH"&amp;Tenor12M&amp;QuoteSuffix</f>
        <v>#NAME?</v>
      </c>
      <c r="D25" s="697" t="e">
        <f ca="1">_xll.qlSimpleQuote(C25,,RateTickValue,Permanent,EvaluationDate,ObjectOverwrite)</f>
        <v>#NAME?</v>
      </c>
      <c r="E25" s="696" t="e">
        <f ca="1">_xll.ohRangeRetrieveError(D25)</f>
        <v>#NAME?</v>
      </c>
      <c r="F25" s="681"/>
      <c r="G25" s="704" t="s">
        <v>278</v>
      </c>
      <c r="H25" s="703" t="e">
        <f ca="1">'12MSynthDepo'!C34</f>
        <v>#NAME?</v>
      </c>
      <c r="I25" s="683"/>
      <c r="J25" s="693">
        <v>1.5987457028909802E-3</v>
      </c>
      <c r="K25" s="681"/>
      <c r="L25" s="692">
        <v>1.5987457028909802E-3</v>
      </c>
      <c r="M25" s="691" t="e">
        <f ca="1">_xll.qlSimpleQuoteSetValue(D25,ROUND($L25,6),EvaluationDate)</f>
        <v>#NAME?</v>
      </c>
      <c r="N25" s="678" t="e">
        <f ca="1">_xll.ohTrigger(M25:M40)</f>
        <v>#NAME?</v>
      </c>
    </row>
    <row r="26" spans="1:14" x14ac:dyDescent="0.2">
      <c r="A26" s="702" t="e">
        <f ca="1">_xll.qlPeriodEquivalent(Months12M&amp;"M")</f>
        <v>#NAME?</v>
      </c>
      <c r="B26" s="698" t="s">
        <v>347</v>
      </c>
      <c r="C26" s="697" t="e">
        <f t="shared" ca="1" si="2"/>
        <v>#NAME?</v>
      </c>
      <c r="D26" s="697" t="e">
        <f ca="1">_xll.qlSimpleQuote(C26,,RateTickValue,Permanent,EvaluationDate,ObjectOverwrite)</f>
        <v>#NAME?</v>
      </c>
      <c r="E26" s="696" t="e">
        <f ca="1">_xll.ohRangeRetrieveError(D26)</f>
        <v>#NAME?</v>
      </c>
      <c r="F26" s="681"/>
      <c r="G26" s="695" t="s">
        <v>347</v>
      </c>
      <c r="H26" s="694" t="e">
        <f ca="1">'12MSynthDepo'!C35</f>
        <v>#NAME?</v>
      </c>
      <c r="I26" s="683"/>
      <c r="J26" s="693">
        <v>1.546906043202258E-3</v>
      </c>
      <c r="K26" s="681"/>
      <c r="L26" s="692">
        <v>1.546906043202258E-3</v>
      </c>
      <c r="M26" s="691" t="e">
        <f ca="1">_xll.qlSimpleQuoteSetValue(D26,ROUND($L26,6),EvaluationDate)</f>
        <v>#NAME?</v>
      </c>
      <c r="N26" s="690"/>
    </row>
    <row r="27" spans="1:14" x14ac:dyDescent="0.2">
      <c r="A27" s="699"/>
      <c r="B27" s="698" t="s">
        <v>346</v>
      </c>
      <c r="C27" s="697" t="e">
        <f t="shared" ca="1" si="2"/>
        <v>#NAME?</v>
      </c>
      <c r="D27" s="697" t="e">
        <f ca="1">_xll.qlSimpleQuote(C27,,RateTickValue,Permanent,EvaluationDate,ObjectOverwrite)</f>
        <v>#NAME?</v>
      </c>
      <c r="E27" s="696" t="e">
        <f ca="1">_xll.ohRangeRetrieveError(D27)</f>
        <v>#NAME?</v>
      </c>
      <c r="F27" s="701"/>
      <c r="G27" s="695" t="s">
        <v>346</v>
      </c>
      <c r="H27" s="694" t="e">
        <f ca="1">'12MSynthDepo'!C36</f>
        <v>#NAME?</v>
      </c>
      <c r="I27" s="683"/>
      <c r="J27" s="693">
        <v>1.5502325985134696E-3</v>
      </c>
      <c r="K27" s="681"/>
      <c r="L27" s="692">
        <v>1.5502325985134696E-3</v>
      </c>
      <c r="M27" s="691" t="e">
        <f ca="1">_xll.qlSimpleQuoteSetValue(D27,ROUND($L27,6),EvaluationDate)</f>
        <v>#NAME?</v>
      </c>
      <c r="N27" s="690"/>
    </row>
    <row r="28" spans="1:14" x14ac:dyDescent="0.2">
      <c r="A28" s="699"/>
      <c r="B28" s="698" t="s">
        <v>345</v>
      </c>
      <c r="C28" s="697" t="e">
        <f t="shared" ca="1" si="2"/>
        <v>#NAME?</v>
      </c>
      <c r="D28" s="697" t="e">
        <f ca="1">_xll.qlSimpleQuote(C28,,RateTickValue,Permanent,EvaluationDate,ObjectOverwrite)</f>
        <v>#NAME?</v>
      </c>
      <c r="E28" s="696" t="e">
        <f ca="1">_xll.ohRangeRetrieveError(D28)</f>
        <v>#NAME?</v>
      </c>
      <c r="F28" s="701"/>
      <c r="G28" s="695" t="s">
        <v>345</v>
      </c>
      <c r="H28" s="694" t="e">
        <f ca="1">'12MSynthDepo'!C37</f>
        <v>#NAME?</v>
      </c>
      <c r="I28" s="683"/>
      <c r="J28" s="693">
        <v>1.5535593531319186E-3</v>
      </c>
      <c r="K28" s="681"/>
      <c r="L28" s="692">
        <v>1.5535593531319186E-3</v>
      </c>
      <c r="M28" s="691" t="e">
        <f ca="1">_xll.qlSimpleQuoteSetValue(D28,ROUND($L28,6),EvaluationDate)</f>
        <v>#NAME?</v>
      </c>
      <c r="N28" s="690"/>
    </row>
    <row r="29" spans="1:14" x14ac:dyDescent="0.2">
      <c r="A29" s="699"/>
      <c r="B29" s="698" t="s">
        <v>344</v>
      </c>
      <c r="C29" s="697" t="e">
        <f t="shared" ca="1" si="2"/>
        <v>#NAME?</v>
      </c>
      <c r="D29" s="697" t="e">
        <f ca="1">_xll.qlSimpleQuote(C29,,RateTickValue,Permanent,EvaluationDate,ObjectOverwrite)</f>
        <v>#NAME?</v>
      </c>
      <c r="E29" s="696" t="e">
        <f ca="1">_xll.ohRangeRetrieveError(D29)</f>
        <v>#NAME?</v>
      </c>
      <c r="F29" s="701"/>
      <c r="G29" s="685" t="s">
        <v>344</v>
      </c>
      <c r="H29" s="684" t="e">
        <f ca="1">'12MSynthDepo'!C38</f>
        <v>#NAME?</v>
      </c>
      <c r="I29" s="683"/>
      <c r="J29" s="682">
        <v>1.5883199276869606E-3</v>
      </c>
      <c r="K29" s="681"/>
      <c r="L29" s="680">
        <v>1.5883199276869606E-3</v>
      </c>
      <c r="M29" s="679" t="e">
        <f ca="1">_xll.qlSimpleQuoteSetValue(D29,ROUND($L29,6),EvaluationDate)</f>
        <v>#NAME?</v>
      </c>
      <c r="N29" s="690"/>
    </row>
    <row r="30" spans="1:14" x14ac:dyDescent="0.2">
      <c r="A30" s="699"/>
      <c r="B30" s="698" t="s">
        <v>343</v>
      </c>
      <c r="C30" s="697" t="e">
        <f t="shared" ca="1" si="2"/>
        <v>#NAME?</v>
      </c>
      <c r="D30" s="697" t="e">
        <f ca="1">_xll.qlSimpleQuote(C30,,RateTickValue,Permanent,EvaluationDate,ObjectOverwrite)</f>
        <v>#NAME?</v>
      </c>
      <c r="E30" s="696" t="e">
        <f ca="1">_xll.ohRangeRetrieveError(D30)</f>
        <v>#NAME?</v>
      </c>
      <c r="F30" s="701"/>
      <c r="G30" s="695" t="s">
        <v>343</v>
      </c>
      <c r="H30" s="694" t="e">
        <f ca="1">'12MSynthDepo'!C39</f>
        <v>#NAME?</v>
      </c>
      <c r="I30" s="683"/>
      <c r="J30" s="693">
        <v>1.5724506583920186E-3</v>
      </c>
      <c r="K30" s="681"/>
      <c r="L30" s="692">
        <v>1.5724506583920186E-3</v>
      </c>
      <c r="M30" s="691" t="e">
        <f ca="1">_xll.qlSimpleQuoteSetValue(D30,ROUND($L30,6),EvaluationDate)</f>
        <v>#NAME?</v>
      </c>
      <c r="N30" s="678"/>
    </row>
    <row r="31" spans="1:14" x14ac:dyDescent="0.2">
      <c r="A31" s="699"/>
      <c r="B31" s="698" t="s">
        <v>342</v>
      </c>
      <c r="C31" s="697" t="e">
        <f t="shared" ca="1" si="2"/>
        <v>#NAME?</v>
      </c>
      <c r="D31" s="697" t="e">
        <f ca="1">_xll.qlSimpleQuote(C31,,RateTickValue,Permanent,EvaluationDate,ObjectOverwrite)</f>
        <v>#NAME?</v>
      </c>
      <c r="E31" s="696" t="e">
        <f ca="1">_xll.ohRangeRetrieveError(D31)</f>
        <v>#NAME?</v>
      </c>
      <c r="F31" s="701"/>
      <c r="G31" s="695" t="s">
        <v>342</v>
      </c>
      <c r="H31" s="694" t="e">
        <f ca="1">'12MSynthDepo'!C40</f>
        <v>#NAME?</v>
      </c>
      <c r="I31" s="683"/>
      <c r="J31" s="693">
        <v>1.5748467518699701E-3</v>
      </c>
      <c r="K31" s="681"/>
      <c r="L31" s="692">
        <v>1.5748467518699701E-3</v>
      </c>
      <c r="M31" s="691" t="e">
        <f ca="1">_xll.qlSimpleQuoteSetValue(D31,ROUND($L31,6),EvaluationDate)</f>
        <v>#NAME?</v>
      </c>
      <c r="N31" s="690"/>
    </row>
    <row r="32" spans="1:14" x14ac:dyDescent="0.2">
      <c r="A32" s="699"/>
      <c r="B32" s="698" t="s">
        <v>341</v>
      </c>
      <c r="C32" s="697" t="e">
        <f t="shared" ca="1" si="2"/>
        <v>#NAME?</v>
      </c>
      <c r="D32" s="697" t="e">
        <f ca="1">_xll.qlSimpleQuote(C32,,RateTickValue,Permanent,EvaluationDate,ObjectOverwrite)</f>
        <v>#NAME?</v>
      </c>
      <c r="E32" s="696" t="e">
        <f ca="1">_xll.ohRangeRetrieveError(D32)</f>
        <v>#NAME?</v>
      </c>
      <c r="F32" s="701"/>
      <c r="G32" s="695" t="s">
        <v>341</v>
      </c>
      <c r="H32" s="694" t="e">
        <f ca="1">'12MSynthDepo'!C41</f>
        <v>#NAME?</v>
      </c>
      <c r="I32" s="683"/>
      <c r="J32" s="693">
        <v>1.5458980964803055E-3</v>
      </c>
      <c r="K32" s="681"/>
      <c r="L32" s="692">
        <v>1.5458980964803055E-3</v>
      </c>
      <c r="M32" s="691" t="e">
        <f ca="1">_xll.qlSimpleQuoteSetValue(D32,ROUND($L32,6),EvaluationDate)</f>
        <v>#NAME?</v>
      </c>
      <c r="N32" s="690"/>
    </row>
    <row r="33" spans="1:14" x14ac:dyDescent="0.2">
      <c r="A33" s="699"/>
      <c r="B33" s="698" t="s">
        <v>340</v>
      </c>
      <c r="C33" s="697" t="e">
        <f t="shared" ca="1" si="2"/>
        <v>#NAME?</v>
      </c>
      <c r="D33" s="697" t="e">
        <f ca="1">_xll.qlSimpleQuote(C33,,RateTickValue,Permanent,EvaluationDate,ObjectOverwrite)</f>
        <v>#NAME?</v>
      </c>
      <c r="E33" s="696" t="e">
        <f ca="1">_xll.ohRangeRetrieveError(D33)</f>
        <v>#NAME?</v>
      </c>
      <c r="F33" s="681"/>
      <c r="G33" s="695" t="s">
        <v>340</v>
      </c>
      <c r="H33" s="694" t="e">
        <f ca="1">'12MSynthDepo'!C42</f>
        <v>#NAME?</v>
      </c>
      <c r="I33" s="683"/>
      <c r="J33" s="693">
        <v>1.5240804607757604E-3</v>
      </c>
      <c r="K33" s="681"/>
      <c r="L33" s="692">
        <v>1.5240804607757604E-3</v>
      </c>
      <c r="M33" s="691" t="e">
        <f ca="1">_xll.qlSimpleQuoteSetValue(D33,ROUND($L33,6),EvaluationDate)</f>
        <v>#NAME?</v>
      </c>
      <c r="N33" s="690"/>
    </row>
    <row r="34" spans="1:14" x14ac:dyDescent="0.2">
      <c r="A34" s="699"/>
      <c r="B34" s="698" t="s">
        <v>339</v>
      </c>
      <c r="C34" s="697" t="e">
        <f t="shared" ca="1" si="2"/>
        <v>#NAME?</v>
      </c>
      <c r="D34" s="697" t="e">
        <f ca="1">_xll.qlSimpleQuote(C34,,RateTickValue,Permanent,EvaluationDate,ObjectOverwrite)</f>
        <v>#NAME?</v>
      </c>
      <c r="E34" s="696" t="e">
        <f ca="1">_xll.ohRangeRetrieveError(D34)</f>
        <v>#NAME?</v>
      </c>
      <c r="F34" s="681"/>
      <c r="G34" s="695" t="s">
        <v>339</v>
      </c>
      <c r="H34" s="694" t="e">
        <f ca="1">'12MSynthDepo'!C43</f>
        <v>#NAME?</v>
      </c>
      <c r="I34" s="683"/>
      <c r="J34" s="693">
        <v>1.5033959926413645E-3</v>
      </c>
      <c r="K34" s="681"/>
      <c r="L34" s="692">
        <v>1.5033959926413645E-3</v>
      </c>
      <c r="M34" s="691" t="e">
        <f ca="1">_xll.qlSimpleQuoteSetValue(D34,ROUND($L34,6),EvaluationDate)</f>
        <v>#NAME?</v>
      </c>
      <c r="N34" s="690"/>
    </row>
    <row r="35" spans="1:14" x14ac:dyDescent="0.2">
      <c r="A35" s="699"/>
      <c r="B35" s="698" t="s">
        <v>338</v>
      </c>
      <c r="C35" s="697" t="e">
        <f t="shared" ca="1" si="2"/>
        <v>#NAME?</v>
      </c>
      <c r="D35" s="697" t="e">
        <f ca="1">_xll.qlSimpleQuote(C35,,RateTickValue,Permanent,EvaluationDate,ObjectOverwrite)</f>
        <v>#NAME?</v>
      </c>
      <c r="E35" s="696" t="e">
        <f ca="1">_xll.ohRangeRetrieveError(D35)</f>
        <v>#NAME?</v>
      </c>
      <c r="F35" s="681"/>
      <c r="G35" s="695" t="s">
        <v>338</v>
      </c>
      <c r="H35" s="694" t="e">
        <f ca="1">'12MSynthDepo'!C44</f>
        <v>#NAME?</v>
      </c>
      <c r="I35" s="683"/>
      <c r="J35" s="693">
        <v>1.4873383826103988E-3</v>
      </c>
      <c r="K35" s="681"/>
      <c r="L35" s="692">
        <v>1.4873383826103988E-3</v>
      </c>
      <c r="M35" s="691" t="e">
        <f ca="1">_xll.qlSimpleQuoteSetValue(D35,ROUND($L35,6),EvaluationDate)</f>
        <v>#NAME?</v>
      </c>
      <c r="N35" s="690"/>
    </row>
    <row r="36" spans="1:14" x14ac:dyDescent="0.2">
      <c r="A36" s="699"/>
      <c r="B36" s="698" t="s">
        <v>337</v>
      </c>
      <c r="C36" s="697" t="e">
        <f t="shared" ca="1" si="2"/>
        <v>#NAME?</v>
      </c>
      <c r="D36" s="697" t="e">
        <f ca="1">_xll.qlSimpleQuote(C36,,RateTickValue,Permanent,EvaluationDate,ObjectOverwrite)</f>
        <v>#NAME?</v>
      </c>
      <c r="E36" s="696" t="e">
        <f ca="1">_xll.ohRangeRetrieveError(D36)</f>
        <v>#NAME?</v>
      </c>
      <c r="F36" s="681"/>
      <c r="G36" s="695" t="s">
        <v>337</v>
      </c>
      <c r="H36" s="694" t="e">
        <f ca="1">'12MSynthDepo'!C45</f>
        <v>#NAME?</v>
      </c>
      <c r="I36" s="683"/>
      <c r="J36" s="693">
        <v>1.4702290495403822E-3</v>
      </c>
      <c r="K36" s="681"/>
      <c r="L36" s="692">
        <v>1.4702290495403822E-3</v>
      </c>
      <c r="M36" s="691" t="e">
        <f ca="1">_xll.qlSimpleQuoteSetValue(D36,ROUND($L36,6),EvaluationDate)</f>
        <v>#NAME?</v>
      </c>
      <c r="N36" s="690"/>
    </row>
    <row r="37" spans="1:14" x14ac:dyDescent="0.2">
      <c r="A37" s="700"/>
      <c r="B37" s="698" t="s">
        <v>336</v>
      </c>
      <c r="C37" s="697" t="e">
        <f t="shared" ca="1" si="2"/>
        <v>#NAME?</v>
      </c>
      <c r="D37" s="697" t="e">
        <f ca="1">_xll.qlSimpleQuote(C37,,RateTickValue,Permanent,EvaluationDate,ObjectOverwrite)</f>
        <v>#NAME?</v>
      </c>
      <c r="E37" s="696" t="e">
        <f ca="1">_xll.ohRangeRetrieveError(D37)</f>
        <v>#NAME?</v>
      </c>
      <c r="F37" s="681"/>
      <c r="G37" s="695" t="s">
        <v>336</v>
      </c>
      <c r="H37" s="694" t="e">
        <f ca="1">'12MSynthDepo'!C46</f>
        <v>#NAME?</v>
      </c>
      <c r="I37" s="683"/>
      <c r="J37" s="693">
        <v>1.4530432086004212E-3</v>
      </c>
      <c r="K37" s="681"/>
      <c r="L37" s="692">
        <v>1.4530432086004212E-3</v>
      </c>
      <c r="M37" s="691" t="e">
        <f ca="1">_xll.qlSimpleQuoteSetValue(D37,ROUND($L37,6),EvaluationDate)</f>
        <v>#NAME?</v>
      </c>
      <c r="N37" s="690"/>
    </row>
    <row r="38" spans="1:14" x14ac:dyDescent="0.2">
      <c r="A38" s="700"/>
      <c r="B38" s="698" t="s">
        <v>335</v>
      </c>
      <c r="C38" s="697" t="e">
        <f t="shared" ca="1" si="2"/>
        <v>#NAME?</v>
      </c>
      <c r="D38" s="697" t="e">
        <f ca="1">_xll.qlSimpleQuote(C38,,RateTickValue,Permanent,EvaluationDate,ObjectOverwrite)</f>
        <v>#NAME?</v>
      </c>
      <c r="E38" s="696" t="e">
        <f ca="1">_xll.ohRangeRetrieveError(D38)</f>
        <v>#NAME?</v>
      </c>
      <c r="F38" s="681"/>
      <c r="G38" s="695" t="s">
        <v>335</v>
      </c>
      <c r="H38" s="694" t="e">
        <f ca="1">'12MSynthDepo'!C47</f>
        <v>#NAME?</v>
      </c>
      <c r="I38" s="683"/>
      <c r="J38" s="693">
        <v>1.4396222769610535E-3</v>
      </c>
      <c r="K38" s="681"/>
      <c r="L38" s="692">
        <v>1.4396222769610535E-3</v>
      </c>
      <c r="M38" s="691" t="e">
        <f ca="1">_xll.qlSimpleQuoteSetValue(D38,ROUND($L38,6),EvaluationDate)</f>
        <v>#NAME?</v>
      </c>
      <c r="N38" s="690"/>
    </row>
    <row r="39" spans="1:14" x14ac:dyDescent="0.2">
      <c r="A39" s="699"/>
      <c r="B39" s="698" t="s">
        <v>334</v>
      </c>
      <c r="C39" s="697" t="e">
        <f t="shared" ca="1" si="2"/>
        <v>#NAME?</v>
      </c>
      <c r="D39" s="697" t="e">
        <f ca="1">_xll.qlSimpleQuote(C39,,RateTickValue,Permanent,EvaluationDate,ObjectOverwrite)</f>
        <v>#NAME?</v>
      </c>
      <c r="E39" s="696" t="e">
        <f ca="1">_xll.ohRangeRetrieveError(D39)</f>
        <v>#NAME?</v>
      </c>
      <c r="F39" s="681"/>
      <c r="G39" s="695" t="s">
        <v>334</v>
      </c>
      <c r="H39" s="694" t="e">
        <f ca="1">'12MSynthDepo'!C48</f>
        <v>#NAME?</v>
      </c>
      <c r="I39" s="683"/>
      <c r="J39" s="693">
        <v>1.428813325911287E-3</v>
      </c>
      <c r="K39" s="681"/>
      <c r="L39" s="692">
        <v>1.428813325911287E-3</v>
      </c>
      <c r="M39" s="691" t="e">
        <f ca="1">_xll.qlSimpleQuoteSetValue(D39,ROUND($L39,6),EvaluationDate)</f>
        <v>#NAME?</v>
      </c>
      <c r="N39" s="690"/>
    </row>
    <row r="40" spans="1:14" x14ac:dyDescent="0.2">
      <c r="A40" s="689"/>
      <c r="B40" s="688" t="s">
        <v>333</v>
      </c>
      <c r="C40" s="687" t="e">
        <f t="shared" ca="1" si="2"/>
        <v>#NAME?</v>
      </c>
      <c r="D40" s="687" t="e">
        <f ca="1">_xll.qlSimpleQuote(C40,,RateTickValue,Permanent,EvaluationDate,ObjectOverwrite)</f>
        <v>#NAME?</v>
      </c>
      <c r="E40" s="686" t="e">
        <f ca="1">_xll.ohRangeRetrieveError(D40)</f>
        <v>#NAME?</v>
      </c>
      <c r="F40" s="681"/>
      <c r="G40" s="685" t="s">
        <v>333</v>
      </c>
      <c r="H40" s="684" t="e">
        <f ca="1">'12MSynthDepo'!C49</f>
        <v>#NAME?</v>
      </c>
      <c r="I40" s="683"/>
      <c r="J40" s="682">
        <v>1.4199999999999153E-3</v>
      </c>
      <c r="K40" s="681"/>
      <c r="L40" s="680">
        <v>1.4199999999999153E-3</v>
      </c>
      <c r="M40" s="679" t="e">
        <f ca="1">_xll.qlSimpleQuoteSetValue(D40,ROUND($L40,6),EvaluationDate)</f>
        <v>#NAME?</v>
      </c>
      <c r="N40" s="678"/>
    </row>
    <row r="41" spans="1:14" x14ac:dyDescent="0.2">
      <c r="A41" s="677"/>
      <c r="B41" s="676"/>
      <c r="C41" s="675"/>
      <c r="D41" s="675"/>
      <c r="E41" s="675"/>
      <c r="F41" s="674"/>
      <c r="G41" s="674"/>
      <c r="H41" s="674"/>
      <c r="I41" s="674"/>
      <c r="J41" s="674"/>
      <c r="K41" s="674"/>
      <c r="L41" s="674"/>
      <c r="M41" s="674"/>
      <c r="N41" s="673"/>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3" hidden="1" customWidth="1" outlineLevel="1"/>
    <col min="2" max="3" width="6" style="603" hidden="1" customWidth="1" outlineLevel="1"/>
    <col min="4" max="4" width="3" style="603" hidden="1" customWidth="1" outlineLevel="1"/>
    <col min="5" max="5" width="2" style="605" hidden="1" customWidth="1" outlineLevel="1"/>
    <col min="6" max="6" width="4" style="605" hidden="1" customWidth="1" outlineLevel="1"/>
    <col min="7" max="7" width="7" style="603" hidden="1" customWidth="1" outlineLevel="1"/>
    <col min="8" max="8" width="19.28515625" style="603" hidden="1" customWidth="1" outlineLevel="1"/>
    <col min="9" max="9" width="11" style="603" hidden="1" customWidth="1" outlineLevel="1"/>
    <col min="10" max="10" width="8" style="603" hidden="1" customWidth="1" outlineLevel="1"/>
    <col min="11" max="11" width="26.7109375" style="603" hidden="1" customWidth="1" outlineLevel="1"/>
    <col min="12" max="12" width="15.28515625" style="604" hidden="1" customWidth="1" outlineLevel="1"/>
    <col min="13" max="13" width="22.5703125" style="603" hidden="1" customWidth="1" outlineLevel="1"/>
    <col min="14" max="14" width="3" style="603" customWidth="1" collapsed="1"/>
    <col min="15" max="15" width="3" style="603" customWidth="1"/>
    <col min="16" max="16" width="26.7109375" style="603" bestFit="1" customWidth="1"/>
    <col min="17" max="21" width="17.28515625" style="603" bestFit="1" customWidth="1"/>
    <col min="22" max="22" width="17.28515625" style="603" hidden="1" customWidth="1" outlineLevel="1"/>
    <col min="23" max="23" width="12.140625" style="603" hidden="1" customWidth="1" outlineLevel="1"/>
    <col min="24" max="24" width="9" style="603" bestFit="1" customWidth="1" collapsed="1"/>
    <col min="25" max="25" width="8" style="603" customWidth="1"/>
    <col min="26" max="26" width="8" style="603" bestFit="1" customWidth="1"/>
    <col min="27" max="27" width="6" style="603" bestFit="1" customWidth="1"/>
    <col min="28" max="16384" width="9.140625" style="603"/>
  </cols>
  <sheetData>
    <row r="1" spans="1:26" ht="11.25" customHeight="1" x14ac:dyDescent="0.2">
      <c r="E1" s="603"/>
      <c r="F1" s="603"/>
      <c r="K1" s="603" t="s">
        <v>175</v>
      </c>
      <c r="L1" s="603" t="e">
        <f ca="1">_xll.qlEuribor(,K1,,,Trigger)</f>
        <v>#NAME?</v>
      </c>
      <c r="M1" s="603" t="e">
        <f ca="1">_xll.ohRangeRetrieveError(L1)</f>
        <v>#NAME?</v>
      </c>
    </row>
    <row r="2" spans="1:26" ht="24" customHeight="1" thickBot="1" x14ac:dyDescent="0.25">
      <c r="A2" s="653"/>
      <c r="B2" s="668" t="s">
        <v>332</v>
      </c>
      <c r="C2" s="668" t="s">
        <v>331</v>
      </c>
      <c r="D2" s="668"/>
      <c r="E2" s="671"/>
      <c r="F2" s="671"/>
      <c r="G2" s="668" t="s">
        <v>330</v>
      </c>
      <c r="H2" s="668" t="s">
        <v>329</v>
      </c>
      <c r="I2" s="668" t="s">
        <v>328</v>
      </c>
      <c r="J2" s="668" t="s">
        <v>62</v>
      </c>
      <c r="K2" s="668" t="s">
        <v>283</v>
      </c>
      <c r="L2" s="668" t="s">
        <v>282</v>
      </c>
      <c r="M2" s="670" t="s">
        <v>327</v>
      </c>
      <c r="N2" s="669"/>
      <c r="O2" s="669"/>
      <c r="P2" s="631" t="s">
        <v>326</v>
      </c>
      <c r="Q2" s="631" t="s">
        <v>325</v>
      </c>
      <c r="R2" s="631" t="s">
        <v>62</v>
      </c>
      <c r="S2" s="631" t="s">
        <v>281</v>
      </c>
      <c r="T2" s="668" t="s">
        <v>272</v>
      </c>
      <c r="U2" s="668" t="s">
        <v>271</v>
      </c>
    </row>
    <row r="3" spans="1:26" ht="11.25" customHeight="1" x14ac:dyDescent="0.25">
      <c r="A3" s="654"/>
      <c r="B3" s="650">
        <v>2</v>
      </c>
      <c r="C3" s="650" t="s">
        <v>324</v>
      </c>
      <c r="D3" s="667"/>
      <c r="E3" s="666"/>
      <c r="F3" s="666"/>
      <c r="G3" s="665"/>
      <c r="H3" s="665"/>
      <c r="I3" s="665"/>
      <c r="J3" s="664"/>
      <c r="K3" s="629" t="str">
        <f>PROPER((Currency))&amp;IborType&amp;K1&amp;"LastFixing"&amp;QuoteSuffix</f>
        <v>Euribor1MLastFixing_Quote</v>
      </c>
      <c r="L3" s="663" t="e">
        <f ca="1">_xll.qlDepositRateHelper(,K3,L1,,Trigger)</f>
        <v>#NAME?</v>
      </c>
      <c r="M3" s="655" t="e">
        <f ca="1">_xll.ohRangeRetrieveError(L3)</f>
        <v>#NAME?</v>
      </c>
      <c r="N3" s="632"/>
      <c r="O3" s="632"/>
      <c r="P3" s="643" t="e">
        <f ca="1">_xll.qlRateHelperQuoteName(L3,Trigger)</f>
        <v>#NAME?</v>
      </c>
      <c r="Q3" s="626" t="e">
        <f ca="1">_xll.qlQuoteValue(K3,AllTriggers)</f>
        <v>#NAME?</v>
      </c>
      <c r="R3" s="625" t="str">
        <f>IF(ISBLANK(J3),"--",_xll.qlSwapRateHelperSpread(L3,AllTriggers))</f>
        <v>--</v>
      </c>
      <c r="S3" s="643" t="b">
        <v>1</v>
      </c>
      <c r="T3" s="624" t="e">
        <f ca="1">_xll.qlRateHelperEarliestDate(L3,Trigger)</f>
        <v>#NAME?</v>
      </c>
      <c r="U3" s="624" t="e">
        <f ca="1">_xll.qlRateHelperPillarDate(L3,Trigger)</f>
        <v>#NAME?</v>
      </c>
      <c r="Y3" s="1360" t="s">
        <v>529</v>
      </c>
      <c r="Z3" s="1363" t="e">
        <f ca="1">_xll.ohTrigger('General Settings_3'!Trigger)</f>
        <v>#NAME?</v>
      </c>
    </row>
    <row r="4" spans="1:26" ht="11.25" customHeight="1" thickBot="1" x14ac:dyDescent="0.3">
      <c r="A4" s="654"/>
      <c r="B4" s="660">
        <v>2</v>
      </c>
      <c r="C4" s="660" t="s">
        <v>324</v>
      </c>
      <c r="D4" s="662" t="s">
        <v>174</v>
      </c>
      <c r="E4" s="661">
        <v>2</v>
      </c>
      <c r="F4" s="661" t="s">
        <v>112</v>
      </c>
      <c r="G4" s="660" t="s">
        <v>323</v>
      </c>
      <c r="H4" s="659" t="s">
        <v>322</v>
      </c>
      <c r="I4" s="659" t="s">
        <v>295</v>
      </c>
      <c r="J4" s="658">
        <v>0</v>
      </c>
      <c r="K4" s="657" t="str">
        <f t="shared" ref="K4:K9" si="0">Currency&amp;$E4&amp;$F4&amp;"_Quote"</f>
        <v>EUR2X1S_Quote</v>
      </c>
      <c r="L4" s="656" t="e">
        <f ca="1">_xll.qlSwapRateHelper2(,$K4,$B4,D4,Calendar,$G4,$H4,$I4,$L$1,$J4,C4,Discounting,,,Permanent,Trigger,ObjectOverwrite)</f>
        <v>#NAME?</v>
      </c>
      <c r="M4" s="655" t="e">
        <f ca="1">_xll.ohRangeRetrieveError(L4)</f>
        <v>#NAME?</v>
      </c>
      <c r="N4" s="632"/>
      <c r="O4" s="632"/>
      <c r="P4" s="643" t="e">
        <f ca="1">_xll.qlRateHelperQuoteName(L4,Trigger)</f>
        <v>#NAME?</v>
      </c>
      <c r="Q4" s="626" t="e">
        <f ca="1">_xll.qlQuoteValue(K4,AllTriggers)</f>
        <v>#NAME?</v>
      </c>
      <c r="R4" s="644" t="e">
        <f ca="1">IF(ISBLANK(J4),"--",_xll.qlSwapRateHelperSpread(L4,AllTriggers))</f>
        <v>#NAME?</v>
      </c>
      <c r="S4" s="643" t="b">
        <v>1</v>
      </c>
      <c r="T4" s="624" t="e">
        <f ca="1">_xll.qlRateHelperEarliestDate(L4,Trigger)</f>
        <v>#NAME?</v>
      </c>
      <c r="U4" s="624" t="e">
        <f ca="1">_xll.qlRateHelperPillarDate(L4,Trigger)</f>
        <v>#NAME?</v>
      </c>
      <c r="Y4" s="1361" t="s">
        <v>530</v>
      </c>
      <c r="Z4" s="1364" t="e">
        <f ca="1">_xll.ohTrigger(U3:U9)</f>
        <v>#NAME?</v>
      </c>
    </row>
    <row r="5" spans="1:26" ht="11.25" customHeight="1" x14ac:dyDescent="0.2">
      <c r="A5" s="654"/>
      <c r="B5" s="650">
        <v>2</v>
      </c>
      <c r="C5" s="650" t="s">
        <v>324</v>
      </c>
      <c r="D5" s="652" t="s">
        <v>127</v>
      </c>
      <c r="E5" s="651">
        <v>3</v>
      </c>
      <c r="F5" s="651" t="s">
        <v>112</v>
      </c>
      <c r="G5" s="650" t="s">
        <v>323</v>
      </c>
      <c r="H5" s="649" t="s">
        <v>322</v>
      </c>
      <c r="I5" s="649" t="s">
        <v>295</v>
      </c>
      <c r="J5" s="648">
        <v>0</v>
      </c>
      <c r="K5" s="647" t="str">
        <f t="shared" si="0"/>
        <v>EUR3X1S_Quote</v>
      </c>
      <c r="L5" s="646" t="e">
        <f ca="1">_xll.qlSwapRateHelper2(,$K5,$B5,D5,Calendar,$G5,$H5,$I5,$L$1,$J5,C5,Discounting,,,Permanent,Trigger,ObjectOverwrite)</f>
        <v>#NAME?</v>
      </c>
      <c r="M5" s="645" t="e">
        <f ca="1">_xll.ohRangeRetrieveError(L5)</f>
        <v>#NAME?</v>
      </c>
      <c r="N5" s="632"/>
      <c r="O5" s="632"/>
      <c r="P5" s="643" t="e">
        <f ca="1">_xll.qlRateHelperQuoteName(L5,Trigger)</f>
        <v>#NAME?</v>
      </c>
      <c r="Q5" s="626" t="e">
        <f ca="1">_xll.qlQuoteValue(K5,AllTriggers)</f>
        <v>#NAME?</v>
      </c>
      <c r="R5" s="644" t="e">
        <f ca="1">IF(ISBLANK(J5),"--",_xll.qlSwapRateHelperSpread(L5,AllTriggers))</f>
        <v>#NAME?</v>
      </c>
      <c r="S5" s="643" t="b">
        <v>1</v>
      </c>
      <c r="T5" s="624" t="e">
        <f ca="1">_xll.qlRateHelperEarliestDate(L5,Trigger)</f>
        <v>#NAME?</v>
      </c>
      <c r="U5" s="624" t="e">
        <f ca="1">_xll.qlRateHelperPillarDate(L5,Trigger)</f>
        <v>#NAME?</v>
      </c>
    </row>
    <row r="6" spans="1:26" ht="11.25" customHeight="1" x14ac:dyDescent="0.2">
      <c r="A6" s="653"/>
      <c r="B6" s="650">
        <v>2</v>
      </c>
      <c r="C6" s="650" t="s">
        <v>324</v>
      </c>
      <c r="D6" s="652" t="s">
        <v>173</v>
      </c>
      <c r="E6" s="651">
        <v>4</v>
      </c>
      <c r="F6" s="651" t="s">
        <v>112</v>
      </c>
      <c r="G6" s="650" t="s">
        <v>323</v>
      </c>
      <c r="H6" s="649" t="s">
        <v>322</v>
      </c>
      <c r="I6" s="649" t="s">
        <v>295</v>
      </c>
      <c r="J6" s="648">
        <v>0</v>
      </c>
      <c r="K6" s="647" t="str">
        <f t="shared" si="0"/>
        <v>EUR4X1S_Quote</v>
      </c>
      <c r="L6" s="646" t="e">
        <f ca="1">_xll.qlSwapRateHelper2(,$K6,$B6,D6,Calendar,$G6,$H6,$I6,$L$1,$J6,C6,Discounting,,,Permanent,Trigger,ObjectOverwrite)</f>
        <v>#NAME?</v>
      </c>
      <c r="M6" s="645" t="e">
        <f ca="1">_xll.ohRangeRetrieveError(L6)</f>
        <v>#NAME?</v>
      </c>
      <c r="N6" s="632"/>
      <c r="O6" s="632"/>
      <c r="P6" s="643" t="e">
        <f ca="1">_xll.qlRateHelperQuoteName(L6,Trigger)</f>
        <v>#NAME?</v>
      </c>
      <c r="Q6" s="626" t="e">
        <f ca="1">_xll.qlQuoteValue(K6,AllTriggers)</f>
        <v>#NAME?</v>
      </c>
      <c r="R6" s="644" t="e">
        <f ca="1">IF(ISBLANK(J6),"--",_xll.qlSwapRateHelperSpread(L6,AllTriggers))</f>
        <v>#NAME?</v>
      </c>
      <c r="S6" s="643" t="b">
        <v>1</v>
      </c>
      <c r="T6" s="624" t="e">
        <f ca="1">_xll.qlRateHelperEarliestDate(L6,Trigger)</f>
        <v>#NAME?</v>
      </c>
      <c r="U6" s="624" t="e">
        <f ca="1">_xll.qlRateHelperPillarDate(L6,Trigger)</f>
        <v>#NAME?</v>
      </c>
    </row>
    <row r="7" spans="1:26" ht="11.25" customHeight="1" x14ac:dyDescent="0.2">
      <c r="A7" s="653"/>
      <c r="B7" s="650">
        <v>2</v>
      </c>
      <c r="C7" s="650" t="s">
        <v>324</v>
      </c>
      <c r="D7" s="652" t="s">
        <v>172</v>
      </c>
      <c r="E7" s="651">
        <v>5</v>
      </c>
      <c r="F7" s="651" t="s">
        <v>112</v>
      </c>
      <c r="G7" s="650" t="s">
        <v>323</v>
      </c>
      <c r="H7" s="649" t="s">
        <v>322</v>
      </c>
      <c r="I7" s="649" t="s">
        <v>295</v>
      </c>
      <c r="J7" s="648">
        <v>0</v>
      </c>
      <c r="K7" s="647" t="str">
        <f t="shared" si="0"/>
        <v>EUR5X1S_Quote</v>
      </c>
      <c r="L7" s="646" t="e">
        <f ca="1">_xll.qlSwapRateHelper2(,$K7,$B7,D7,Calendar,$G7,$H7,$I7,$L$1,$J7,C7,Discounting,,,Permanent,Trigger,ObjectOverwrite)</f>
        <v>#NAME?</v>
      </c>
      <c r="M7" s="645" t="e">
        <f ca="1">_xll.ohRangeRetrieveError(L7)</f>
        <v>#NAME?</v>
      </c>
      <c r="N7" s="632"/>
      <c r="O7" s="632"/>
      <c r="P7" s="643" t="e">
        <f ca="1">_xll.qlRateHelperQuoteName(L7,Trigger)</f>
        <v>#NAME?</v>
      </c>
      <c r="Q7" s="626" t="e">
        <f ca="1">_xll.qlQuoteValue(K7,AllTriggers)</f>
        <v>#NAME?</v>
      </c>
      <c r="R7" s="644" t="e">
        <f ca="1">IF(ISBLANK(J7),"--",_xll.qlSwapRateHelperSpread(L7,AllTriggers))</f>
        <v>#NAME?</v>
      </c>
      <c r="S7" s="643" t="b">
        <v>1</v>
      </c>
      <c r="T7" s="624" t="e">
        <f ca="1">_xll.qlRateHelperEarliestDate(L7,Trigger)</f>
        <v>#NAME?</v>
      </c>
      <c r="U7" s="624" t="e">
        <f ca="1">_xll.qlRateHelperPillarDate(L7,Trigger)</f>
        <v>#NAME?</v>
      </c>
    </row>
    <row r="8" spans="1:26" ht="11.25" customHeight="1" x14ac:dyDescent="0.2">
      <c r="A8" s="653"/>
      <c r="B8" s="650">
        <v>2</v>
      </c>
      <c r="C8" s="650" t="s">
        <v>324</v>
      </c>
      <c r="D8" s="652" t="s">
        <v>92</v>
      </c>
      <c r="E8" s="651">
        <v>6</v>
      </c>
      <c r="F8" s="651" t="s">
        <v>112</v>
      </c>
      <c r="G8" s="650" t="s">
        <v>323</v>
      </c>
      <c r="H8" s="649" t="s">
        <v>322</v>
      </c>
      <c r="I8" s="649" t="s">
        <v>295</v>
      </c>
      <c r="J8" s="648">
        <v>0</v>
      </c>
      <c r="K8" s="647" t="str">
        <f t="shared" si="0"/>
        <v>EUR6X1S_Quote</v>
      </c>
      <c r="L8" s="646" t="e">
        <f ca="1">_xll.qlSwapRateHelper2(,$K8,$B8,D8,Calendar,$G8,$H8,$I8,$L$1,$J8,C8,Discounting,,,Permanent,Trigger,ObjectOverwrite)</f>
        <v>#NAME?</v>
      </c>
      <c r="M8" s="645" t="e">
        <f ca="1">_xll.ohRangeRetrieveError(L8)</f>
        <v>#NAME?</v>
      </c>
      <c r="N8" s="632"/>
      <c r="O8" s="632"/>
      <c r="P8" s="643" t="e">
        <f ca="1">_xll.qlRateHelperQuoteName(L8,Trigger)</f>
        <v>#NAME?</v>
      </c>
      <c r="Q8" s="626" t="e">
        <f ca="1">_xll.qlQuoteValue(K8,AllTriggers)</f>
        <v>#NAME?</v>
      </c>
      <c r="R8" s="644" t="e">
        <f ca="1">IF(ISBLANK(J8),"--",_xll.qlSwapRateHelperSpread(L8,AllTriggers))</f>
        <v>#NAME?</v>
      </c>
      <c r="S8" s="643" t="b">
        <v>0</v>
      </c>
      <c r="T8" s="624" t="e">
        <f ca="1">_xll.qlRateHelperEarliestDate(L8,Trigger)</f>
        <v>#NAME?</v>
      </c>
      <c r="U8" s="624" t="e">
        <f ca="1">_xll.qlRateHelperPillarDate(L8,Trigger)</f>
        <v>#NAME?</v>
      </c>
    </row>
    <row r="9" spans="1:26" ht="11.25" customHeight="1" x14ac:dyDescent="0.2">
      <c r="B9" s="640">
        <v>2</v>
      </c>
      <c r="C9" s="640" t="s">
        <v>324</v>
      </c>
      <c r="D9" s="642" t="s">
        <v>171</v>
      </c>
      <c r="E9" s="641">
        <v>7</v>
      </c>
      <c r="F9" s="641" t="s">
        <v>112</v>
      </c>
      <c r="G9" s="640" t="s">
        <v>323</v>
      </c>
      <c r="H9" s="639" t="s">
        <v>322</v>
      </c>
      <c r="I9" s="639" t="s">
        <v>295</v>
      </c>
      <c r="J9" s="638">
        <v>0</v>
      </c>
      <c r="K9" s="637" t="str">
        <f t="shared" si="0"/>
        <v>EUR7X1S_Quote</v>
      </c>
      <c r="L9" s="636" t="e">
        <f ca="1">_xll.qlSwapRateHelper2(,$K9,$B9,D9,Calendar,$G9,$H9,$I9,$L$1,$J9,C9,Discounting,,,Permanent,Trigger,ObjectOverwrite)</f>
        <v>#NAME?</v>
      </c>
      <c r="M9" s="635" t="e">
        <f ca="1">_xll.ohRangeRetrieveError(L9)</f>
        <v>#NAME?</v>
      </c>
      <c r="P9" s="633" t="e">
        <f ca="1">_xll.qlRateHelperQuoteName(L9,Trigger)</f>
        <v>#NAME?</v>
      </c>
      <c r="Q9" s="620" t="e">
        <f ca="1">_xll.qlQuoteValue(K9,AllTriggers)</f>
        <v>#NAME?</v>
      </c>
      <c r="R9" s="634" t="e">
        <f ca="1">IF(ISBLANK(J9),"--",_xll.qlSwapRateHelperSpread(L9,AllTriggers))</f>
        <v>#NAME?</v>
      </c>
      <c r="S9" s="633" t="b">
        <v>0</v>
      </c>
      <c r="T9" s="618" t="e">
        <f ca="1">_xll.qlRateHelperEarliestDate(L9,Trigger)</f>
        <v>#NAME?</v>
      </c>
      <c r="U9" s="618" t="e">
        <f ca="1">_xll.qlRateHelperPillarDate(L9,Trigger)</f>
        <v>#NAME?</v>
      </c>
    </row>
    <row r="10" spans="1:26" x14ac:dyDescent="0.2">
      <c r="E10" s="603"/>
      <c r="F10" s="603"/>
      <c r="L10" s="603"/>
      <c r="M10" s="632"/>
    </row>
    <row r="11" spans="1:26" x14ac:dyDescent="0.2">
      <c r="J11" s="606"/>
      <c r="K11" s="606"/>
      <c r="P11" s="615" t="str">
        <f>K1&amp;" "&amp;PROPER(Currency)&amp;IborType&amp;" Curve"</f>
        <v>1M Euribor Curve</v>
      </c>
      <c r="Q11" s="614"/>
      <c r="R11" s="614"/>
      <c r="S11" s="614"/>
      <c r="T11" s="614"/>
      <c r="U11" s="613" t="s">
        <v>321</v>
      </c>
    </row>
    <row r="12" spans="1:26" ht="11.25" customHeight="1" x14ac:dyDescent="0.2">
      <c r="M12" s="631" t="s">
        <v>320</v>
      </c>
      <c r="P12" s="631" t="s">
        <v>274</v>
      </c>
      <c r="Q12" s="631" t="s">
        <v>273</v>
      </c>
      <c r="R12" s="631" t="s">
        <v>62</v>
      </c>
      <c r="S12" s="631" t="s">
        <v>272</v>
      </c>
      <c r="T12" s="631" t="s">
        <v>271</v>
      </c>
      <c r="U12" s="630" t="e">
        <f t="array" aca="1" ref="U12:U21" ca="1">_xll.qlPiecewiseYieldCurveData('General Settings_3'!D31,InterestRatesTrigger)</f>
        <v>#NAME?</v>
      </c>
    </row>
    <row r="13" spans="1:26" x14ac:dyDescent="0.2">
      <c r="J13" s="606"/>
      <c r="K13" s="606"/>
      <c r="M13" s="629" t="e">
        <f t="array" aca="1" ref="M13:M21" ca="1">_xll.ohFilter(L3:L9,S3:S9)</f>
        <v>#NAME?</v>
      </c>
      <c r="P13" s="627" t="e">
        <f t="array" aca="1" ref="P13:P21" ca="1">_xll.ohFilter(P3:P8,S3:S8)</f>
        <v>#NAME?</v>
      </c>
      <c r="Q13" s="626" t="e">
        <f t="array" aca="1" ref="Q13:Q21" ca="1">_xll.ohFilter(Q3:Q8,S3:S8)</f>
        <v>#NAME?</v>
      </c>
      <c r="R13" s="625" t="e">
        <f t="array" aca="1" ref="R13:R21" ca="1">_xll.ohFilter(R3:R8,S3:S8)</f>
        <v>#NAME?</v>
      </c>
      <c r="S13" s="624" t="e">
        <f t="array" aca="1" ref="S13:S21" ca="1">_xll.ohFilter(T3:T8,S3:S8)</f>
        <v>#NAME?</v>
      </c>
      <c r="T13" s="624" t="e">
        <f t="array" aca="1" ref="T13:T21" ca="1">_xll.ohFilter(U3:U8,S3:S8)</f>
        <v>#NAME?</v>
      </c>
      <c r="U13" s="623" t="e">
        <f ca="1"/>
        <v>#NAME?</v>
      </c>
    </row>
    <row r="14" spans="1:26" x14ac:dyDescent="0.2">
      <c r="M14" s="628" t="e">
        <f ca="1"/>
        <v>#NAME?</v>
      </c>
      <c r="P14" s="627" t="e">
        <f ca="1"/>
        <v>#NAME?</v>
      </c>
      <c r="Q14" s="626" t="e">
        <f ca="1"/>
        <v>#NAME?</v>
      </c>
      <c r="R14" s="625" t="e">
        <f ca="1"/>
        <v>#NAME?</v>
      </c>
      <c r="S14" s="624" t="e">
        <f ca="1"/>
        <v>#NAME?</v>
      </c>
      <c r="T14" s="624" t="e">
        <f ca="1"/>
        <v>#NAME?</v>
      </c>
      <c r="U14" s="623" t="e">
        <f ca="1"/>
        <v>#NAME?</v>
      </c>
    </row>
    <row r="15" spans="1:26" x14ac:dyDescent="0.2">
      <c r="J15" s="606"/>
      <c r="K15" s="606"/>
      <c r="M15" s="628" t="e">
        <f ca="1"/>
        <v>#NAME?</v>
      </c>
      <c r="P15" s="627" t="e">
        <f ca="1"/>
        <v>#NAME?</v>
      </c>
      <c r="Q15" s="626" t="e">
        <f ca="1"/>
        <v>#NAME?</v>
      </c>
      <c r="R15" s="625" t="e">
        <f ca="1"/>
        <v>#NAME?</v>
      </c>
      <c r="S15" s="624" t="e">
        <f ca="1"/>
        <v>#NAME?</v>
      </c>
      <c r="T15" s="624" t="e">
        <f ca="1"/>
        <v>#NAME?</v>
      </c>
      <c r="U15" s="623" t="e">
        <f ca="1"/>
        <v>#NAME?</v>
      </c>
    </row>
    <row r="16" spans="1:26" x14ac:dyDescent="0.2">
      <c r="M16" s="628" t="e">
        <f ca="1"/>
        <v>#NAME?</v>
      </c>
      <c r="P16" s="627" t="e">
        <f ca="1"/>
        <v>#NAME?</v>
      </c>
      <c r="Q16" s="626" t="e">
        <f ca="1"/>
        <v>#NAME?</v>
      </c>
      <c r="R16" s="625" t="e">
        <f ca="1"/>
        <v>#NAME?</v>
      </c>
      <c r="S16" s="624" t="e">
        <f ca="1"/>
        <v>#NAME?</v>
      </c>
      <c r="T16" s="624" t="e">
        <f ca="1"/>
        <v>#NAME?</v>
      </c>
      <c r="U16" s="623" t="e">
        <f ca="1"/>
        <v>#NAME?</v>
      </c>
    </row>
    <row r="17" spans="10:25" x14ac:dyDescent="0.2">
      <c r="J17" s="606"/>
      <c r="K17" s="606"/>
      <c r="M17" s="628" t="e">
        <f ca="1"/>
        <v>#NAME?</v>
      </c>
      <c r="P17" s="627" t="e">
        <f ca="1"/>
        <v>#NAME?</v>
      </c>
      <c r="Q17" s="626" t="e">
        <f ca="1"/>
        <v>#NAME?</v>
      </c>
      <c r="R17" s="625" t="e">
        <f ca="1"/>
        <v>#NAME?</v>
      </c>
      <c r="S17" s="624" t="e">
        <f ca="1"/>
        <v>#NAME?</v>
      </c>
      <c r="T17" s="624" t="e">
        <f ca="1"/>
        <v>#NAME?</v>
      </c>
      <c r="U17" s="623" t="e">
        <f ca="1"/>
        <v>#NAME?</v>
      </c>
    </row>
    <row r="18" spans="10:25" x14ac:dyDescent="0.2">
      <c r="M18" s="628" t="e">
        <f ca="1"/>
        <v>#NAME?</v>
      </c>
      <c r="P18" s="627" t="e">
        <f ca="1"/>
        <v>#NAME?</v>
      </c>
      <c r="Q18" s="626" t="e">
        <f ca="1"/>
        <v>#NAME?</v>
      </c>
      <c r="R18" s="625" t="e">
        <f ca="1"/>
        <v>#NAME?</v>
      </c>
      <c r="S18" s="624" t="e">
        <f ca="1"/>
        <v>#NAME?</v>
      </c>
      <c r="T18" s="624" t="e">
        <f ca="1"/>
        <v>#NAME?</v>
      </c>
      <c r="U18" s="623" t="e">
        <f ca="1"/>
        <v>#NAME?</v>
      </c>
    </row>
    <row r="19" spans="10:25" x14ac:dyDescent="0.2">
      <c r="J19" s="606"/>
      <c r="K19" s="606"/>
      <c r="M19" s="628" t="e">
        <f ca="1"/>
        <v>#NAME?</v>
      </c>
      <c r="P19" s="627" t="e">
        <f ca="1"/>
        <v>#NAME?</v>
      </c>
      <c r="Q19" s="626" t="e">
        <f ca="1"/>
        <v>#NAME?</v>
      </c>
      <c r="R19" s="625" t="e">
        <f ca="1"/>
        <v>#NAME?</v>
      </c>
      <c r="S19" s="624" t="e">
        <f ca="1"/>
        <v>#NAME?</v>
      </c>
      <c r="T19" s="624" t="e">
        <f ca="1"/>
        <v>#NAME?</v>
      </c>
      <c r="U19" s="623" t="e">
        <f ca="1"/>
        <v>#NAME?</v>
      </c>
    </row>
    <row r="20" spans="10:25" x14ac:dyDescent="0.2">
      <c r="M20" s="628" t="e">
        <f ca="1"/>
        <v>#NAME?</v>
      </c>
      <c r="P20" s="627" t="e">
        <f ca="1"/>
        <v>#NAME?</v>
      </c>
      <c r="Q20" s="626" t="e">
        <f ca="1"/>
        <v>#NAME?</v>
      </c>
      <c r="R20" s="625" t="e">
        <f ca="1"/>
        <v>#NAME?</v>
      </c>
      <c r="S20" s="624" t="e">
        <f ca="1"/>
        <v>#NAME?</v>
      </c>
      <c r="T20" s="624" t="e">
        <f ca="1"/>
        <v>#NAME?</v>
      </c>
      <c r="U20" s="623" t="e">
        <f ca="1"/>
        <v>#NAME?</v>
      </c>
    </row>
    <row r="21" spans="10:25" x14ac:dyDescent="0.2">
      <c r="J21" s="606"/>
      <c r="K21" s="606"/>
      <c r="M21" s="622" t="e">
        <f ca="1"/>
        <v>#NAME?</v>
      </c>
      <c r="P21" s="621" t="e">
        <f ca="1"/>
        <v>#NAME?</v>
      </c>
      <c r="Q21" s="620" t="e">
        <f ca="1"/>
        <v>#NAME?</v>
      </c>
      <c r="R21" s="619" t="e">
        <f ca="1"/>
        <v>#NAME?</v>
      </c>
      <c r="S21" s="618" t="e">
        <f ca="1"/>
        <v>#NAME?</v>
      </c>
      <c r="T21" s="618" t="e">
        <f ca="1"/>
        <v>#NAME?</v>
      </c>
      <c r="U21" s="617" t="e">
        <f ca="1"/>
        <v>#NAME?</v>
      </c>
    </row>
    <row r="22" spans="10:25" x14ac:dyDescent="0.2">
      <c r="M22" s="616"/>
    </row>
    <row r="23" spans="10:25" x14ac:dyDescent="0.2">
      <c r="J23" s="606"/>
      <c r="K23" s="606"/>
    </row>
    <row r="24" spans="10:25" x14ac:dyDescent="0.2">
      <c r="P24" s="615" t="str">
        <f>"Delta "&amp;K1</f>
        <v>Delta 1M</v>
      </c>
      <c r="Q24" s="614"/>
      <c r="R24" s="614"/>
      <c r="S24" s="614"/>
      <c r="T24" s="614"/>
      <c r="U24" s="613"/>
    </row>
    <row r="25" spans="10:25" x14ac:dyDescent="0.2">
      <c r="J25" s="606"/>
      <c r="K25" s="606"/>
      <c r="P25" s="593" t="str">
        <f>K1&amp;" Instruments"</f>
        <v>1M Instruments</v>
      </c>
      <c r="Q25" s="593" t="s">
        <v>310</v>
      </c>
      <c r="R25" s="593" t="s">
        <v>317</v>
      </c>
      <c r="S25" s="593" t="s">
        <v>275</v>
      </c>
      <c r="T25" s="593" t="str">
        <f>"F "&amp;K1</f>
        <v>F 1M</v>
      </c>
      <c r="U25" s="593" t="s">
        <v>314</v>
      </c>
      <c r="V25" s="593" t="s">
        <v>316</v>
      </c>
      <c r="W25" s="593" t="s">
        <v>315</v>
      </c>
      <c r="X25" s="593" t="s">
        <v>311</v>
      </c>
      <c r="Y25" s="593" t="s">
        <v>313</v>
      </c>
    </row>
    <row r="26" spans="10:25" x14ac:dyDescent="0.2">
      <c r="N26" s="603">
        <v>0</v>
      </c>
      <c r="O26" s="603">
        <f>N26+SUBSTITUTE($K$1,"M","")</f>
        <v>1</v>
      </c>
      <c r="P26" s="612" t="str">
        <f>N26&amp;"x"&amp;O26</f>
        <v>0x1</v>
      </c>
      <c r="Q26" s="611" t="e">
        <f ca="1">SettlementDate</f>
        <v>#NAME?</v>
      </c>
      <c r="R26" s="611" t="e">
        <f ca="1">_xll.qlInterestRateIndexMaturity(iborindex1M,Q26,Trigger)</f>
        <v>#NAME?</v>
      </c>
      <c r="S26" s="577" t="e">
        <f ca="1">_xll.qlDayCounterYearFraction(DayCounter,Q26,R26,,,Trigger)</f>
        <v>#NAME?</v>
      </c>
      <c r="T26" s="574" t="e">
        <f ca="1">_xll.qlIndexFixing(iborindex1M,_xll.qlInterestRateIndexFixingDate(iborindex1M,Q26,Trigger),TRUE,AllTriggers)</f>
        <v>#NAME?</v>
      </c>
      <c r="U26" s="574" t="e">
        <f ca="1">(V26/W26-1)/S26</f>
        <v>#NAME?</v>
      </c>
      <c r="V26" s="576" t="e">
        <f ca="1">_xll.qlYieldTSDiscount(Discounting,Q26,,AllTriggers)</f>
        <v>#NAME?</v>
      </c>
      <c r="W26" s="576" t="e">
        <f ca="1">_xll.qlYieldTSDiscount(Discounting,R26,,AllTriggers)</f>
        <v>#NAME?</v>
      </c>
      <c r="X26" s="610" t="e">
        <f ca="1">LN((1+T26*S26)/(1+U26*S26))</f>
        <v>#NAME?</v>
      </c>
      <c r="Y26" s="574" t="e">
        <f ca="1">T26-U26</f>
        <v>#NAME?</v>
      </c>
    </row>
    <row r="27" spans="10:25" x14ac:dyDescent="0.2">
      <c r="J27" s="606"/>
      <c r="K27" s="606"/>
      <c r="N27" s="603">
        <v>1</v>
      </c>
      <c r="O27" s="603">
        <f>N27+SUBSTITUTE($K$1,"M","")</f>
        <v>2</v>
      </c>
      <c r="P27" s="612" t="str">
        <f>N27&amp;"x"&amp;O27</f>
        <v>1x2</v>
      </c>
      <c r="Q27" s="611" t="e">
        <f ca="1">R26</f>
        <v>#NAME?</v>
      </c>
      <c r="R27" s="611" t="e">
        <f ca="1">_xll.qlInterestRateIndexMaturity(iborindex1M,Q27,Trigger)</f>
        <v>#NAME?</v>
      </c>
      <c r="S27" s="577" t="e">
        <f ca="1">_xll.qlDayCounterYearFraction(DayCounter,Q27,R27,,,Trigger)</f>
        <v>#NAME?</v>
      </c>
      <c r="T27" s="574" t="e">
        <f ca="1">_xll.qlIndexFixing(iborindex1M,_xll.qlInterestRateIndexFixingDate(iborindex1M,Q27,Trigger),TRUE,AllTriggers)</f>
        <v>#NAME?</v>
      </c>
      <c r="U27" s="574" t="e">
        <f ca="1">(V27/W27-1)/S27</f>
        <v>#NAME?</v>
      </c>
      <c r="V27" s="576" t="e">
        <f ca="1">_xll.qlYieldTSDiscount(Discounting,Q27,,AllTriggers)</f>
        <v>#NAME?</v>
      </c>
      <c r="W27" s="576" t="e">
        <f ca="1">_xll.qlYieldTSDiscount(Discounting,R27,,AllTriggers)</f>
        <v>#NAME?</v>
      </c>
      <c r="X27" s="610" t="e">
        <f ca="1">LN((1+T27*S27)/(1+U27*S27))</f>
        <v>#NAME?</v>
      </c>
      <c r="Y27" s="574" t="e">
        <f ca="1">T27-U27</f>
        <v>#NAME?</v>
      </c>
    </row>
    <row r="28" spans="10:25" x14ac:dyDescent="0.2">
      <c r="N28" s="603">
        <v>2</v>
      </c>
      <c r="O28" s="603">
        <f>N28+SUBSTITUTE($K$1,"M","")</f>
        <v>3</v>
      </c>
      <c r="P28" s="612" t="str">
        <f>N28&amp;"x"&amp;O28</f>
        <v>2x3</v>
      </c>
      <c r="Q28" s="611" t="e">
        <f ca="1">R27</f>
        <v>#NAME?</v>
      </c>
      <c r="R28" s="611" t="e">
        <f ca="1">_xll.qlInterestRateIndexMaturity(iborindex1M,Q28,Trigger)</f>
        <v>#NAME?</v>
      </c>
      <c r="S28" s="577" t="e">
        <f ca="1">_xll.qlDayCounterYearFraction(DayCounter,Q28,R28,,,Trigger)</f>
        <v>#NAME?</v>
      </c>
      <c r="T28" s="574" t="e">
        <f ca="1">_xll.qlIndexFixing(iborindex1M,_xll.qlInterestRateIndexFixingDate(iborindex1M,Q28,Trigger),TRUE,AllTriggers)</f>
        <v>#NAME?</v>
      </c>
      <c r="U28" s="574" t="e">
        <f ca="1">(V28/W28-1)/S28</f>
        <v>#NAME?</v>
      </c>
      <c r="V28" s="576" t="e">
        <f ca="1">_xll.qlYieldTSDiscount(Discounting,Q28,,AllTriggers)</f>
        <v>#NAME?</v>
      </c>
      <c r="W28" s="576" t="e">
        <f ca="1">_xll.qlYieldTSDiscount(Discounting,R28,,AllTriggers)</f>
        <v>#NAME?</v>
      </c>
      <c r="X28" s="610" t="e">
        <f ca="1">LN((1+T28*S28)/(1+U28*S28))</f>
        <v>#NAME?</v>
      </c>
      <c r="Y28" s="574" t="e">
        <f ca="1">T28-U28</f>
        <v>#NAME?</v>
      </c>
    </row>
    <row r="29" spans="10:25" x14ac:dyDescent="0.2">
      <c r="J29" s="606"/>
      <c r="K29" s="606"/>
      <c r="N29" s="603">
        <v>3</v>
      </c>
      <c r="O29" s="603">
        <f>N29+SUBSTITUTE($K$1,"M","")</f>
        <v>4</v>
      </c>
      <c r="P29" s="609" t="str">
        <f>N29&amp;"x"&amp;O29</f>
        <v>3x4</v>
      </c>
      <c r="Q29" s="608" t="e">
        <f ca="1">R28</f>
        <v>#NAME?</v>
      </c>
      <c r="R29" s="608" t="e">
        <f ca="1">_xll.qlInterestRateIndexMaturity(iborindex1M,Q29,Trigger)</f>
        <v>#NAME?</v>
      </c>
      <c r="S29" s="570" t="e">
        <f ca="1">_xll.qlDayCounterYearFraction(DayCounter,Q29,R29,,,Trigger)</f>
        <v>#NAME?</v>
      </c>
      <c r="T29" s="567" t="e">
        <f ca="1">_xll.qlIndexFixing(iborindex1M,_xll.qlInterestRateIndexFixingDate(iborindex1M,Q29,Trigger),TRUE,AllTriggers)</f>
        <v>#NAME?</v>
      </c>
      <c r="U29" s="567" t="e">
        <f ca="1">(V29/W29-1)/S29</f>
        <v>#NAME?</v>
      </c>
      <c r="V29" s="569" t="e">
        <f ca="1">_xll.qlYieldTSDiscount(Discounting,Q29,,AllTriggers)</f>
        <v>#NAME?</v>
      </c>
      <c r="W29" s="569" t="e">
        <f ca="1">_xll.qlYieldTSDiscount(Discounting,R29,,AllTriggers)</f>
        <v>#NAME?</v>
      </c>
      <c r="X29" s="607" t="e">
        <f ca="1">LN((1+T29*S29)/(1+U29*S29))</f>
        <v>#NAME?</v>
      </c>
      <c r="Y29" s="567" t="e">
        <f ca="1">T29-U29</f>
        <v>#NAME?</v>
      </c>
    </row>
    <row r="31" spans="10:25" x14ac:dyDescent="0.2">
      <c r="J31" s="606"/>
      <c r="K31" s="606"/>
    </row>
    <row r="33" spans="10:11" x14ac:dyDescent="0.2">
      <c r="J33" s="606"/>
      <c r="K33" s="606"/>
    </row>
    <row r="35" spans="10:11" x14ac:dyDescent="0.2">
      <c r="J35" s="606"/>
      <c r="K35" s="606"/>
    </row>
    <row r="37" spans="10:11" x14ac:dyDescent="0.2">
      <c r="J37" s="606"/>
      <c r="K37" s="606"/>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customWidth="1"/>
    <col min="3" max="3" width="2.7109375" style="555" customWidth="1"/>
    <col min="4" max="4" width="26.42578125" style="555" customWidth="1"/>
    <col min="5" max="6" width="17.28515625" style="555" bestFit="1" customWidth="1"/>
    <col min="7" max="7" width="7" style="555" bestFit="1" customWidth="1"/>
    <col min="8" max="8" width="10" style="555" bestFit="1"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customWidth="1"/>
    <col min="15" max="15" width="6" style="555" bestFit="1" customWidth="1"/>
    <col min="16" max="16" width="8" style="555" customWidth="1"/>
    <col min="17" max="17" width="9.7109375" style="555" customWidth="1"/>
    <col min="18" max="18" width="17.28515625" style="555" bestFit="1" customWidth="1"/>
    <col min="19" max="19" width="8" style="555" bestFit="1" customWidth="1"/>
    <col min="20" max="20" width="15.28515625" style="555" bestFit="1" customWidth="1"/>
    <col min="21" max="22" width="13.140625" style="555" bestFit="1" customWidth="1"/>
    <col min="23" max="23" width="9.140625" style="555"/>
    <col min="24" max="24" width="12.140625" style="555" bestFit="1" customWidth="1"/>
    <col min="25" max="25" width="13.140625" style="555" bestFit="1" customWidth="1"/>
    <col min="26" max="16384" width="9.140625" style="555"/>
  </cols>
  <sheetData>
    <row r="1" spans="1:25" hidden="1" outlineLevel="1" x14ac:dyDescent="0.2">
      <c r="E1" s="595" t="s">
        <v>319</v>
      </c>
      <c r="F1" s="594" t="s">
        <v>127</v>
      </c>
      <c r="N1" s="602" t="e">
        <f ca="1">_xll.qlInterpolation(,interpolator3M,_xll.ohFilter(E3:E24,M3:M24),_xll.ohFilter(L3:L24,M3:M24))</f>
        <v>#NAME?</v>
      </c>
    </row>
    <row r="2" spans="1:25" ht="26.25" customHeight="1" collapsed="1" thickBot="1" x14ac:dyDescent="0.25">
      <c r="D2" s="593" t="str">
        <f>F1&amp;" Instruments"</f>
        <v>3M Instruments</v>
      </c>
      <c r="E2" s="593" t="s">
        <v>310</v>
      </c>
      <c r="F2" s="593" t="s">
        <v>317</v>
      </c>
      <c r="G2" s="593" t="s">
        <v>275</v>
      </c>
      <c r="H2" s="593" t="str">
        <f>F1&amp;" Market quote"</f>
        <v>3M Market quote</v>
      </c>
      <c r="I2" s="593" t="s">
        <v>316</v>
      </c>
      <c r="J2" s="593" t="s">
        <v>315</v>
      </c>
      <c r="K2" s="593" t="s">
        <v>314</v>
      </c>
      <c r="L2" s="593" t="s">
        <v>313</v>
      </c>
      <c r="M2" s="593" t="s">
        <v>274</v>
      </c>
      <c r="N2" s="593" t="s">
        <v>309</v>
      </c>
      <c r="O2" s="593" t="s">
        <v>312</v>
      </c>
      <c r="P2" s="593" t="s">
        <v>311</v>
      </c>
      <c r="R2" s="593" t="s">
        <v>310</v>
      </c>
      <c r="S2" s="593" t="s">
        <v>309</v>
      </c>
    </row>
    <row r="3" spans="1:25" ht="11.25" customHeight="1" x14ac:dyDescent="0.25">
      <c r="D3" s="591" t="str">
        <f>PROPER(Currency&amp;IborType)&amp;F1&amp;"LastFixing"&amp;QuoteSuffix</f>
        <v>Euribor3MLastFixing_Quote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4" ca="1" si="0">(I3/J3-1)/G3</f>
        <v>#NAME?</v>
      </c>
      <c r="L3" s="587" t="e">
        <f t="shared" ref="L3:L24" ca="1" si="1">H3-K3</f>
        <v>#NAME?</v>
      </c>
      <c r="M3" s="586" t="b">
        <v>0</v>
      </c>
      <c r="N3" s="585" t="e">
        <f ca="1">_xll.qlInterpolationInterpolate(B3Minterpolation,E3,TRUE,Trigger)</f>
        <v>#NAME?</v>
      </c>
      <c r="O3" s="584" t="e">
        <f t="shared" ref="O3:O24" ca="1" si="2">(L3-N3)*10000</f>
        <v>#NAME?</v>
      </c>
      <c r="P3" s="601" t="e">
        <f t="shared" ref="P3:P24" ca="1" si="3">LN((1+H3*G3)/(1+K3*G3))</f>
        <v>#NAME?</v>
      </c>
      <c r="R3" s="582" t="e">
        <f ca="1">E3</f>
        <v>#NAME?</v>
      </c>
      <c r="S3" s="579" t="e">
        <f ca="1">_xll.qlInterpolationInterpolate(B3Minterpolation,R3,TRUE)</f>
        <v>#NAME?</v>
      </c>
      <c r="U3" s="1360" t="s">
        <v>529</v>
      </c>
      <c r="V3" s="1363" t="e">
        <f ca="1">_xll.ohTrigger('General Settings_3'!Trigger)</f>
        <v>#NAME?</v>
      </c>
      <c r="X3" s="562"/>
      <c r="Y3" s="562"/>
    </row>
    <row r="4" spans="1:25" ht="11.25" customHeight="1" thickBot="1" x14ac:dyDescent="0.3">
      <c r="A4" s="555">
        <v>1</v>
      </c>
      <c r="B4" s="555" t="s">
        <v>180</v>
      </c>
      <c r="C4" s="555">
        <f t="shared" ref="C4:C15" si="4">A4+SUBSTITUTE($F$1,"M","")</f>
        <v>4</v>
      </c>
      <c r="D4" s="578" t="str">
        <f t="shared" ref="D4:D15" si="5">Currency&amp;A4&amp;B4&amp;C4&amp;"F"&amp;QuoteSuffix</f>
        <v>EUR1x4F_Quote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76" t="e">
        <f ca="1">_xll.qlYieldTSDiscount(Discounting,E4,,AllTriggers)</f>
        <v>#NAME?</v>
      </c>
      <c r="J4" s="576" t="e">
        <f ca="1">_xll.qlYieldTSDiscount(Discounting,F4,,AllTriggers)</f>
        <v>#NAME?</v>
      </c>
      <c r="K4" s="574" t="e">
        <f t="shared" ca="1" si="0"/>
        <v>#NAME?</v>
      </c>
      <c r="L4" s="574" t="e">
        <f t="shared" ca="1" si="1"/>
        <v>#NAME?</v>
      </c>
      <c r="M4" s="575" t="b">
        <v>1</v>
      </c>
      <c r="N4" s="574" t="e">
        <f ca="1">_xll.qlInterpolationInterpolate(B3Minterpolation,E4,TRUE,Trigger)</f>
        <v>#NAME?</v>
      </c>
      <c r="O4" s="573" t="e">
        <f t="shared" ca="1" si="2"/>
        <v>#NAME?</v>
      </c>
      <c r="P4" s="560" t="e">
        <f t="shared" ca="1" si="3"/>
        <v>#NAME?</v>
      </c>
      <c r="R4" s="561" t="e">
        <f ca="1">_xll.qlCalendarAdvance(Calendar,R3,"1D","f")</f>
        <v>#NAME?</v>
      </c>
      <c r="S4" s="574" t="e">
        <f ca="1">_xll.qlInterpolationInterpolate(B3Minterpolation,R4,TRUE)</f>
        <v>#NAME?</v>
      </c>
      <c r="U4" s="1361" t="s">
        <v>530</v>
      </c>
      <c r="V4" s="1364" t="e">
        <f ca="1">_xll.ohTrigger(S3:S261)</f>
        <v>#NAME?</v>
      </c>
      <c r="X4" s="562"/>
      <c r="Y4" s="562"/>
    </row>
    <row r="5" spans="1:25" ht="11.25" customHeight="1" x14ac:dyDescent="0.2">
      <c r="A5" s="555">
        <v>2</v>
      </c>
      <c r="B5" s="555" t="s">
        <v>180</v>
      </c>
      <c r="C5" s="555">
        <f t="shared" si="4"/>
        <v>5</v>
      </c>
      <c r="D5" s="578" t="str">
        <f t="shared" si="5"/>
        <v>EUR2x5F_Quote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_xll.qlInterpolationInterpolate(B3Minterpolation,E5,TRUE,Trigger)</f>
        <v>#NAME?</v>
      </c>
      <c r="O5" s="573" t="e">
        <f t="shared" ca="1" si="2"/>
        <v>#NAME?</v>
      </c>
      <c r="P5" s="560" t="e">
        <f t="shared" ca="1" si="3"/>
        <v>#NAME?</v>
      </c>
      <c r="R5" s="561" t="e">
        <f ca="1">_xll.qlCalendarAdvance(Calendar,R4,"1D","f")</f>
        <v>#NAME?</v>
      </c>
      <c r="S5" s="574" t="e">
        <f ca="1">_xll.qlInterpolationInterpolate(B3Minterpolation,R5,TRUE)</f>
        <v>#NAME?</v>
      </c>
      <c r="X5" s="562"/>
      <c r="Y5" s="562"/>
    </row>
    <row r="6" spans="1:25" ht="11.25" customHeight="1" x14ac:dyDescent="0.2">
      <c r="A6" s="555">
        <v>3</v>
      </c>
      <c r="B6" s="555" t="s">
        <v>180</v>
      </c>
      <c r="C6" s="555">
        <f t="shared" si="4"/>
        <v>6</v>
      </c>
      <c r="D6" s="578" t="str">
        <f t="shared" si="5"/>
        <v>EUR3x6F_Quote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_xll.qlInterpolationInterpolate(B3Minterpolation,E6,TRUE,Trigger)</f>
        <v>#NAME?</v>
      </c>
      <c r="O6" s="573" t="e">
        <f t="shared" ca="1" si="2"/>
        <v>#NAME?</v>
      </c>
      <c r="P6" s="560" t="e">
        <f t="shared" ca="1" si="3"/>
        <v>#NAME?</v>
      </c>
      <c r="R6" s="561" t="e">
        <f ca="1">_xll.qlCalendarAdvance(Calendar,R5,"1D","f")</f>
        <v>#NAME?</v>
      </c>
      <c r="S6" s="574" t="e">
        <f ca="1">_xll.qlInterpolationInterpolate(B3Minterpolation,R6,TRUE)</f>
        <v>#NAME?</v>
      </c>
      <c r="X6" s="562"/>
      <c r="Y6" s="562"/>
    </row>
    <row r="7" spans="1:25" ht="11.25" customHeight="1" x14ac:dyDescent="0.2">
      <c r="A7" s="555">
        <v>4</v>
      </c>
      <c r="B7" s="555" t="s">
        <v>180</v>
      </c>
      <c r="C7" s="555">
        <f t="shared" si="4"/>
        <v>7</v>
      </c>
      <c r="D7" s="578" t="str">
        <f t="shared" si="5"/>
        <v>EUR4x7F_Quote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_xll.qlInterpolationInterpolate(B3Minterpolation,E7,TRUE,Trigger)</f>
        <v>#NAME?</v>
      </c>
      <c r="O7" s="573" t="e">
        <f t="shared" ca="1" si="2"/>
        <v>#NAME?</v>
      </c>
      <c r="P7" s="560" t="e">
        <f t="shared" ca="1" si="3"/>
        <v>#NAME?</v>
      </c>
      <c r="R7" s="561" t="e">
        <f ca="1">_xll.qlCalendarAdvance(Calendar,R6,"1D","f")</f>
        <v>#NAME?</v>
      </c>
      <c r="S7" s="574" t="e">
        <f ca="1">_xll.qlInterpolationInterpolate(B3Minterpolation,R7,TRUE)</f>
        <v>#NAME?</v>
      </c>
      <c r="X7" s="562"/>
      <c r="Y7" s="562"/>
    </row>
    <row r="8" spans="1:25" ht="11.25" customHeight="1" x14ac:dyDescent="0.2">
      <c r="A8" s="555">
        <v>5</v>
      </c>
      <c r="B8" s="555" t="s">
        <v>180</v>
      </c>
      <c r="C8" s="555">
        <f t="shared" si="4"/>
        <v>8</v>
      </c>
      <c r="D8" s="578" t="str">
        <f t="shared" si="5"/>
        <v>EUR5x8F_Quote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_xll.qlInterpolationInterpolate(B3Minterpolation,E8,TRUE,Trigger)</f>
        <v>#NAME?</v>
      </c>
      <c r="O8" s="573" t="e">
        <f t="shared" ca="1" si="2"/>
        <v>#NAME?</v>
      </c>
      <c r="P8" s="560" t="e">
        <f t="shared" ca="1" si="3"/>
        <v>#NAME?</v>
      </c>
      <c r="R8" s="561" t="e">
        <f ca="1">_xll.qlCalendarAdvance(Calendar,R7,"1D","f")</f>
        <v>#NAME?</v>
      </c>
      <c r="S8" s="574" t="e">
        <f ca="1">_xll.qlInterpolationInterpolate(B3Minterpolation,R8,TRUE)</f>
        <v>#NAME?</v>
      </c>
      <c r="X8" s="562"/>
      <c r="Y8" s="562"/>
    </row>
    <row r="9" spans="1:25" ht="11.25" customHeight="1" x14ac:dyDescent="0.2">
      <c r="A9" s="555">
        <v>6</v>
      </c>
      <c r="B9" s="555" t="s">
        <v>180</v>
      </c>
      <c r="C9" s="555">
        <f t="shared" si="4"/>
        <v>9</v>
      </c>
      <c r="D9" s="578" t="str">
        <f t="shared" si="5"/>
        <v>EUR6x9F_Quote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_xll.qlInterpolationInterpolate(B3Minterpolation,E9,TRUE,Trigger)</f>
        <v>#NAME?</v>
      </c>
      <c r="O9" s="573" t="e">
        <f t="shared" ca="1" si="2"/>
        <v>#NAME?</v>
      </c>
      <c r="P9" s="560" t="e">
        <f t="shared" ca="1" si="3"/>
        <v>#NAME?</v>
      </c>
      <c r="R9" s="561" t="e">
        <f ca="1">_xll.qlCalendarAdvance(Calendar,R8,"1D","f")</f>
        <v>#NAME?</v>
      </c>
      <c r="S9" s="574" t="e">
        <f ca="1">_xll.qlInterpolationInterpolate(B3Minterpolation,R9,TRUE)</f>
        <v>#NAME?</v>
      </c>
      <c r="X9" s="562"/>
      <c r="Y9" s="562"/>
    </row>
    <row r="10" spans="1:25" ht="11.25" customHeight="1" x14ac:dyDescent="0.2">
      <c r="A10" s="555">
        <v>7</v>
      </c>
      <c r="B10" s="555" t="s">
        <v>180</v>
      </c>
      <c r="C10" s="555">
        <f t="shared" si="4"/>
        <v>10</v>
      </c>
      <c r="D10" s="578" t="str">
        <f t="shared" si="5"/>
        <v>EUR7x10F_Quote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_xll.qlInterpolationInterpolate(B3Minterpolation,E10,TRUE,Trigger)</f>
        <v>#NAME?</v>
      </c>
      <c r="O10" s="573" t="e">
        <f t="shared" ca="1" si="2"/>
        <v>#NAME?</v>
      </c>
      <c r="P10" s="560" t="e">
        <f t="shared" ca="1" si="3"/>
        <v>#NAME?</v>
      </c>
      <c r="R10" s="561" t="e">
        <f ca="1">_xll.qlCalendarAdvance(Calendar,R9,"1D","f")</f>
        <v>#NAME?</v>
      </c>
      <c r="S10" s="574" t="e">
        <f ca="1">_xll.qlInterpolationInterpolate(B3Minterpolation,R10,TRUE)</f>
        <v>#NAME?</v>
      </c>
      <c r="X10" s="562"/>
      <c r="Y10" s="562"/>
    </row>
    <row r="11" spans="1:25" ht="11.25" customHeight="1" x14ac:dyDescent="0.2">
      <c r="A11" s="555">
        <v>8</v>
      </c>
      <c r="B11" s="555" t="s">
        <v>180</v>
      </c>
      <c r="C11" s="555">
        <f t="shared" si="4"/>
        <v>11</v>
      </c>
      <c r="D11" s="578" t="str">
        <f t="shared" si="5"/>
        <v>EUR8x11F_Quote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_xll.qlInterpolationInterpolate(B3Minterpolation,E11,TRUE,Trigger)</f>
        <v>#NAME?</v>
      </c>
      <c r="O11" s="573" t="e">
        <f t="shared" ca="1" si="2"/>
        <v>#NAME?</v>
      </c>
      <c r="P11" s="560" t="e">
        <f t="shared" ca="1" si="3"/>
        <v>#NAME?</v>
      </c>
      <c r="R11" s="561" t="e">
        <f ca="1">_xll.qlCalendarAdvance(Calendar,R10,"1D","f")</f>
        <v>#NAME?</v>
      </c>
      <c r="S11" s="574" t="e">
        <f ca="1">_xll.qlInterpolationInterpolate(B3Minterpolation,R11,TRUE)</f>
        <v>#NAME?</v>
      </c>
      <c r="X11" s="562"/>
      <c r="Y11" s="562"/>
    </row>
    <row r="12" spans="1:25" ht="11.25" customHeight="1" x14ac:dyDescent="0.2">
      <c r="A12" s="555">
        <v>9</v>
      </c>
      <c r="B12" s="555" t="s">
        <v>180</v>
      </c>
      <c r="C12" s="555">
        <f t="shared" si="4"/>
        <v>12</v>
      </c>
      <c r="D12" s="578" t="str">
        <f t="shared" si="5"/>
        <v>EUR9x12F_Quote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_xll.qlInterpolationInterpolate(B3Minterpolation,E12,TRUE,Trigger)</f>
        <v>#NAME?</v>
      </c>
      <c r="O12" s="573" t="e">
        <f t="shared" ca="1" si="2"/>
        <v>#NAME?</v>
      </c>
      <c r="P12" s="560" t="e">
        <f t="shared" ca="1" si="3"/>
        <v>#NAME?</v>
      </c>
      <c r="R12" s="561" t="e">
        <f ca="1">_xll.qlCalendarAdvance(Calendar,R11,"1D","f")</f>
        <v>#NAME?</v>
      </c>
      <c r="S12" s="574" t="e">
        <f ca="1">_xll.qlInterpolationInterpolate(B3Minterpolation,R12,TRUE)</f>
        <v>#NAME?</v>
      </c>
      <c r="X12" s="562"/>
      <c r="Y12" s="562"/>
    </row>
    <row r="13" spans="1:25" ht="11.25" customHeight="1" x14ac:dyDescent="0.2">
      <c r="A13" s="555">
        <v>10</v>
      </c>
      <c r="B13" s="555" t="s">
        <v>180</v>
      </c>
      <c r="C13" s="555">
        <f t="shared" si="4"/>
        <v>13</v>
      </c>
      <c r="D13" s="578" t="str">
        <f t="shared" si="5"/>
        <v>EUR10x13F_Quote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1</v>
      </c>
      <c r="N13" s="574" t="e">
        <f ca="1">_xll.qlInterpolationInterpolate(B3Minterpolation,E13,TRUE,Trigger)</f>
        <v>#NAME?</v>
      </c>
      <c r="O13" s="573" t="e">
        <f t="shared" ca="1" si="2"/>
        <v>#NAME?</v>
      </c>
      <c r="P13" s="560" t="e">
        <f t="shared" ca="1" si="3"/>
        <v>#NAME?</v>
      </c>
      <c r="R13" s="561" t="e">
        <f ca="1">_xll.qlCalendarAdvance(Calendar,R12,"1D","f")</f>
        <v>#NAME?</v>
      </c>
      <c r="S13" s="574" t="e">
        <f ca="1">_xll.qlInterpolationInterpolate(B3Minterpolation,R13,TRUE)</f>
        <v>#NAME?</v>
      </c>
      <c r="X13" s="562"/>
      <c r="Y13" s="562"/>
    </row>
    <row r="14" spans="1:25" ht="11.25" customHeight="1" x14ac:dyDescent="0.2">
      <c r="A14" s="555">
        <v>11</v>
      </c>
      <c r="B14" s="555" t="s">
        <v>180</v>
      </c>
      <c r="C14" s="555">
        <f t="shared" si="4"/>
        <v>14</v>
      </c>
      <c r="D14" s="578" t="str">
        <f t="shared" si="5"/>
        <v>EUR11x14F_Quote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1</v>
      </c>
      <c r="N14" s="574" t="e">
        <f ca="1">_xll.qlInterpolationInterpolate(B3Minterpolation,E14,TRUE,Trigger)</f>
        <v>#NAME?</v>
      </c>
      <c r="O14" s="573" t="e">
        <f t="shared" ca="1" si="2"/>
        <v>#NAME?</v>
      </c>
      <c r="P14" s="560" t="e">
        <f t="shared" ca="1" si="3"/>
        <v>#NAME?</v>
      </c>
      <c r="R14" s="561" t="e">
        <f ca="1">_xll.qlCalendarAdvance(Calendar,R13,"1D","f")</f>
        <v>#NAME?</v>
      </c>
      <c r="S14" s="574" t="e">
        <f ca="1">_xll.qlInterpolationInterpolate(B3Minterpolation,R14,TRUE)</f>
        <v>#NAME?</v>
      </c>
      <c r="X14" s="562"/>
      <c r="Y14" s="562"/>
    </row>
    <row r="15" spans="1:25" ht="11.25" customHeight="1" x14ac:dyDescent="0.2">
      <c r="A15" s="555">
        <v>12</v>
      </c>
      <c r="B15" s="555" t="s">
        <v>180</v>
      </c>
      <c r="C15" s="555">
        <f t="shared" si="4"/>
        <v>15</v>
      </c>
      <c r="D15" s="578" t="str">
        <f t="shared" si="5"/>
        <v>EUR12x15F_Quote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_xll.qlInterpolationInterpolate(B3Minterpolation,E15,TRUE,Trigger)</f>
        <v>#NAME?</v>
      </c>
      <c r="O15" s="573" t="e">
        <f t="shared" ca="1" si="2"/>
        <v>#NAME?</v>
      </c>
      <c r="P15" s="560" t="e">
        <f t="shared" ca="1" si="3"/>
        <v>#NAME?</v>
      </c>
      <c r="R15" s="561" t="e">
        <f ca="1">_xll.qlCalendarAdvance(Calendar,R14,"1D","f")</f>
        <v>#NAME?</v>
      </c>
      <c r="S15" s="574" t="e">
        <f ca="1">_xll.qlInterpolationInterpolate(B3Minterpolation,R15,TRUE)</f>
        <v>#NAME?</v>
      </c>
      <c r="X15" s="562"/>
      <c r="Y15" s="562"/>
    </row>
    <row r="16" spans="1:25" ht="11.25" customHeight="1" x14ac:dyDescent="0.2">
      <c r="C16" s="555" t="e">
        <f ca="1">_xll.qlIMMNextCode(SettlementDate,FALSE)</f>
        <v>#NAME?</v>
      </c>
      <c r="D16" s="600" t="e">
        <f t="shared" ref="D16:D24" ca="1" si="6">Currency&amp;"FUT"&amp;"3M"&amp;C16&amp;QuoteSuffix</f>
        <v>#NAME?</v>
      </c>
      <c r="E16" s="582" t="e">
        <f ca="1">_xll.qlIMMdate(C16,$E$3,Trigger)</f>
        <v>#NAME?</v>
      </c>
      <c r="F16" s="582" t="e">
        <f ca="1">_xll.qlCalendarAdvance(Calendar,E16,$F$1,"mf",,Trigger)</f>
        <v>#NAME?</v>
      </c>
      <c r="G16" s="599" t="e">
        <f ca="1">_xll.qlDayCounterYearFraction(DayCounter,E16,F16,,,Trigger)</f>
        <v>#NAME?</v>
      </c>
      <c r="H16" s="579" t="e">
        <f ca="1">1-_xll.qlQuoteValue(D16,AllTriggers)/100-_xll.qlQuoteValue(Currency&amp;"FUT"&amp;"3M"&amp;C16&amp;"ConvAdj_Quote")</f>
        <v>#NAME?</v>
      </c>
      <c r="I16" s="580" t="e">
        <f ca="1">_xll.qlYieldTSDiscount(Discounting,E16,,AllTriggers)</f>
        <v>#NAME?</v>
      </c>
      <c r="J16" s="580" t="e">
        <f ca="1">_xll.qlYieldTSDiscount(Discounting,F16,,AllTriggers)</f>
        <v>#NAME?</v>
      </c>
      <c r="K16" s="579" t="e">
        <f t="shared" ca="1" si="0"/>
        <v>#NAME?</v>
      </c>
      <c r="L16" s="579" t="e">
        <f t="shared" ca="1" si="1"/>
        <v>#NAME?</v>
      </c>
      <c r="M16" s="598" t="b">
        <v>0</v>
      </c>
      <c r="N16" s="579" t="e">
        <f ca="1">_xll.qlInterpolationInterpolate(B3Minterpolation,E16,TRUE,Trigger)</f>
        <v>#NAME?</v>
      </c>
      <c r="O16" s="597" t="e">
        <f t="shared" ca="1" si="2"/>
        <v>#NAME?</v>
      </c>
      <c r="P16" s="581" t="e">
        <f t="shared" ca="1" si="3"/>
        <v>#NAME?</v>
      </c>
      <c r="R16" s="561" t="e">
        <f ca="1">_xll.qlCalendarAdvance(Calendar,R15,"1D","f")</f>
        <v>#NAME?</v>
      </c>
      <c r="S16" s="574" t="e">
        <f ca="1">_xll.qlInterpolationInterpolate(B3Minterpolation,R16,TRUE)</f>
        <v>#NAME?</v>
      </c>
      <c r="X16" s="562"/>
      <c r="Y16" s="562"/>
    </row>
    <row r="17" spans="3:25" ht="11.25" customHeight="1" x14ac:dyDescent="0.2">
      <c r="C17" s="555" t="e">
        <f ca="1">_xll.qlIMMNextCode($E$16,TRUE)</f>
        <v>#NAME?</v>
      </c>
      <c r="D17" s="578" t="e">
        <f t="shared" ca="1" si="6"/>
        <v>#NAME?</v>
      </c>
      <c r="E17" s="561" t="e">
        <f ca="1">_xll.qlIMMdate(C17,$E$3,Trigger)</f>
        <v>#NAME?</v>
      </c>
      <c r="F17" s="561" t="e">
        <f ca="1">_xll.qlCalendarAdvance(Calendar,E17,$F$1,"mf",,Trigger)</f>
        <v>#NAME?</v>
      </c>
      <c r="G17" s="577" t="e">
        <f ca="1">_xll.qlDayCounterYearFraction(DayCounter,E17,F17,,,Trigger)</f>
        <v>#NAME?</v>
      </c>
      <c r="H17" s="574" t="e">
        <f ca="1">1-_xll.qlQuoteValue(D17,AllTriggers)/100-_xll.qlQuoteValue(Currency&amp;"FUT"&amp;"3M"&amp;C17&amp;"ConvAdj_Quote")</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_xll.qlInterpolationInterpolate(B3Minterpolation,E17,TRUE,Trigger)</f>
        <v>#NAME?</v>
      </c>
      <c r="O17" s="573" t="e">
        <f t="shared" ca="1" si="2"/>
        <v>#NAME?</v>
      </c>
      <c r="P17" s="560" t="e">
        <f t="shared" ca="1" si="3"/>
        <v>#NAME?</v>
      </c>
      <c r="R17" s="561" t="e">
        <f ca="1">_xll.qlCalendarAdvance(Calendar,R16,"1D","f")</f>
        <v>#NAME?</v>
      </c>
      <c r="S17" s="574" t="e">
        <f ca="1">_xll.qlInterpolationInterpolate(B3Minterpolation,R17,TRUE)</f>
        <v>#NAME?</v>
      </c>
      <c r="X17" s="562"/>
      <c r="Y17" s="562"/>
    </row>
    <row r="18" spans="3:25" ht="11.25" customHeight="1" x14ac:dyDescent="0.2">
      <c r="C18" s="555" t="e">
        <f ca="1">_xll.qlIMMNextCode($E17,TRUE)</f>
        <v>#NAME?</v>
      </c>
      <c r="D18" s="578" t="e">
        <f t="shared" ca="1" si="6"/>
        <v>#NAME?</v>
      </c>
      <c r="E18" s="561" t="e">
        <f ca="1">_xll.qlIMMdate(C18,$E$3,Trigger)</f>
        <v>#NAME?</v>
      </c>
      <c r="F18" s="561" t="e">
        <f ca="1">_xll.qlCalendarAdvance(Calendar,E18,$F$1,"mf",,Trigger)</f>
        <v>#NAME?</v>
      </c>
      <c r="G18" s="577" t="e">
        <f ca="1">_xll.qlDayCounterYearFraction(DayCounter,E18,F18,,,Trigger)</f>
        <v>#NAME?</v>
      </c>
      <c r="H18" s="574" t="e">
        <f ca="1">1-_xll.qlQuoteValue(D18,AllTriggers)/100-_xll.qlQuoteValue(Currency&amp;"FUT"&amp;"3M"&amp;C18&amp;"ConvAdj_Quote")</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_xll.qlInterpolationInterpolate(B3Minterpolation,E18,TRUE,Trigger)</f>
        <v>#NAME?</v>
      </c>
      <c r="O18" s="573" t="e">
        <f t="shared" ca="1" si="2"/>
        <v>#NAME?</v>
      </c>
      <c r="P18" s="560" t="e">
        <f t="shared" ca="1" si="3"/>
        <v>#NAME?</v>
      </c>
      <c r="R18" s="561" t="e">
        <f ca="1">_xll.qlCalendarAdvance(Calendar,R17,"1D","f")</f>
        <v>#NAME?</v>
      </c>
      <c r="S18" s="574" t="e">
        <f ca="1">_xll.qlInterpolationInterpolate(B3Minterpolation,R18,TRUE)</f>
        <v>#NAME?</v>
      </c>
      <c r="X18" s="562"/>
      <c r="Y18" s="562"/>
    </row>
    <row r="19" spans="3:25" ht="11.25" customHeight="1" x14ac:dyDescent="0.2">
      <c r="C19" s="555" t="e">
        <f ca="1">_xll.qlIMMNextCode($E18,TRUE)</f>
        <v>#NAME?</v>
      </c>
      <c r="D19" s="578" t="e">
        <f t="shared" ca="1" si="6"/>
        <v>#NAME?</v>
      </c>
      <c r="E19" s="561" t="e">
        <f ca="1">_xll.qlIMMdate(C19,$E$3,Trigger)</f>
        <v>#NAME?</v>
      </c>
      <c r="F19" s="561" t="e">
        <f ca="1">_xll.qlCalendarAdvance(Calendar,E19,$F$1,"mf",,Trigger)</f>
        <v>#NAME?</v>
      </c>
      <c r="G19" s="577" t="e">
        <f ca="1">_xll.qlDayCounterYearFraction(DayCounter,E19,F19,,,Trigger)</f>
        <v>#NAME?</v>
      </c>
      <c r="H19" s="574" t="e">
        <f ca="1">1-_xll.qlQuoteValue(D19,AllTriggers)/100-_xll.qlQuoteValue(Currency&amp;"FUT"&amp;"3M"&amp;C19&amp;"ConvAdj_Quote")</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_xll.qlInterpolationInterpolate(B3Minterpolation,E19,TRUE,Trigger)</f>
        <v>#NAME?</v>
      </c>
      <c r="O19" s="573" t="e">
        <f t="shared" ca="1" si="2"/>
        <v>#NAME?</v>
      </c>
      <c r="P19" s="560" t="e">
        <f t="shared" ca="1" si="3"/>
        <v>#NAME?</v>
      </c>
      <c r="R19" s="561" t="e">
        <f ca="1">_xll.qlCalendarAdvance(Calendar,R18,"1D","f")</f>
        <v>#NAME?</v>
      </c>
      <c r="S19" s="574" t="e">
        <f ca="1">_xll.qlInterpolationInterpolate(B3Minterpolation,R19,TRUE)</f>
        <v>#NAME?</v>
      </c>
      <c r="X19" s="562"/>
      <c r="Y19" s="562"/>
    </row>
    <row r="20" spans="3:25" ht="11.25" customHeight="1" x14ac:dyDescent="0.2">
      <c r="C20" s="555" t="e">
        <f ca="1">_xll.qlIMMNextCode($E19,TRUE)</f>
        <v>#NAME?</v>
      </c>
      <c r="D20" s="578" t="e">
        <f t="shared" ca="1" si="6"/>
        <v>#NAME?</v>
      </c>
      <c r="E20" s="561" t="e">
        <f ca="1">_xll.qlIMMdate(C20,$E$3,Trigger)</f>
        <v>#NAME?</v>
      </c>
      <c r="F20" s="561" t="e">
        <f ca="1">_xll.qlCalendarAdvance(Calendar,E20,$F$1,"mf",,Trigger)</f>
        <v>#NAME?</v>
      </c>
      <c r="G20" s="577" t="e">
        <f ca="1">_xll.qlDayCounterYearFraction(DayCounter,E20,F20,,,Trigger)</f>
        <v>#NAME?</v>
      </c>
      <c r="H20" s="574" t="e">
        <f ca="1">1-_xll.qlQuoteValue(D20,AllTriggers)/100-_xll.qlQuoteValue(Currency&amp;"FUT"&amp;"3M"&amp;C20&amp;"ConvAdj_Quote")</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_xll.qlInterpolationInterpolate(B3Minterpolation,E20,TRUE,Trigger)</f>
        <v>#NAME?</v>
      </c>
      <c r="O20" s="573" t="e">
        <f t="shared" ca="1" si="2"/>
        <v>#NAME?</v>
      </c>
      <c r="P20" s="560" t="e">
        <f t="shared" ca="1" si="3"/>
        <v>#NAME?</v>
      </c>
      <c r="R20" s="561" t="e">
        <f ca="1">_xll.qlCalendarAdvance(Calendar,R19,"1D","f")</f>
        <v>#NAME?</v>
      </c>
      <c r="S20" s="574" t="e">
        <f ca="1">_xll.qlInterpolationInterpolate(B3Minterpolation,R20,TRUE)</f>
        <v>#NAME?</v>
      </c>
      <c r="X20" s="562"/>
      <c r="Y20" s="562"/>
    </row>
    <row r="21" spans="3:25" ht="11.25" customHeight="1" x14ac:dyDescent="0.2">
      <c r="C21" s="555" t="e">
        <f ca="1">_xll.qlIMMNextCode($E20,TRUE)</f>
        <v>#NAME?</v>
      </c>
      <c r="D21" s="578" t="e">
        <f t="shared" ca="1" si="6"/>
        <v>#NAME?</v>
      </c>
      <c r="E21" s="561" t="e">
        <f ca="1">_xll.qlIMMdate(C21,$E$3,Trigger)</f>
        <v>#NAME?</v>
      </c>
      <c r="F21" s="561" t="e">
        <f ca="1">_xll.qlCalendarAdvance(Calendar,E21,$F$1,"mf",,Trigger)</f>
        <v>#NAME?</v>
      </c>
      <c r="G21" s="577" t="e">
        <f ca="1">_xll.qlDayCounterYearFraction(DayCounter,E21,F21,,,Trigger)</f>
        <v>#NAME?</v>
      </c>
      <c r="H21" s="574" t="e">
        <f ca="1">1-_xll.qlQuoteValue(D21,AllTriggers)/100-_xll.qlQuoteValue(Currency&amp;"FUT"&amp;"3M"&amp;C21&amp;"ConvAdj_Quote")</f>
        <v>#NAME?</v>
      </c>
      <c r="I21" s="576" t="e">
        <f ca="1">_xll.qlYieldTSDiscount(Discounting,E21,,AllTriggers)</f>
        <v>#NAME?</v>
      </c>
      <c r="J21" s="576" t="e">
        <f ca="1">_xll.qlYieldTSDiscount(Discounting,F21,,AllTriggers)</f>
        <v>#NAME?</v>
      </c>
      <c r="K21" s="574" t="e">
        <f t="shared" ca="1" si="0"/>
        <v>#NAME?</v>
      </c>
      <c r="L21" s="574" t="e">
        <f t="shared" ca="1" si="1"/>
        <v>#NAME?</v>
      </c>
      <c r="M21" s="575" t="b">
        <v>1</v>
      </c>
      <c r="N21" s="574" t="e">
        <f ca="1">_xll.qlInterpolationInterpolate(B3Minterpolation,E21,TRUE,Trigger)</f>
        <v>#NAME?</v>
      </c>
      <c r="O21" s="573" t="e">
        <f t="shared" ca="1" si="2"/>
        <v>#NAME?</v>
      </c>
      <c r="P21" s="560" t="e">
        <f t="shared" ca="1" si="3"/>
        <v>#NAME?</v>
      </c>
      <c r="R21" s="561" t="e">
        <f ca="1">_xll.qlCalendarAdvance(Calendar,R20,"1D","f")</f>
        <v>#NAME?</v>
      </c>
      <c r="S21" s="574" t="e">
        <f ca="1">_xll.qlInterpolationInterpolate(B3Minterpolation,R21,TRUE)</f>
        <v>#NAME?</v>
      </c>
      <c r="X21" s="562"/>
      <c r="Y21" s="562"/>
    </row>
    <row r="22" spans="3:25" ht="11.25" customHeight="1" x14ac:dyDescent="0.2">
      <c r="C22" s="555" t="e">
        <f ca="1">_xll.qlIMMNextCode($E21,TRUE)</f>
        <v>#NAME?</v>
      </c>
      <c r="D22" s="578" t="e">
        <f t="shared" ca="1" si="6"/>
        <v>#NAME?</v>
      </c>
      <c r="E22" s="561" t="e">
        <f ca="1">_xll.qlIMMdate(C22,$E$3,Trigger)</f>
        <v>#NAME?</v>
      </c>
      <c r="F22" s="561" t="e">
        <f ca="1">_xll.qlCalendarAdvance(Calendar,E22,$F$1,"mf",,Trigger)</f>
        <v>#NAME?</v>
      </c>
      <c r="G22" s="577" t="e">
        <f ca="1">_xll.qlDayCounterYearFraction(DayCounter,E22,F22,,,Trigger)</f>
        <v>#NAME?</v>
      </c>
      <c r="H22" s="574" t="e">
        <f ca="1">1-_xll.qlQuoteValue(D22,AllTriggers)/100-_xll.qlQuoteValue(Currency&amp;"FUT"&amp;"3M"&amp;C22&amp;"ConvAdj_Quote")</f>
        <v>#NAME?</v>
      </c>
      <c r="I22" s="576" t="e">
        <f ca="1">_xll.qlYieldTSDiscount(Discounting,E22,,AllTriggers)</f>
        <v>#NAME?</v>
      </c>
      <c r="J22" s="576" t="e">
        <f ca="1">_xll.qlYieldTSDiscount(Discounting,F22,,AllTriggers)</f>
        <v>#NAME?</v>
      </c>
      <c r="K22" s="574" t="e">
        <f t="shared" ca="1" si="0"/>
        <v>#NAME?</v>
      </c>
      <c r="L22" s="574" t="e">
        <f t="shared" ca="1" si="1"/>
        <v>#NAME?</v>
      </c>
      <c r="M22" s="575" t="b">
        <v>1</v>
      </c>
      <c r="N22" s="574" t="e">
        <f ca="1">_xll.qlInterpolationInterpolate(B3Minterpolation,E22,TRUE,Trigger)</f>
        <v>#NAME?</v>
      </c>
      <c r="O22" s="573" t="e">
        <f t="shared" ca="1" si="2"/>
        <v>#NAME?</v>
      </c>
      <c r="P22" s="560" t="e">
        <f t="shared" ca="1" si="3"/>
        <v>#NAME?</v>
      </c>
      <c r="R22" s="561" t="e">
        <f ca="1">_xll.qlCalendarAdvance(Calendar,R21,"1D","f")</f>
        <v>#NAME?</v>
      </c>
      <c r="S22" s="574" t="e">
        <f ca="1">_xll.qlInterpolationInterpolate(B3Minterpolation,R22,TRUE)</f>
        <v>#NAME?</v>
      </c>
      <c r="X22" s="562"/>
      <c r="Y22" s="562"/>
    </row>
    <row r="23" spans="3:25" ht="11.25" customHeight="1" x14ac:dyDescent="0.2">
      <c r="C23" s="555" t="e">
        <f ca="1">_xll.qlIMMNextCode($E22,TRUE)</f>
        <v>#NAME?</v>
      </c>
      <c r="D23" s="578" t="e">
        <f t="shared" ca="1" si="6"/>
        <v>#NAME?</v>
      </c>
      <c r="E23" s="561" t="e">
        <f ca="1">_xll.qlIMMdate(C23,$E$3,Trigger)</f>
        <v>#NAME?</v>
      </c>
      <c r="F23" s="561" t="e">
        <f ca="1">_xll.qlCalendarAdvance(Calendar,E23,$F$1,"mf",,Trigger)</f>
        <v>#NAME?</v>
      </c>
      <c r="G23" s="577" t="e">
        <f ca="1">_xll.qlDayCounterYearFraction(DayCounter,E23,F23,,,Trigger)</f>
        <v>#NAME?</v>
      </c>
      <c r="H23" s="574" t="e">
        <f ca="1">1-_xll.qlQuoteValue(D23,AllTriggers)/100-_xll.qlQuoteValue(Currency&amp;"FUT"&amp;"3M"&amp;C23&amp;"ConvAdj_Quote")</f>
        <v>#NAME?</v>
      </c>
      <c r="I23" s="576" t="e">
        <f ca="1">_xll.qlYieldTSDiscount(Discounting,E23,,AllTriggers)</f>
        <v>#NAME?</v>
      </c>
      <c r="J23" s="576" t="e">
        <f ca="1">_xll.qlYieldTSDiscount(Discounting,F23,,AllTriggers)</f>
        <v>#NAME?</v>
      </c>
      <c r="K23" s="574" t="e">
        <f t="shared" ca="1" si="0"/>
        <v>#NAME?</v>
      </c>
      <c r="L23" s="574" t="e">
        <f t="shared" ca="1" si="1"/>
        <v>#NAME?</v>
      </c>
      <c r="M23" s="575" t="b">
        <v>1</v>
      </c>
      <c r="N23" s="574" t="e">
        <f ca="1">_xll.qlInterpolationInterpolate(B3Minterpolation,E23,TRUE,Trigger)</f>
        <v>#NAME?</v>
      </c>
      <c r="O23" s="573" t="e">
        <f t="shared" ca="1" si="2"/>
        <v>#NAME?</v>
      </c>
      <c r="P23" s="560" t="e">
        <f t="shared" ca="1" si="3"/>
        <v>#NAME?</v>
      </c>
      <c r="R23" s="561" t="e">
        <f ca="1">_xll.qlCalendarAdvance(Calendar,R22,"1D","f")</f>
        <v>#NAME?</v>
      </c>
      <c r="S23" s="574" t="e">
        <f ca="1">_xll.qlInterpolationInterpolate(B3Minterpolation,R23,TRUE)</f>
        <v>#NAME?</v>
      </c>
      <c r="X23" s="562"/>
      <c r="Y23" s="562"/>
    </row>
    <row r="24" spans="3:25" ht="11.25" customHeight="1" x14ac:dyDescent="0.2">
      <c r="C24" s="555" t="e">
        <f ca="1">_xll.qlIMMNextCode($E23,TRUE)</f>
        <v>#NAME?</v>
      </c>
      <c r="D24" s="571" t="e">
        <f t="shared" ca="1" si="6"/>
        <v>#NAME?</v>
      </c>
      <c r="E24" s="559" t="e">
        <f ca="1">_xll.qlIMMdate(C24,$E$3,Trigger)</f>
        <v>#NAME?</v>
      </c>
      <c r="F24" s="559" t="e">
        <f ca="1">_xll.qlCalendarAdvance(Calendar,E24,$F$1,"mf",,Trigger)</f>
        <v>#NAME?</v>
      </c>
      <c r="G24" s="570" t="e">
        <f ca="1">_xll.qlDayCounterYearFraction(DayCounter,E24,F24,,,Trigger)</f>
        <v>#NAME?</v>
      </c>
      <c r="H24" s="567" t="e">
        <f ca="1">1-_xll.qlQuoteValue(D24,AllTriggers)/100-_xll.qlQuoteValue(Currency&amp;"FUT"&amp;"3M"&amp;C24&amp;"ConvAdj_Quote")</f>
        <v>#NAME?</v>
      </c>
      <c r="I24" s="569" t="e">
        <f ca="1">_xll.qlYieldTSDiscount(Discounting,E24,,AllTriggers)</f>
        <v>#NAME?</v>
      </c>
      <c r="J24" s="569" t="e">
        <f ca="1">_xll.qlYieldTSDiscount(Discounting,F24,,AllTriggers)</f>
        <v>#NAME?</v>
      </c>
      <c r="K24" s="567" t="e">
        <f t="shared" ca="1" si="0"/>
        <v>#NAME?</v>
      </c>
      <c r="L24" s="567" t="e">
        <f t="shared" ca="1" si="1"/>
        <v>#NAME?</v>
      </c>
      <c r="M24" s="568" t="b">
        <v>1</v>
      </c>
      <c r="N24" s="567" t="e">
        <f ca="1">_xll.qlInterpolationInterpolate(B3Minterpolation,E24,TRUE,Trigger)</f>
        <v>#NAME?</v>
      </c>
      <c r="O24" s="566" t="e">
        <f t="shared" ca="1" si="2"/>
        <v>#NAME?</v>
      </c>
      <c r="P24" s="558" t="e">
        <f t="shared" ca="1" si="3"/>
        <v>#NAME?</v>
      </c>
      <c r="R24" s="561" t="e">
        <f ca="1">_xll.qlCalendarAdvance(Calendar,R23,"1D","f")</f>
        <v>#NAME?</v>
      </c>
      <c r="S24" s="574" t="e">
        <f ca="1">_xll.qlInterpolationInterpolate(B3Minterpolation,R24,TRUE)</f>
        <v>#NAME?</v>
      </c>
      <c r="X24" s="562"/>
      <c r="Y24" s="562"/>
    </row>
    <row r="25" spans="3:25" ht="11.25" customHeight="1" x14ac:dyDescent="0.2">
      <c r="E25" s="563"/>
      <c r="F25" s="563"/>
      <c r="G25" s="562"/>
      <c r="K25" s="562"/>
      <c r="L25" s="562"/>
      <c r="R25" s="561" t="e">
        <f ca="1">_xll.qlCalendarAdvance(Calendar,R24,"1D","f")</f>
        <v>#NAME?</v>
      </c>
      <c r="S25" s="574" t="e">
        <f ca="1">_xll.qlInterpolationInterpolate(B3Minterpolation,R25,TRUE)</f>
        <v>#NAME?</v>
      </c>
      <c r="X25" s="562"/>
      <c r="Y25" s="562"/>
    </row>
    <row r="26" spans="3:25" ht="11.25" customHeight="1" x14ac:dyDescent="0.2">
      <c r="E26" s="563"/>
      <c r="F26" s="563"/>
      <c r="G26" s="562"/>
      <c r="K26" s="562"/>
      <c r="L26" s="562"/>
      <c r="R26" s="561" t="e">
        <f ca="1">_xll.qlCalendarAdvance(Calendar,R25,"1D","f")</f>
        <v>#NAME?</v>
      </c>
      <c r="S26" s="574" t="e">
        <f ca="1">_xll.qlInterpolationInterpolate(B3Minterpolation,R26,TRUE)</f>
        <v>#NAME?</v>
      </c>
      <c r="X26" s="562"/>
      <c r="Y26" s="562"/>
    </row>
    <row r="27" spans="3:25" ht="11.25" customHeight="1" x14ac:dyDescent="0.2">
      <c r="E27" s="563"/>
      <c r="F27" s="563"/>
      <c r="G27" s="562"/>
      <c r="K27" s="562"/>
      <c r="L27" s="562"/>
      <c r="R27" s="561" t="e">
        <f ca="1">_xll.qlCalendarAdvance(Calendar,R26,"1D","f")</f>
        <v>#NAME?</v>
      </c>
      <c r="S27" s="574" t="e">
        <f ca="1">_xll.qlInterpolationInterpolate(B3Minterpolation,R27,TRUE)</f>
        <v>#NAME?</v>
      </c>
      <c r="X27" s="562"/>
      <c r="Y27" s="562"/>
    </row>
    <row r="28" spans="3:25" ht="11.25" customHeight="1" x14ac:dyDescent="0.2">
      <c r="E28" s="563"/>
      <c r="F28" s="563"/>
      <c r="G28" s="562"/>
      <c r="K28" s="562"/>
      <c r="L28" s="562"/>
      <c r="R28" s="561" t="e">
        <f ca="1">_xll.qlCalendarAdvance(Calendar,R27,"1D","f")</f>
        <v>#NAME?</v>
      </c>
      <c r="S28" s="574" t="e">
        <f ca="1">_xll.qlInterpolationInterpolate(B3Minterpolation,R28,TRUE)</f>
        <v>#NAME?</v>
      </c>
      <c r="X28" s="562"/>
      <c r="Y28" s="562"/>
    </row>
    <row r="29" spans="3:25" ht="11.25" customHeight="1" x14ac:dyDescent="0.2">
      <c r="E29" s="563"/>
      <c r="F29" s="563"/>
      <c r="G29" s="562"/>
      <c r="K29" s="562"/>
      <c r="L29" s="562"/>
      <c r="R29" s="561" t="e">
        <f ca="1">_xll.qlCalendarAdvance(Calendar,R28,"1D","f")</f>
        <v>#NAME?</v>
      </c>
      <c r="S29" s="574" t="e">
        <f ca="1">_xll.qlInterpolationInterpolate(B3Minterpolation,R29,TRUE)</f>
        <v>#NAME?</v>
      </c>
      <c r="X29" s="562"/>
      <c r="Y29" s="562"/>
    </row>
    <row r="30" spans="3:25" ht="11.25" customHeight="1" x14ac:dyDescent="0.2">
      <c r="E30" s="563"/>
      <c r="F30" s="563"/>
      <c r="G30" s="562"/>
      <c r="K30" s="562"/>
      <c r="L30" s="562"/>
      <c r="R30" s="561" t="e">
        <f ca="1">_xll.qlCalendarAdvance(Calendar,R29,"1D","f")</f>
        <v>#NAME?</v>
      </c>
      <c r="S30" s="574" t="e">
        <f ca="1">_xll.qlInterpolationInterpolate(B3Minterpolation,R30,TRUE)</f>
        <v>#NAME?</v>
      </c>
      <c r="X30" s="562"/>
      <c r="Y30" s="562"/>
    </row>
    <row r="31" spans="3:25" ht="11.25" customHeight="1" x14ac:dyDescent="0.2">
      <c r="E31" s="563"/>
      <c r="F31" s="563"/>
      <c r="G31" s="562"/>
      <c r="K31" s="562"/>
      <c r="L31" s="562"/>
      <c r="R31" s="561" t="e">
        <f ca="1">_xll.qlCalendarAdvance(Calendar,R30,"1D","f")</f>
        <v>#NAME?</v>
      </c>
      <c r="S31" s="574" t="e">
        <f ca="1">_xll.qlInterpolationInterpolate(B3Minterpolation,R31,TRUE)</f>
        <v>#NAME?</v>
      </c>
      <c r="U31" s="596"/>
      <c r="V31" s="596"/>
      <c r="X31" s="562"/>
      <c r="Y31" s="562"/>
    </row>
    <row r="32" spans="3:25" ht="11.25" customHeight="1" x14ac:dyDescent="0.2">
      <c r="E32" s="563"/>
      <c r="F32" s="563"/>
      <c r="G32" s="562"/>
      <c r="K32" s="562"/>
      <c r="L32" s="562"/>
      <c r="R32" s="561" t="e">
        <f ca="1">_xll.qlCalendarAdvance(Calendar,R31,"1D","f")</f>
        <v>#NAME?</v>
      </c>
      <c r="S32" s="574" t="e">
        <f ca="1">_xll.qlInterpolationInterpolate(B3Minterpolation,R32,TRUE)</f>
        <v>#NAME?</v>
      </c>
      <c r="X32" s="562"/>
      <c r="Y32" s="562"/>
    </row>
    <row r="33" spans="5:25" ht="11.25" customHeight="1" x14ac:dyDescent="0.2">
      <c r="E33" s="563"/>
      <c r="F33" s="563"/>
      <c r="G33" s="562"/>
      <c r="K33" s="562"/>
      <c r="L33" s="562"/>
      <c r="R33" s="561" t="e">
        <f ca="1">_xll.qlCalendarAdvance(Calendar,R32,"1D","f")</f>
        <v>#NAME?</v>
      </c>
      <c r="S33" s="574" t="e">
        <f ca="1">_xll.qlInterpolationInterpolate(B3Minterpolation,R33,TRUE)</f>
        <v>#NAME?</v>
      </c>
      <c r="X33" s="562"/>
      <c r="Y33" s="562"/>
    </row>
    <row r="34" spans="5:25" ht="11.25" customHeight="1" x14ac:dyDescent="0.2">
      <c r="E34" s="563"/>
      <c r="F34" s="563"/>
      <c r="G34" s="562"/>
      <c r="K34" s="562"/>
      <c r="L34" s="562"/>
      <c r="R34" s="561" t="e">
        <f ca="1">_xll.qlCalendarAdvance(Calendar,R33,"1D","f")</f>
        <v>#NAME?</v>
      </c>
      <c r="S34" s="574" t="e">
        <f ca="1">_xll.qlInterpolationInterpolate(B3Minterpolation,R34,TRUE)</f>
        <v>#NAME?</v>
      </c>
      <c r="X34" s="562"/>
      <c r="Y34" s="562"/>
    </row>
    <row r="35" spans="5:25" ht="11.25" customHeight="1" x14ac:dyDescent="0.2">
      <c r="E35" s="563"/>
      <c r="F35" s="563"/>
      <c r="G35" s="562"/>
      <c r="K35" s="562"/>
      <c r="L35" s="562"/>
      <c r="R35" s="561" t="e">
        <f ca="1">_xll.qlCalendarAdvance(Calendar,R34,"1D","f")</f>
        <v>#NAME?</v>
      </c>
      <c r="S35" s="574" t="e">
        <f ca="1">_xll.qlInterpolationInterpolate(B3Minterpolation,R35,TRUE)</f>
        <v>#NAME?</v>
      </c>
      <c r="X35" s="562"/>
      <c r="Y35" s="562"/>
    </row>
    <row r="36" spans="5:25" ht="11.25" customHeight="1" x14ac:dyDescent="0.2">
      <c r="E36" s="563"/>
      <c r="F36" s="563"/>
      <c r="G36" s="562"/>
      <c r="K36" s="562"/>
      <c r="L36" s="562"/>
      <c r="R36" s="561" t="e">
        <f ca="1">_xll.qlCalendarAdvance(Calendar,R35,"1D","f")</f>
        <v>#NAME?</v>
      </c>
      <c r="S36" s="574" t="e">
        <f ca="1">_xll.qlInterpolationInterpolate(B3Minterpolation,R36,TRUE)</f>
        <v>#NAME?</v>
      </c>
      <c r="X36" s="562"/>
      <c r="Y36" s="562"/>
    </row>
    <row r="37" spans="5:25" ht="11.25" customHeight="1" x14ac:dyDescent="0.2">
      <c r="E37" s="563"/>
      <c r="F37" s="563"/>
      <c r="G37" s="562"/>
      <c r="K37" s="562"/>
      <c r="L37" s="562"/>
      <c r="R37" s="561" t="e">
        <f ca="1">_xll.qlCalendarAdvance(Calendar,R36,"1D","f")</f>
        <v>#NAME?</v>
      </c>
      <c r="S37" s="574" t="e">
        <f ca="1">_xll.qlInterpolationInterpolate(B3Minterpolation,R37,TRUE)</f>
        <v>#NAME?</v>
      </c>
      <c r="X37" s="562"/>
      <c r="Y37" s="562"/>
    </row>
    <row r="38" spans="5:25" ht="11.25" customHeight="1" x14ac:dyDescent="0.2">
      <c r="E38" s="563"/>
      <c r="F38" s="563"/>
      <c r="G38" s="562"/>
      <c r="K38" s="562"/>
      <c r="L38" s="562"/>
      <c r="R38" s="561" t="e">
        <f ca="1">_xll.qlCalendarAdvance(Calendar,R37,"1D","f")</f>
        <v>#NAME?</v>
      </c>
      <c r="S38" s="574" t="e">
        <f ca="1">_xll.qlInterpolationInterpolate(B3Minterpolation,R38,TRUE)</f>
        <v>#NAME?</v>
      </c>
      <c r="X38" s="562"/>
      <c r="Y38" s="562"/>
    </row>
    <row r="39" spans="5:25" ht="11.25" customHeight="1" x14ac:dyDescent="0.2">
      <c r="E39" s="563"/>
      <c r="F39" s="563"/>
      <c r="G39" s="562"/>
      <c r="K39" s="562"/>
      <c r="L39" s="562"/>
      <c r="R39" s="561" t="e">
        <f ca="1">_xll.qlCalendarAdvance(Calendar,R38,"1D","f")</f>
        <v>#NAME?</v>
      </c>
      <c r="S39" s="574" t="e">
        <f ca="1">_xll.qlInterpolationInterpolate(B3Minterpolation,R39,TRUE)</f>
        <v>#NAME?</v>
      </c>
      <c r="X39" s="562"/>
      <c r="Y39" s="562"/>
    </row>
    <row r="40" spans="5:25" ht="11.25" customHeight="1" x14ac:dyDescent="0.2">
      <c r="E40" s="563"/>
      <c r="F40" s="563"/>
      <c r="G40" s="562"/>
      <c r="K40" s="562"/>
      <c r="L40" s="562"/>
      <c r="R40" s="561" t="e">
        <f ca="1">_xll.qlCalendarAdvance(Calendar,R39,"1D","f")</f>
        <v>#NAME?</v>
      </c>
      <c r="S40" s="574" t="e">
        <f ca="1">_xll.qlInterpolationInterpolate(B3Minterpolation,R40,TRUE)</f>
        <v>#NAME?</v>
      </c>
      <c r="X40" s="562"/>
      <c r="Y40" s="562"/>
    </row>
    <row r="41" spans="5:25" ht="11.25" customHeight="1" x14ac:dyDescent="0.2">
      <c r="E41" s="563"/>
      <c r="F41" s="563"/>
      <c r="G41" s="562"/>
      <c r="K41" s="562"/>
      <c r="L41" s="562"/>
      <c r="R41" s="561" t="e">
        <f ca="1">_xll.qlCalendarAdvance(Calendar,R40,"1D","f")</f>
        <v>#NAME?</v>
      </c>
      <c r="S41" s="574" t="e">
        <f ca="1">_xll.qlInterpolationInterpolate(B3Minterpolation,R41,TRUE)</f>
        <v>#NAME?</v>
      </c>
      <c r="X41" s="562"/>
      <c r="Y41" s="562"/>
    </row>
    <row r="42" spans="5:25" ht="11.25" customHeight="1" x14ac:dyDescent="0.2">
      <c r="E42" s="563"/>
      <c r="F42" s="563"/>
      <c r="G42" s="562"/>
      <c r="K42" s="562"/>
      <c r="L42" s="562"/>
      <c r="R42" s="561" t="e">
        <f ca="1">_xll.qlCalendarAdvance(Calendar,R41,"1D","f")</f>
        <v>#NAME?</v>
      </c>
      <c r="S42" s="574" t="e">
        <f ca="1">_xll.qlInterpolationInterpolate(B3Minterpolation,R42,TRUE)</f>
        <v>#NAME?</v>
      </c>
      <c r="X42" s="562"/>
      <c r="Y42" s="562"/>
    </row>
    <row r="43" spans="5:25" ht="11.25" customHeight="1" x14ac:dyDescent="0.2">
      <c r="E43" s="563"/>
      <c r="F43" s="563"/>
      <c r="G43" s="562"/>
      <c r="K43" s="562"/>
      <c r="L43" s="562"/>
      <c r="R43" s="561" t="e">
        <f ca="1">_xll.qlCalendarAdvance(Calendar,R42,"1D","f")</f>
        <v>#NAME?</v>
      </c>
      <c r="S43" s="574" t="e">
        <f ca="1">_xll.qlInterpolationInterpolate(B3Minterpolation,R43,TRUE)</f>
        <v>#NAME?</v>
      </c>
      <c r="X43" s="562"/>
      <c r="Y43" s="562"/>
    </row>
    <row r="44" spans="5:25" ht="11.25" customHeight="1" x14ac:dyDescent="0.2">
      <c r="E44" s="563"/>
      <c r="F44" s="563"/>
      <c r="G44" s="562"/>
      <c r="K44" s="562"/>
      <c r="L44" s="562"/>
      <c r="R44" s="561" t="e">
        <f ca="1">_xll.qlCalendarAdvance(Calendar,R43,"1D","f")</f>
        <v>#NAME?</v>
      </c>
      <c r="S44" s="574" t="e">
        <f ca="1">_xll.qlInterpolationInterpolate(B3Minterpolation,R44,TRUE)</f>
        <v>#NAME?</v>
      </c>
      <c r="X44" s="562"/>
      <c r="Y44" s="562"/>
    </row>
    <row r="45" spans="5:25" ht="11.25" customHeight="1" x14ac:dyDescent="0.2">
      <c r="E45" s="563"/>
      <c r="F45" s="563"/>
      <c r="G45" s="562"/>
      <c r="K45" s="562"/>
      <c r="L45" s="562"/>
      <c r="R45" s="561" t="e">
        <f ca="1">_xll.qlCalendarAdvance(Calendar,R44,"1D","f")</f>
        <v>#NAME?</v>
      </c>
      <c r="S45" s="574" t="e">
        <f ca="1">_xll.qlInterpolationInterpolate(B3Minterpolation,R45,TRUE)</f>
        <v>#NAME?</v>
      </c>
      <c r="X45" s="562"/>
      <c r="Y45" s="562"/>
    </row>
    <row r="46" spans="5:25" ht="11.25" customHeight="1" x14ac:dyDescent="0.2">
      <c r="E46" s="563"/>
      <c r="F46" s="563"/>
      <c r="G46" s="562"/>
      <c r="K46" s="562"/>
      <c r="L46" s="562"/>
      <c r="R46" s="561" t="e">
        <f ca="1">_xll.qlCalendarAdvance(Calendar,R45,"1D","f")</f>
        <v>#NAME?</v>
      </c>
      <c r="S46" s="574" t="e">
        <f ca="1">_xll.qlInterpolationInterpolate(B3Minterpolation,R46,TRUE)</f>
        <v>#NAME?</v>
      </c>
      <c r="X46" s="562"/>
      <c r="Y46" s="562"/>
    </row>
    <row r="47" spans="5:25" ht="11.25" customHeight="1" x14ac:dyDescent="0.2">
      <c r="E47" s="563"/>
      <c r="F47" s="563"/>
      <c r="G47" s="562"/>
      <c r="K47" s="562"/>
      <c r="L47" s="562"/>
      <c r="R47" s="561" t="e">
        <f ca="1">_xll.qlCalendarAdvance(Calendar,R46,"1D","f")</f>
        <v>#NAME?</v>
      </c>
      <c r="S47" s="574" t="e">
        <f ca="1">_xll.qlInterpolationInterpolate(B3Minterpolation,R47,TRUE)</f>
        <v>#NAME?</v>
      </c>
      <c r="X47" s="562"/>
      <c r="Y47" s="562"/>
    </row>
    <row r="48" spans="5:25" ht="11.25" customHeight="1" x14ac:dyDescent="0.2">
      <c r="E48" s="563"/>
      <c r="F48" s="563"/>
      <c r="G48" s="562"/>
      <c r="K48" s="562"/>
      <c r="L48" s="562"/>
      <c r="R48" s="561" t="e">
        <f ca="1">_xll.qlCalendarAdvance(Calendar,R47,"1D","f")</f>
        <v>#NAME?</v>
      </c>
      <c r="S48" s="574" t="e">
        <f ca="1">_xll.qlInterpolationInterpolate(B3Minterpolation,R48,TRUE)</f>
        <v>#NAME?</v>
      </c>
      <c r="X48" s="562"/>
      <c r="Y48" s="562"/>
    </row>
    <row r="49" spans="5:25" ht="11.25" customHeight="1" x14ac:dyDescent="0.2">
      <c r="E49" s="563"/>
      <c r="F49" s="563"/>
      <c r="G49" s="562"/>
      <c r="K49" s="562"/>
      <c r="L49" s="562"/>
      <c r="R49" s="561" t="e">
        <f ca="1">_xll.qlCalendarAdvance(Calendar,R48,"1D","f")</f>
        <v>#NAME?</v>
      </c>
      <c r="S49" s="574" t="e">
        <f ca="1">_xll.qlInterpolationInterpolate(B3Minterpolation,R49,TRUE)</f>
        <v>#NAME?</v>
      </c>
      <c r="X49" s="562"/>
      <c r="Y49" s="562"/>
    </row>
    <row r="50" spans="5:25" ht="11.25" customHeight="1" x14ac:dyDescent="0.2">
      <c r="E50" s="563"/>
      <c r="F50" s="563"/>
      <c r="G50" s="562"/>
      <c r="K50" s="562"/>
      <c r="L50" s="562"/>
      <c r="R50" s="561" t="e">
        <f ca="1">_xll.qlCalendarAdvance(Calendar,R49,"1D","f")</f>
        <v>#NAME?</v>
      </c>
      <c r="S50" s="574" t="e">
        <f ca="1">_xll.qlInterpolationInterpolate(B3Minterpolation,R50,TRUE)</f>
        <v>#NAME?</v>
      </c>
      <c r="X50" s="562"/>
      <c r="Y50" s="562"/>
    </row>
    <row r="51" spans="5:25" ht="11.25" customHeight="1" x14ac:dyDescent="0.2">
      <c r="E51" s="563"/>
      <c r="F51" s="563"/>
      <c r="G51" s="562"/>
      <c r="K51" s="562"/>
      <c r="L51" s="562"/>
      <c r="R51" s="561" t="e">
        <f ca="1">_xll.qlCalendarAdvance(Calendar,R50,"1D","f")</f>
        <v>#NAME?</v>
      </c>
      <c r="S51" s="574" t="e">
        <f ca="1">_xll.qlInterpolationInterpolate(B3Minterpolation,R51,TRUE)</f>
        <v>#NAME?</v>
      </c>
      <c r="X51" s="562"/>
      <c r="Y51" s="562"/>
    </row>
    <row r="52" spans="5:25" ht="11.25" customHeight="1" x14ac:dyDescent="0.2">
      <c r="E52" s="563"/>
      <c r="F52" s="563"/>
      <c r="G52" s="562"/>
      <c r="K52" s="562"/>
      <c r="L52" s="562"/>
      <c r="R52" s="561" t="e">
        <f ca="1">_xll.qlCalendarAdvance(Calendar,R51,"1D","f")</f>
        <v>#NAME?</v>
      </c>
      <c r="S52" s="574" t="e">
        <f ca="1">_xll.qlInterpolationInterpolate(B3Minterpolation,R52,TRUE)</f>
        <v>#NAME?</v>
      </c>
      <c r="X52" s="562"/>
      <c r="Y52" s="562"/>
    </row>
    <row r="53" spans="5:25" ht="11.25" customHeight="1" x14ac:dyDescent="0.2">
      <c r="E53" s="563"/>
      <c r="F53" s="563"/>
      <c r="G53" s="562"/>
      <c r="K53" s="562"/>
      <c r="L53" s="562"/>
      <c r="R53" s="561" t="e">
        <f ca="1">_xll.qlCalendarAdvance(Calendar,R52,"1D","f")</f>
        <v>#NAME?</v>
      </c>
      <c r="S53" s="574" t="e">
        <f ca="1">_xll.qlInterpolationInterpolate(B3Minterpolation,R53,TRUE)</f>
        <v>#NAME?</v>
      </c>
      <c r="X53" s="562"/>
      <c r="Y53" s="562"/>
    </row>
    <row r="54" spans="5:25" ht="11.25" customHeight="1" x14ac:dyDescent="0.2">
      <c r="E54" s="563"/>
      <c r="F54" s="563"/>
      <c r="G54" s="562"/>
      <c r="K54" s="562"/>
      <c r="L54" s="562"/>
      <c r="R54" s="561" t="e">
        <f ca="1">_xll.qlCalendarAdvance(Calendar,R53,"1D","f")</f>
        <v>#NAME?</v>
      </c>
      <c r="S54" s="574" t="e">
        <f ca="1">_xll.qlInterpolationInterpolate(B3Minterpolation,R54,TRUE)</f>
        <v>#NAME?</v>
      </c>
      <c r="X54" s="562"/>
      <c r="Y54" s="562"/>
    </row>
    <row r="55" spans="5:25" ht="11.25" customHeight="1" x14ac:dyDescent="0.2">
      <c r="E55" s="563"/>
      <c r="F55" s="563"/>
      <c r="G55" s="562"/>
      <c r="K55" s="562"/>
      <c r="L55" s="562"/>
      <c r="R55" s="561" t="e">
        <f ca="1">_xll.qlCalendarAdvance(Calendar,R54,"1D","f")</f>
        <v>#NAME?</v>
      </c>
      <c r="S55" s="574" t="e">
        <f ca="1">_xll.qlInterpolationInterpolate(B3Minterpolation,R55,TRUE)</f>
        <v>#NAME?</v>
      </c>
      <c r="X55" s="562"/>
      <c r="Y55" s="562"/>
    </row>
    <row r="56" spans="5:25" ht="11.25" customHeight="1" x14ac:dyDescent="0.2">
      <c r="E56" s="563"/>
      <c r="F56" s="563"/>
      <c r="G56" s="562"/>
      <c r="K56" s="562"/>
      <c r="L56" s="562"/>
      <c r="R56" s="561" t="e">
        <f ca="1">_xll.qlCalendarAdvance(Calendar,R55,"1D","f")</f>
        <v>#NAME?</v>
      </c>
      <c r="S56" s="574" t="e">
        <f ca="1">_xll.qlInterpolationInterpolate(B3Minterpolation,R56,TRUE)</f>
        <v>#NAME?</v>
      </c>
      <c r="X56" s="562"/>
      <c r="Y56" s="562"/>
    </row>
    <row r="57" spans="5:25" ht="11.25" customHeight="1" x14ac:dyDescent="0.2">
      <c r="E57" s="563"/>
      <c r="F57" s="563"/>
      <c r="G57" s="562"/>
      <c r="K57" s="562"/>
      <c r="L57" s="562"/>
      <c r="R57" s="561" t="e">
        <f ca="1">_xll.qlCalendarAdvance(Calendar,R56,"1D","f")</f>
        <v>#NAME?</v>
      </c>
      <c r="S57" s="574" t="e">
        <f ca="1">_xll.qlInterpolationInterpolate(B3Minterpolation,R57,TRUE)</f>
        <v>#NAME?</v>
      </c>
      <c r="X57" s="562"/>
      <c r="Y57" s="562"/>
    </row>
    <row r="58" spans="5:25" ht="11.25" customHeight="1" x14ac:dyDescent="0.2">
      <c r="E58" s="563"/>
      <c r="F58" s="563"/>
      <c r="G58" s="562"/>
      <c r="K58" s="562"/>
      <c r="L58" s="562"/>
      <c r="R58" s="561" t="e">
        <f ca="1">_xll.qlCalendarAdvance(Calendar,R57,"1D","f")</f>
        <v>#NAME?</v>
      </c>
      <c r="S58" s="574" t="e">
        <f ca="1">_xll.qlInterpolationInterpolate(B3Minterpolation,R58,TRUE)</f>
        <v>#NAME?</v>
      </c>
      <c r="X58" s="562"/>
      <c r="Y58" s="562"/>
    </row>
    <row r="59" spans="5:25" ht="11.25" customHeight="1" x14ac:dyDescent="0.2">
      <c r="E59" s="563"/>
      <c r="F59" s="563"/>
      <c r="G59" s="562"/>
      <c r="K59" s="562"/>
      <c r="L59" s="562"/>
      <c r="R59" s="561" t="e">
        <f ca="1">_xll.qlCalendarAdvance(Calendar,R58,"1D","f")</f>
        <v>#NAME?</v>
      </c>
      <c r="S59" s="574" t="e">
        <f ca="1">_xll.qlInterpolationInterpolate(B3Minterpolation,R59,TRUE)</f>
        <v>#NAME?</v>
      </c>
      <c r="X59" s="562"/>
      <c r="Y59" s="562"/>
    </row>
    <row r="60" spans="5:25" ht="11.25" customHeight="1" x14ac:dyDescent="0.2">
      <c r="E60" s="563"/>
      <c r="F60" s="563"/>
      <c r="G60" s="562"/>
      <c r="K60" s="562"/>
      <c r="L60" s="562"/>
      <c r="R60" s="561" t="e">
        <f ca="1">_xll.qlCalendarAdvance(Calendar,R59,"1D","f")</f>
        <v>#NAME?</v>
      </c>
      <c r="S60" s="574" t="e">
        <f ca="1">_xll.qlInterpolationInterpolate(B3Minterpolation,R60,TRUE)</f>
        <v>#NAME?</v>
      </c>
      <c r="X60" s="562"/>
      <c r="Y60" s="562"/>
    </row>
    <row r="61" spans="5:25" ht="11.25" customHeight="1" x14ac:dyDescent="0.2">
      <c r="E61" s="563"/>
      <c r="F61" s="563"/>
      <c r="G61" s="562"/>
      <c r="K61" s="562"/>
      <c r="L61" s="562"/>
      <c r="R61" s="561" t="e">
        <f ca="1">_xll.qlCalendarAdvance(Calendar,R60,"1D","f")</f>
        <v>#NAME?</v>
      </c>
      <c r="S61" s="574" t="e">
        <f ca="1">_xll.qlInterpolationInterpolate(B3Minterpolation,R61,TRUE)</f>
        <v>#NAME?</v>
      </c>
      <c r="X61" s="562"/>
      <c r="Y61" s="562"/>
    </row>
    <row r="62" spans="5:25" ht="11.25" customHeight="1" x14ac:dyDescent="0.2">
      <c r="E62" s="563"/>
      <c r="F62" s="563"/>
      <c r="G62" s="562"/>
      <c r="K62" s="562"/>
      <c r="L62" s="562"/>
      <c r="R62" s="561" t="e">
        <f ca="1">_xll.qlCalendarAdvance(Calendar,R61,"1D","f")</f>
        <v>#NAME?</v>
      </c>
      <c r="S62" s="574" t="e">
        <f ca="1">_xll.qlInterpolationInterpolate(B3Minterpolation,R62,TRUE)</f>
        <v>#NAME?</v>
      </c>
      <c r="X62" s="562"/>
      <c r="Y62" s="562"/>
    </row>
    <row r="63" spans="5:25" ht="11.25" customHeight="1" x14ac:dyDescent="0.2">
      <c r="E63" s="563"/>
      <c r="F63" s="563"/>
      <c r="G63" s="562"/>
      <c r="K63" s="562"/>
      <c r="L63" s="562"/>
      <c r="R63" s="561" t="e">
        <f ca="1">_xll.qlCalendarAdvance(Calendar,R62,"1D","f")</f>
        <v>#NAME?</v>
      </c>
      <c r="S63" s="574" t="e">
        <f ca="1">_xll.qlInterpolationInterpolate(B3Minterpolation,R63,TRUE)</f>
        <v>#NAME?</v>
      </c>
      <c r="X63" s="562"/>
      <c r="Y63" s="562"/>
    </row>
    <row r="64" spans="5:25" ht="11.25" customHeight="1" x14ac:dyDescent="0.2">
      <c r="E64" s="563"/>
      <c r="F64" s="563"/>
      <c r="G64" s="562"/>
      <c r="K64" s="562"/>
      <c r="L64" s="562"/>
      <c r="R64" s="561" t="e">
        <f ca="1">_xll.qlCalendarAdvance(Calendar,R63,"1D","f")</f>
        <v>#NAME?</v>
      </c>
      <c r="S64" s="574" t="e">
        <f ca="1">_xll.qlInterpolationInterpolate(B3Minterpolation,R64,TRUE)</f>
        <v>#NAME?</v>
      </c>
      <c r="X64" s="562"/>
      <c r="Y64" s="562"/>
    </row>
    <row r="65" spans="5:25" ht="11.25" customHeight="1" x14ac:dyDescent="0.2">
      <c r="E65" s="563"/>
      <c r="F65" s="563"/>
      <c r="G65" s="562"/>
      <c r="K65" s="562"/>
      <c r="L65" s="562"/>
      <c r="R65" s="561" t="e">
        <f ca="1">_xll.qlCalendarAdvance(Calendar,R64,"1D","f")</f>
        <v>#NAME?</v>
      </c>
      <c r="S65" s="574" t="e">
        <f ca="1">_xll.qlInterpolationInterpolate(B3Minterpolation,R65,TRUE)</f>
        <v>#NAME?</v>
      </c>
      <c r="X65" s="562"/>
      <c r="Y65" s="562"/>
    </row>
    <row r="66" spans="5:25" ht="11.25" customHeight="1" x14ac:dyDescent="0.2">
      <c r="E66" s="563"/>
      <c r="F66" s="563"/>
      <c r="G66" s="562"/>
      <c r="K66" s="562"/>
      <c r="L66" s="562"/>
      <c r="R66" s="561" t="e">
        <f ca="1">_xll.qlCalendarAdvance(Calendar,R65,"1D","f")</f>
        <v>#NAME?</v>
      </c>
      <c r="S66" s="574" t="e">
        <f ca="1">_xll.qlInterpolationInterpolate(B3Minterpolation,R66,TRUE)</f>
        <v>#NAME?</v>
      </c>
      <c r="X66" s="562"/>
      <c r="Y66" s="562"/>
    </row>
    <row r="67" spans="5:25" ht="11.25" customHeight="1" x14ac:dyDescent="0.2">
      <c r="E67" s="563"/>
      <c r="F67" s="563"/>
      <c r="G67" s="562"/>
      <c r="K67" s="562"/>
      <c r="L67" s="562"/>
      <c r="R67" s="561" t="e">
        <f ca="1">_xll.qlCalendarAdvance(Calendar,R66,"1D","f")</f>
        <v>#NAME?</v>
      </c>
      <c r="S67" s="574" t="e">
        <f ca="1">_xll.qlInterpolationInterpolate(B3Minterpolation,R67,TRUE)</f>
        <v>#NAME?</v>
      </c>
      <c r="X67" s="562"/>
      <c r="Y67" s="562"/>
    </row>
    <row r="68" spans="5:25" ht="11.25" customHeight="1" x14ac:dyDescent="0.2">
      <c r="E68" s="563"/>
      <c r="F68" s="563"/>
      <c r="G68" s="562"/>
      <c r="K68" s="562"/>
      <c r="L68" s="562"/>
      <c r="R68" s="561" t="e">
        <f ca="1">_xll.qlCalendarAdvance(Calendar,R67,"1D","f")</f>
        <v>#NAME?</v>
      </c>
      <c r="S68" s="574" t="e">
        <f ca="1">_xll.qlInterpolationInterpolate(B3Minterpolation,R68,TRUE)</f>
        <v>#NAME?</v>
      </c>
      <c r="X68" s="562"/>
      <c r="Y68" s="562"/>
    </row>
    <row r="69" spans="5:25" ht="11.25" customHeight="1" x14ac:dyDescent="0.2">
      <c r="E69" s="563"/>
      <c r="F69" s="563"/>
      <c r="G69" s="562"/>
      <c r="K69" s="562"/>
      <c r="L69" s="562"/>
      <c r="R69" s="561" t="e">
        <f ca="1">_xll.qlCalendarAdvance(Calendar,R68,"1D","f")</f>
        <v>#NAME?</v>
      </c>
      <c r="S69" s="574" t="e">
        <f ca="1">_xll.qlInterpolationInterpolate(B3Minterpolation,R69,TRUE)</f>
        <v>#NAME?</v>
      </c>
      <c r="X69" s="562"/>
      <c r="Y69" s="562"/>
    </row>
    <row r="70" spans="5:25" ht="11.25" customHeight="1" x14ac:dyDescent="0.2">
      <c r="E70" s="563"/>
      <c r="F70" s="563"/>
      <c r="G70" s="562"/>
      <c r="K70" s="562"/>
      <c r="L70" s="562"/>
      <c r="R70" s="561" t="e">
        <f ca="1">_xll.qlCalendarAdvance(Calendar,R69,"1D","f")</f>
        <v>#NAME?</v>
      </c>
      <c r="S70" s="574" t="e">
        <f ca="1">_xll.qlInterpolationInterpolate(B3Minterpolation,R70,TRUE)</f>
        <v>#NAME?</v>
      </c>
      <c r="X70" s="562"/>
      <c r="Y70" s="562"/>
    </row>
    <row r="71" spans="5:25" ht="11.25" customHeight="1" x14ac:dyDescent="0.2">
      <c r="E71" s="563"/>
      <c r="F71" s="563"/>
      <c r="G71" s="562"/>
      <c r="K71" s="562"/>
      <c r="L71" s="562"/>
      <c r="R71" s="561" t="e">
        <f ca="1">_xll.qlCalendarAdvance(Calendar,R70,"1D","f")</f>
        <v>#NAME?</v>
      </c>
      <c r="S71" s="574" t="e">
        <f ca="1">_xll.qlInterpolationInterpolate(B3Minterpolation,R71,TRUE)</f>
        <v>#NAME?</v>
      </c>
      <c r="X71" s="562"/>
      <c r="Y71" s="562"/>
    </row>
    <row r="72" spans="5:25" ht="11.25" customHeight="1" x14ac:dyDescent="0.2">
      <c r="E72" s="563"/>
      <c r="F72" s="563"/>
      <c r="G72" s="562"/>
      <c r="K72" s="562"/>
      <c r="L72" s="562"/>
      <c r="R72" s="561" t="e">
        <f ca="1">_xll.qlCalendarAdvance(Calendar,R71,"1D","f")</f>
        <v>#NAME?</v>
      </c>
      <c r="S72" s="574" t="e">
        <f ca="1">_xll.qlInterpolationInterpolate(B3Minterpolation,R72,TRUE)</f>
        <v>#NAME?</v>
      </c>
      <c r="X72" s="562"/>
      <c r="Y72" s="562"/>
    </row>
    <row r="73" spans="5:25" ht="11.25" customHeight="1" x14ac:dyDescent="0.2">
      <c r="E73" s="563"/>
      <c r="F73" s="563"/>
      <c r="G73" s="562"/>
      <c r="K73" s="562"/>
      <c r="L73" s="562"/>
      <c r="R73" s="561" t="e">
        <f ca="1">_xll.qlCalendarAdvance(Calendar,R72,"1D","f")</f>
        <v>#NAME?</v>
      </c>
      <c r="S73" s="574" t="e">
        <f ca="1">_xll.qlInterpolationInterpolate(B3Minterpolation,R73,TRUE)</f>
        <v>#NAME?</v>
      </c>
      <c r="X73" s="562"/>
      <c r="Y73" s="562"/>
    </row>
    <row r="74" spans="5:25" ht="11.25" customHeight="1" x14ac:dyDescent="0.2">
      <c r="E74" s="563"/>
      <c r="F74" s="563"/>
      <c r="G74" s="562"/>
      <c r="K74" s="562"/>
      <c r="L74" s="562"/>
      <c r="R74" s="561" t="e">
        <f ca="1">_xll.qlCalendarAdvance(Calendar,R73,"1D","f")</f>
        <v>#NAME?</v>
      </c>
      <c r="S74" s="574" t="e">
        <f ca="1">_xll.qlInterpolationInterpolate(B3Minterpolation,R74,TRUE)</f>
        <v>#NAME?</v>
      </c>
      <c r="X74" s="562"/>
      <c r="Y74" s="562"/>
    </row>
    <row r="75" spans="5:25" ht="11.25" customHeight="1" x14ac:dyDescent="0.2">
      <c r="E75" s="563"/>
      <c r="F75" s="563"/>
      <c r="G75" s="562"/>
      <c r="K75" s="562"/>
      <c r="L75" s="562"/>
      <c r="R75" s="561" t="e">
        <f ca="1">_xll.qlCalendarAdvance(Calendar,R74,"1D","f")</f>
        <v>#NAME?</v>
      </c>
      <c r="S75" s="574" t="e">
        <f ca="1">_xll.qlInterpolationInterpolate(B3Minterpolation,R75,TRUE)</f>
        <v>#NAME?</v>
      </c>
      <c r="X75" s="562"/>
      <c r="Y75" s="562"/>
    </row>
    <row r="76" spans="5:25" ht="11.25" customHeight="1" x14ac:dyDescent="0.2">
      <c r="E76" s="563"/>
      <c r="F76" s="563"/>
      <c r="G76" s="562"/>
      <c r="K76" s="562"/>
      <c r="L76" s="562"/>
      <c r="R76" s="561" t="e">
        <f ca="1">_xll.qlCalendarAdvance(Calendar,R75,"1D","f")</f>
        <v>#NAME?</v>
      </c>
      <c r="S76" s="574" t="e">
        <f ca="1">_xll.qlInterpolationInterpolate(B3Minterpolation,R76,TRUE)</f>
        <v>#NAME?</v>
      </c>
      <c r="X76" s="562"/>
      <c r="Y76" s="562"/>
    </row>
    <row r="77" spans="5:25" ht="11.25" customHeight="1" x14ac:dyDescent="0.2">
      <c r="E77" s="563"/>
      <c r="F77" s="563"/>
      <c r="G77" s="562"/>
      <c r="K77" s="562"/>
      <c r="L77" s="562"/>
      <c r="R77" s="561" t="e">
        <f ca="1">_xll.qlCalendarAdvance(Calendar,R76,"1D","f")</f>
        <v>#NAME?</v>
      </c>
      <c r="S77" s="574" t="e">
        <f ca="1">_xll.qlInterpolationInterpolate(B3Minterpolation,R77,TRUE)</f>
        <v>#NAME?</v>
      </c>
      <c r="X77" s="562"/>
      <c r="Y77" s="562"/>
    </row>
    <row r="78" spans="5:25" ht="11.25" customHeight="1" x14ac:dyDescent="0.2">
      <c r="E78" s="563"/>
      <c r="F78" s="563"/>
      <c r="G78" s="562"/>
      <c r="K78" s="562"/>
      <c r="L78" s="562"/>
      <c r="R78" s="561" t="e">
        <f ca="1">_xll.qlCalendarAdvance(Calendar,R77,"1D","f")</f>
        <v>#NAME?</v>
      </c>
      <c r="S78" s="574" t="e">
        <f ca="1">_xll.qlInterpolationInterpolate(B3Minterpolation,R78,TRUE)</f>
        <v>#NAME?</v>
      </c>
      <c r="X78" s="562"/>
      <c r="Y78" s="562"/>
    </row>
    <row r="79" spans="5:25" ht="11.25" customHeight="1" x14ac:dyDescent="0.2">
      <c r="E79" s="563"/>
      <c r="F79" s="563"/>
      <c r="G79" s="562"/>
      <c r="K79" s="562"/>
      <c r="L79" s="562"/>
      <c r="R79" s="561" t="e">
        <f ca="1">_xll.qlCalendarAdvance(Calendar,R78,"1D","f")</f>
        <v>#NAME?</v>
      </c>
      <c r="S79" s="574" t="e">
        <f ca="1">_xll.qlInterpolationInterpolate(B3Minterpolation,R79,TRUE)</f>
        <v>#NAME?</v>
      </c>
      <c r="X79" s="562"/>
      <c r="Y79" s="562"/>
    </row>
    <row r="80" spans="5:25" ht="11.25" customHeight="1" x14ac:dyDescent="0.2">
      <c r="E80" s="563"/>
      <c r="F80" s="563"/>
      <c r="G80" s="562"/>
      <c r="K80" s="562"/>
      <c r="L80" s="562"/>
      <c r="R80" s="561" t="e">
        <f ca="1">_xll.qlCalendarAdvance(Calendar,R79,"1D","f")</f>
        <v>#NAME?</v>
      </c>
      <c r="S80" s="574" t="e">
        <f ca="1">_xll.qlInterpolationInterpolate(B3Minterpolation,R80,TRUE)</f>
        <v>#NAME?</v>
      </c>
      <c r="X80" s="562"/>
      <c r="Y80" s="562"/>
    </row>
    <row r="81" spans="5:25" ht="11.25" customHeight="1" x14ac:dyDescent="0.2">
      <c r="E81" s="563"/>
      <c r="F81" s="563"/>
      <c r="G81" s="562"/>
      <c r="K81" s="562"/>
      <c r="L81" s="562"/>
      <c r="R81" s="561" t="e">
        <f ca="1">_xll.qlCalendarAdvance(Calendar,R80,"1D","f")</f>
        <v>#NAME?</v>
      </c>
      <c r="S81" s="574" t="e">
        <f ca="1">_xll.qlInterpolationInterpolate(B3Minterpolation,R81,TRUE)</f>
        <v>#NAME?</v>
      </c>
      <c r="X81" s="562"/>
      <c r="Y81" s="562"/>
    </row>
    <row r="82" spans="5:25" ht="11.25" customHeight="1" x14ac:dyDescent="0.2">
      <c r="E82" s="563"/>
      <c r="F82" s="563"/>
      <c r="G82" s="562"/>
      <c r="K82" s="562"/>
      <c r="L82" s="562"/>
      <c r="R82" s="561" t="e">
        <f ca="1">_xll.qlCalendarAdvance(Calendar,R81,"1D","f")</f>
        <v>#NAME?</v>
      </c>
      <c r="S82" s="574" t="e">
        <f ca="1">_xll.qlInterpolationInterpolate(B3Minterpolation,R82,TRUE)</f>
        <v>#NAME?</v>
      </c>
      <c r="X82" s="562"/>
      <c r="Y82" s="562"/>
    </row>
    <row r="83" spans="5:25" ht="11.25" customHeight="1" x14ac:dyDescent="0.2">
      <c r="E83" s="563"/>
      <c r="F83" s="563"/>
      <c r="G83" s="562"/>
      <c r="K83" s="562"/>
      <c r="L83" s="562"/>
      <c r="R83" s="561" t="e">
        <f ca="1">_xll.qlCalendarAdvance(Calendar,R82,"1D","f")</f>
        <v>#NAME?</v>
      </c>
      <c r="S83" s="574" t="e">
        <f ca="1">_xll.qlInterpolationInterpolate(B3Minterpolation,R83,TRUE)</f>
        <v>#NAME?</v>
      </c>
      <c r="X83" s="562"/>
      <c r="Y83" s="562"/>
    </row>
    <row r="84" spans="5:25" ht="11.25" customHeight="1" x14ac:dyDescent="0.2">
      <c r="E84" s="563"/>
      <c r="F84" s="563"/>
      <c r="G84" s="562"/>
      <c r="K84" s="562"/>
      <c r="L84" s="562"/>
      <c r="R84" s="561" t="e">
        <f ca="1">_xll.qlCalendarAdvance(Calendar,R83,"1D","f")</f>
        <v>#NAME?</v>
      </c>
      <c r="S84" s="574" t="e">
        <f ca="1">_xll.qlInterpolationInterpolate(B3Minterpolation,R84,TRUE)</f>
        <v>#NAME?</v>
      </c>
      <c r="X84" s="562"/>
      <c r="Y84" s="562"/>
    </row>
    <row r="85" spans="5:25" ht="11.25" customHeight="1" x14ac:dyDescent="0.2">
      <c r="E85" s="563"/>
      <c r="F85" s="563"/>
      <c r="G85" s="562"/>
      <c r="K85" s="562"/>
      <c r="L85" s="562"/>
      <c r="R85" s="561" t="e">
        <f ca="1">_xll.qlCalendarAdvance(Calendar,R84,"1D","f")</f>
        <v>#NAME?</v>
      </c>
      <c r="S85" s="574" t="e">
        <f ca="1">_xll.qlInterpolationInterpolate(B3Minterpolation,R85,TRUE)</f>
        <v>#NAME?</v>
      </c>
      <c r="X85" s="562"/>
      <c r="Y85" s="562"/>
    </row>
    <row r="86" spans="5:25" ht="11.25" customHeight="1" x14ac:dyDescent="0.2">
      <c r="E86" s="563"/>
      <c r="F86" s="563"/>
      <c r="G86" s="562"/>
      <c r="K86" s="562"/>
      <c r="L86" s="562"/>
      <c r="R86" s="561" t="e">
        <f ca="1">_xll.qlCalendarAdvance(Calendar,R85,"1D","f")</f>
        <v>#NAME?</v>
      </c>
      <c r="S86" s="574" t="e">
        <f ca="1">_xll.qlInterpolationInterpolate(B3Minterpolation,R86,TRUE)</f>
        <v>#NAME?</v>
      </c>
      <c r="X86" s="562"/>
      <c r="Y86" s="562"/>
    </row>
    <row r="87" spans="5:25" ht="11.25" customHeight="1" x14ac:dyDescent="0.2">
      <c r="E87" s="563"/>
      <c r="F87" s="563"/>
      <c r="G87" s="562"/>
      <c r="K87" s="562"/>
      <c r="L87" s="562"/>
      <c r="R87" s="561" t="e">
        <f ca="1">_xll.qlCalendarAdvance(Calendar,R86,"1D","f")</f>
        <v>#NAME?</v>
      </c>
      <c r="S87" s="574" t="e">
        <f ca="1">_xll.qlInterpolationInterpolate(B3Minterpolation,R87,TRUE)</f>
        <v>#NAME?</v>
      </c>
      <c r="X87" s="562"/>
      <c r="Y87" s="562"/>
    </row>
    <row r="88" spans="5:25" ht="11.25" customHeight="1" x14ac:dyDescent="0.2">
      <c r="E88" s="563"/>
      <c r="F88" s="563"/>
      <c r="G88" s="562"/>
      <c r="K88" s="562"/>
      <c r="L88" s="562"/>
      <c r="R88" s="561" t="e">
        <f ca="1">_xll.qlCalendarAdvance(Calendar,R87,"1D","f")</f>
        <v>#NAME?</v>
      </c>
      <c r="S88" s="574" t="e">
        <f ca="1">_xll.qlInterpolationInterpolate(B3Minterpolation,R88,TRUE)</f>
        <v>#NAME?</v>
      </c>
      <c r="X88" s="562"/>
      <c r="Y88" s="562"/>
    </row>
    <row r="89" spans="5:25" ht="11.25" customHeight="1" x14ac:dyDescent="0.2">
      <c r="E89" s="563"/>
      <c r="F89" s="563"/>
      <c r="G89" s="562"/>
      <c r="K89" s="562"/>
      <c r="L89" s="562"/>
      <c r="R89" s="561" t="e">
        <f ca="1">_xll.qlCalendarAdvance(Calendar,R88,"1D","f")</f>
        <v>#NAME?</v>
      </c>
      <c r="S89" s="574" t="e">
        <f ca="1">_xll.qlInterpolationInterpolate(B3Minterpolation,R89,TRUE)</f>
        <v>#NAME?</v>
      </c>
      <c r="X89" s="562"/>
      <c r="Y89" s="562"/>
    </row>
    <row r="90" spans="5:25" ht="11.25" customHeight="1" x14ac:dyDescent="0.2">
      <c r="E90" s="563"/>
      <c r="F90" s="563"/>
      <c r="G90" s="562"/>
      <c r="K90" s="562"/>
      <c r="L90" s="562"/>
      <c r="R90" s="561" t="e">
        <f ca="1">_xll.qlCalendarAdvance(Calendar,R89,"1D","f")</f>
        <v>#NAME?</v>
      </c>
      <c r="S90" s="574" t="e">
        <f ca="1">_xll.qlInterpolationInterpolate(B3Minterpolation,R90,TRUE)</f>
        <v>#NAME?</v>
      </c>
      <c r="X90" s="562"/>
      <c r="Y90" s="562"/>
    </row>
    <row r="91" spans="5:25" ht="11.25" customHeight="1" x14ac:dyDescent="0.2">
      <c r="E91" s="563"/>
      <c r="F91" s="563"/>
      <c r="G91" s="562"/>
      <c r="K91" s="562"/>
      <c r="L91" s="562"/>
      <c r="R91" s="561" t="e">
        <f ca="1">_xll.qlCalendarAdvance(Calendar,R90,"1D","f")</f>
        <v>#NAME?</v>
      </c>
      <c r="S91" s="574" t="e">
        <f ca="1">_xll.qlInterpolationInterpolate(B3Minterpolation,R91,TRUE)</f>
        <v>#NAME?</v>
      </c>
      <c r="X91" s="562"/>
      <c r="Y91" s="562"/>
    </row>
    <row r="92" spans="5:25" ht="11.25" customHeight="1" x14ac:dyDescent="0.2">
      <c r="E92" s="563"/>
      <c r="F92" s="563"/>
      <c r="G92" s="562"/>
      <c r="K92" s="562"/>
      <c r="L92" s="562"/>
      <c r="R92" s="561" t="e">
        <f ca="1">_xll.qlCalendarAdvance(Calendar,R91,"1D","f")</f>
        <v>#NAME?</v>
      </c>
      <c r="S92" s="574" t="e">
        <f ca="1">_xll.qlInterpolationInterpolate(B3Minterpolation,R92,TRUE)</f>
        <v>#NAME?</v>
      </c>
      <c r="X92" s="562"/>
      <c r="Y92" s="562"/>
    </row>
    <row r="93" spans="5:25" ht="11.25" customHeight="1" x14ac:dyDescent="0.2">
      <c r="E93" s="563"/>
      <c r="F93" s="563"/>
      <c r="G93" s="562"/>
      <c r="K93" s="562"/>
      <c r="L93" s="562"/>
      <c r="R93" s="561" t="e">
        <f ca="1">_xll.qlCalendarAdvance(Calendar,R92,"1D","f")</f>
        <v>#NAME?</v>
      </c>
      <c r="S93" s="574" t="e">
        <f ca="1">_xll.qlInterpolationInterpolate(B3Minterpolation,R93,TRUE)</f>
        <v>#NAME?</v>
      </c>
      <c r="X93" s="562"/>
      <c r="Y93" s="562"/>
    </row>
    <row r="94" spans="5:25" ht="11.25" customHeight="1" x14ac:dyDescent="0.2">
      <c r="E94" s="563"/>
      <c r="F94" s="563"/>
      <c r="G94" s="562"/>
      <c r="K94" s="562"/>
      <c r="L94" s="562"/>
      <c r="R94" s="561" t="e">
        <f ca="1">_xll.qlCalendarAdvance(Calendar,R93,"1D","f")</f>
        <v>#NAME?</v>
      </c>
      <c r="S94" s="574" t="e">
        <f ca="1">_xll.qlInterpolationInterpolate(B3Minterpolation,R94,TRUE)</f>
        <v>#NAME?</v>
      </c>
      <c r="X94" s="562"/>
      <c r="Y94" s="562"/>
    </row>
    <row r="95" spans="5:25" ht="11.25" customHeight="1" x14ac:dyDescent="0.2">
      <c r="E95" s="563"/>
      <c r="F95" s="563"/>
      <c r="G95" s="562"/>
      <c r="K95" s="562"/>
      <c r="L95" s="562"/>
      <c r="R95" s="561" t="e">
        <f ca="1">_xll.qlCalendarAdvance(Calendar,R94,"1D","f")</f>
        <v>#NAME?</v>
      </c>
      <c r="S95" s="574" t="e">
        <f ca="1">_xll.qlInterpolationInterpolate(B3Minterpolation,R95,TRUE)</f>
        <v>#NAME?</v>
      </c>
      <c r="X95" s="562"/>
      <c r="Y95" s="562"/>
    </row>
    <row r="96" spans="5:25" ht="11.25" customHeight="1" x14ac:dyDescent="0.2">
      <c r="E96" s="563"/>
      <c r="F96" s="563"/>
      <c r="G96" s="562"/>
      <c r="K96" s="562"/>
      <c r="L96" s="562"/>
      <c r="R96" s="561" t="e">
        <f ca="1">_xll.qlCalendarAdvance(Calendar,R95,"1D","f")</f>
        <v>#NAME?</v>
      </c>
      <c r="S96" s="574" t="e">
        <f ca="1">_xll.qlInterpolationInterpolate(B3Minterpolation,R96,TRUE)</f>
        <v>#NAME?</v>
      </c>
      <c r="X96" s="562"/>
      <c r="Y96" s="562"/>
    </row>
    <row r="97" spans="5:25" ht="11.25" customHeight="1" x14ac:dyDescent="0.2">
      <c r="E97" s="563"/>
      <c r="F97" s="563"/>
      <c r="G97" s="562"/>
      <c r="K97" s="562"/>
      <c r="L97" s="562"/>
      <c r="R97" s="561" t="e">
        <f ca="1">_xll.qlCalendarAdvance(Calendar,R96,"1D","f")</f>
        <v>#NAME?</v>
      </c>
      <c r="S97" s="574" t="e">
        <f ca="1">_xll.qlInterpolationInterpolate(B3Minterpolation,R97,TRUE)</f>
        <v>#NAME?</v>
      </c>
      <c r="X97" s="562"/>
      <c r="Y97" s="562"/>
    </row>
    <row r="98" spans="5:25" ht="11.25" customHeight="1" x14ac:dyDescent="0.2">
      <c r="E98" s="563"/>
      <c r="F98" s="563"/>
      <c r="G98" s="562"/>
      <c r="K98" s="562"/>
      <c r="L98" s="562"/>
      <c r="R98" s="561" t="e">
        <f ca="1">_xll.qlCalendarAdvance(Calendar,R97,"1D","f")</f>
        <v>#NAME?</v>
      </c>
      <c r="S98" s="574" t="e">
        <f ca="1">_xll.qlInterpolationInterpolate(B3Minterpolation,R98,TRUE)</f>
        <v>#NAME?</v>
      </c>
      <c r="X98" s="562"/>
      <c r="Y98" s="562"/>
    </row>
    <row r="99" spans="5:25" ht="11.25" customHeight="1" x14ac:dyDescent="0.2">
      <c r="E99" s="563"/>
      <c r="F99" s="563"/>
      <c r="G99" s="562"/>
      <c r="K99" s="562"/>
      <c r="L99" s="562"/>
      <c r="R99" s="561" t="e">
        <f ca="1">_xll.qlCalendarAdvance(Calendar,R98,"1D","f")</f>
        <v>#NAME?</v>
      </c>
      <c r="S99" s="574" t="e">
        <f ca="1">_xll.qlInterpolationInterpolate(B3Minterpolation,R99,TRUE)</f>
        <v>#NAME?</v>
      </c>
      <c r="X99" s="562"/>
      <c r="Y99" s="562"/>
    </row>
    <row r="100" spans="5:25" ht="11.25" customHeight="1" x14ac:dyDescent="0.2">
      <c r="E100" s="563"/>
      <c r="F100" s="563"/>
      <c r="G100" s="562"/>
      <c r="K100" s="562"/>
      <c r="L100" s="562"/>
      <c r="R100" s="561" t="e">
        <f ca="1">_xll.qlCalendarAdvance(Calendar,R99,"1D","f")</f>
        <v>#NAME?</v>
      </c>
      <c r="S100" s="574" t="e">
        <f ca="1">_xll.qlInterpolationInterpolate(B3Minterpolation,R100,TRUE)</f>
        <v>#NAME?</v>
      </c>
      <c r="X100" s="562"/>
      <c r="Y100" s="562"/>
    </row>
    <row r="101" spans="5:25" ht="11.25" customHeight="1" x14ac:dyDescent="0.2">
      <c r="E101" s="563"/>
      <c r="F101" s="563"/>
      <c r="G101" s="562"/>
      <c r="K101" s="562"/>
      <c r="L101" s="562"/>
      <c r="R101" s="561" t="e">
        <f ca="1">_xll.qlCalendarAdvance(Calendar,R100,"1D","f")</f>
        <v>#NAME?</v>
      </c>
      <c r="S101" s="574" t="e">
        <f ca="1">_xll.qlInterpolationInterpolate(B3Minterpolation,R101,TRUE)</f>
        <v>#NAME?</v>
      </c>
      <c r="X101" s="562"/>
      <c r="Y101" s="562"/>
    </row>
    <row r="102" spans="5:25" ht="11.25" customHeight="1" x14ac:dyDescent="0.2">
      <c r="E102" s="563"/>
      <c r="F102" s="563"/>
      <c r="G102" s="562"/>
      <c r="K102" s="562"/>
      <c r="L102" s="562"/>
      <c r="R102" s="561" t="e">
        <f ca="1">_xll.qlCalendarAdvance(Calendar,R101,"1D","f")</f>
        <v>#NAME?</v>
      </c>
      <c r="S102" s="574" t="e">
        <f ca="1">_xll.qlInterpolationInterpolate(B3Minterpolation,R102,TRUE)</f>
        <v>#NAME?</v>
      </c>
      <c r="X102" s="562"/>
      <c r="Y102" s="562"/>
    </row>
    <row r="103" spans="5:25" ht="11.25" customHeight="1" x14ac:dyDescent="0.2">
      <c r="E103" s="563"/>
      <c r="F103" s="563"/>
      <c r="G103" s="562"/>
      <c r="K103" s="562"/>
      <c r="L103" s="562"/>
      <c r="R103" s="561" t="e">
        <f ca="1">_xll.qlCalendarAdvance(Calendar,R102,"1D","f")</f>
        <v>#NAME?</v>
      </c>
      <c r="S103" s="574" t="e">
        <f ca="1">_xll.qlInterpolationInterpolate(B3Minterpolation,R103,TRUE)</f>
        <v>#NAME?</v>
      </c>
      <c r="X103" s="562"/>
      <c r="Y103" s="562"/>
    </row>
    <row r="104" spans="5:25" ht="11.25" customHeight="1" x14ac:dyDescent="0.2">
      <c r="E104" s="563"/>
      <c r="F104" s="563"/>
      <c r="G104" s="562"/>
      <c r="K104" s="562"/>
      <c r="L104" s="562"/>
      <c r="R104" s="561" t="e">
        <f ca="1">_xll.qlCalendarAdvance(Calendar,R103,"1D","f")</f>
        <v>#NAME?</v>
      </c>
      <c r="S104" s="574" t="e">
        <f ca="1">_xll.qlInterpolationInterpolate(B3Minterpolation,R104,TRUE)</f>
        <v>#NAME?</v>
      </c>
      <c r="X104" s="562"/>
      <c r="Y104" s="562"/>
    </row>
    <row r="105" spans="5:25" ht="11.25" customHeight="1" x14ac:dyDescent="0.2">
      <c r="E105" s="563"/>
      <c r="F105" s="563"/>
      <c r="G105" s="562"/>
      <c r="K105" s="562"/>
      <c r="L105" s="562"/>
      <c r="R105" s="561" t="e">
        <f ca="1">_xll.qlCalendarAdvance(Calendar,R104,"1D","f")</f>
        <v>#NAME?</v>
      </c>
      <c r="S105" s="574" t="e">
        <f ca="1">_xll.qlInterpolationInterpolate(B3Minterpolation,R105,TRUE)</f>
        <v>#NAME?</v>
      </c>
      <c r="X105" s="562"/>
      <c r="Y105" s="562"/>
    </row>
    <row r="106" spans="5:25" ht="11.25" customHeight="1" x14ac:dyDescent="0.2">
      <c r="E106" s="563"/>
      <c r="F106" s="563"/>
      <c r="G106" s="562"/>
      <c r="K106" s="562"/>
      <c r="L106" s="562"/>
      <c r="R106" s="561" t="e">
        <f ca="1">_xll.qlCalendarAdvance(Calendar,R105,"1D","f")</f>
        <v>#NAME?</v>
      </c>
      <c r="S106" s="574" t="e">
        <f ca="1">_xll.qlInterpolationInterpolate(B3Minterpolation,R106,TRUE)</f>
        <v>#NAME?</v>
      </c>
      <c r="X106" s="562"/>
      <c r="Y106" s="562"/>
    </row>
    <row r="107" spans="5:25" ht="11.25" customHeight="1" x14ac:dyDescent="0.2">
      <c r="E107" s="563"/>
      <c r="F107" s="563"/>
      <c r="G107" s="562"/>
      <c r="K107" s="562"/>
      <c r="L107" s="562"/>
      <c r="R107" s="561" t="e">
        <f ca="1">_xll.qlCalendarAdvance(Calendar,R106,"1D","f")</f>
        <v>#NAME?</v>
      </c>
      <c r="S107" s="574" t="e">
        <f ca="1">_xll.qlInterpolationInterpolate(B3Minterpolation,R107,TRUE)</f>
        <v>#NAME?</v>
      </c>
      <c r="X107" s="562"/>
      <c r="Y107" s="562"/>
    </row>
    <row r="108" spans="5:25" ht="11.25" customHeight="1" x14ac:dyDescent="0.2">
      <c r="E108" s="563"/>
      <c r="F108" s="563"/>
      <c r="G108" s="562"/>
      <c r="K108" s="562"/>
      <c r="L108" s="562"/>
      <c r="R108" s="561" t="e">
        <f ca="1">_xll.qlCalendarAdvance(Calendar,R107,"1D","f")</f>
        <v>#NAME?</v>
      </c>
      <c r="S108" s="574" t="e">
        <f ca="1">_xll.qlInterpolationInterpolate(B3Minterpolation,R108,TRUE)</f>
        <v>#NAME?</v>
      </c>
      <c r="X108" s="562"/>
      <c r="Y108" s="562"/>
    </row>
    <row r="109" spans="5:25" ht="11.25" customHeight="1" x14ac:dyDescent="0.2">
      <c r="E109" s="563"/>
      <c r="F109" s="563"/>
      <c r="G109" s="562"/>
      <c r="K109" s="562"/>
      <c r="L109" s="562"/>
      <c r="R109" s="561" t="e">
        <f ca="1">_xll.qlCalendarAdvance(Calendar,R108,"1D","f")</f>
        <v>#NAME?</v>
      </c>
      <c r="S109" s="574" t="e">
        <f ca="1">_xll.qlInterpolationInterpolate(B3Minterpolation,R109,TRUE)</f>
        <v>#NAME?</v>
      </c>
      <c r="X109" s="562"/>
      <c r="Y109" s="562"/>
    </row>
    <row r="110" spans="5:25" ht="11.25" customHeight="1" x14ac:dyDescent="0.2">
      <c r="E110" s="563"/>
      <c r="F110" s="563"/>
      <c r="G110" s="562"/>
      <c r="K110" s="562"/>
      <c r="L110" s="562"/>
      <c r="R110" s="561" t="e">
        <f ca="1">_xll.qlCalendarAdvance(Calendar,R109,"1D","f")</f>
        <v>#NAME?</v>
      </c>
      <c r="S110" s="574" t="e">
        <f ca="1">_xll.qlInterpolationInterpolate(B3Minterpolation,R110,TRUE)</f>
        <v>#NAME?</v>
      </c>
      <c r="X110" s="562"/>
      <c r="Y110" s="562"/>
    </row>
    <row r="111" spans="5:25" ht="11.25" customHeight="1" x14ac:dyDescent="0.2">
      <c r="E111" s="563"/>
      <c r="F111" s="563"/>
      <c r="G111" s="562"/>
      <c r="K111" s="562"/>
      <c r="L111" s="562"/>
      <c r="R111" s="561" t="e">
        <f ca="1">_xll.qlCalendarAdvance(Calendar,R110,"1D","f")</f>
        <v>#NAME?</v>
      </c>
      <c r="S111" s="574" t="e">
        <f ca="1">_xll.qlInterpolationInterpolate(B3Minterpolation,R111,TRUE)</f>
        <v>#NAME?</v>
      </c>
      <c r="X111" s="562"/>
      <c r="Y111" s="562"/>
    </row>
    <row r="112" spans="5:25" ht="11.25" customHeight="1" x14ac:dyDescent="0.2">
      <c r="E112" s="563"/>
      <c r="F112" s="563"/>
      <c r="G112" s="562"/>
      <c r="K112" s="562"/>
      <c r="L112" s="562"/>
      <c r="R112" s="561" t="e">
        <f ca="1">_xll.qlCalendarAdvance(Calendar,R111,"1D","f")</f>
        <v>#NAME?</v>
      </c>
      <c r="S112" s="574" t="e">
        <f ca="1">_xll.qlInterpolationInterpolate(B3Minterpolation,R112,TRUE)</f>
        <v>#NAME?</v>
      </c>
      <c r="X112" s="562"/>
      <c r="Y112" s="562"/>
    </row>
    <row r="113" spans="5:25" ht="11.25" customHeight="1" x14ac:dyDescent="0.2">
      <c r="E113" s="563"/>
      <c r="F113" s="563"/>
      <c r="G113" s="562"/>
      <c r="K113" s="562"/>
      <c r="L113" s="562"/>
      <c r="R113" s="561" t="e">
        <f ca="1">_xll.qlCalendarAdvance(Calendar,R112,"1D","f")</f>
        <v>#NAME?</v>
      </c>
      <c r="S113" s="574" t="e">
        <f ca="1">_xll.qlInterpolationInterpolate(B3Minterpolation,R113,TRUE)</f>
        <v>#NAME?</v>
      </c>
      <c r="X113" s="562"/>
      <c r="Y113" s="562"/>
    </row>
    <row r="114" spans="5:25" ht="11.25" customHeight="1" x14ac:dyDescent="0.2">
      <c r="E114" s="563"/>
      <c r="F114" s="563"/>
      <c r="G114" s="562"/>
      <c r="K114" s="562"/>
      <c r="L114" s="562"/>
      <c r="R114" s="561" t="e">
        <f ca="1">_xll.qlCalendarAdvance(Calendar,R113,"1D","f")</f>
        <v>#NAME?</v>
      </c>
      <c r="S114" s="574" t="e">
        <f ca="1">_xll.qlInterpolationInterpolate(B3Minterpolation,R114,TRUE)</f>
        <v>#NAME?</v>
      </c>
      <c r="X114" s="562"/>
      <c r="Y114" s="562"/>
    </row>
    <row r="115" spans="5:25" ht="11.25" customHeight="1" x14ac:dyDescent="0.2">
      <c r="E115" s="563"/>
      <c r="F115" s="563"/>
      <c r="G115" s="562"/>
      <c r="K115" s="562"/>
      <c r="L115" s="562"/>
      <c r="R115" s="561" t="e">
        <f ca="1">_xll.qlCalendarAdvance(Calendar,R114,"1D","f")</f>
        <v>#NAME?</v>
      </c>
      <c r="S115" s="574" t="e">
        <f ca="1">_xll.qlInterpolationInterpolate(B3Minterpolation,R115,TRUE)</f>
        <v>#NAME?</v>
      </c>
      <c r="X115" s="562"/>
      <c r="Y115" s="562"/>
    </row>
    <row r="116" spans="5:25" ht="11.25" customHeight="1" x14ac:dyDescent="0.2">
      <c r="E116" s="563"/>
      <c r="F116" s="563"/>
      <c r="G116" s="562"/>
      <c r="K116" s="562"/>
      <c r="L116" s="562"/>
      <c r="R116" s="561" t="e">
        <f ca="1">_xll.qlCalendarAdvance(Calendar,R115,"1D","f")</f>
        <v>#NAME?</v>
      </c>
      <c r="S116" s="574" t="e">
        <f ca="1">_xll.qlInterpolationInterpolate(B3Minterpolation,R116,TRUE)</f>
        <v>#NAME?</v>
      </c>
      <c r="X116" s="562"/>
      <c r="Y116" s="562"/>
    </row>
    <row r="117" spans="5:25" ht="11.25" customHeight="1" x14ac:dyDescent="0.2">
      <c r="E117" s="563"/>
      <c r="F117" s="563"/>
      <c r="G117" s="562"/>
      <c r="K117" s="562"/>
      <c r="L117" s="562"/>
      <c r="R117" s="561" t="e">
        <f ca="1">_xll.qlCalendarAdvance(Calendar,R116,"1D","f")</f>
        <v>#NAME?</v>
      </c>
      <c r="S117" s="574" t="e">
        <f ca="1">_xll.qlInterpolationInterpolate(B3Minterpolation,R117,TRUE)</f>
        <v>#NAME?</v>
      </c>
      <c r="X117" s="562"/>
      <c r="Y117" s="562"/>
    </row>
    <row r="118" spans="5:25" ht="11.25" customHeight="1" x14ac:dyDescent="0.2">
      <c r="E118" s="563"/>
      <c r="F118" s="563"/>
      <c r="G118" s="562"/>
      <c r="K118" s="562"/>
      <c r="L118" s="562"/>
      <c r="R118" s="561" t="e">
        <f ca="1">_xll.qlCalendarAdvance(Calendar,R117,"1D","f")</f>
        <v>#NAME?</v>
      </c>
      <c r="S118" s="574" t="e">
        <f ca="1">_xll.qlInterpolationInterpolate(B3Minterpolation,R118,TRUE)</f>
        <v>#NAME?</v>
      </c>
      <c r="X118" s="562"/>
      <c r="Y118" s="562"/>
    </row>
    <row r="119" spans="5:25" ht="11.25" customHeight="1" x14ac:dyDescent="0.2">
      <c r="E119" s="563"/>
      <c r="F119" s="563"/>
      <c r="G119" s="562"/>
      <c r="K119" s="562"/>
      <c r="L119" s="562"/>
      <c r="R119" s="561" t="e">
        <f ca="1">_xll.qlCalendarAdvance(Calendar,R118,"1D","f")</f>
        <v>#NAME?</v>
      </c>
      <c r="S119" s="574" t="e">
        <f ca="1">_xll.qlInterpolationInterpolate(B3Minterpolation,R119,TRUE)</f>
        <v>#NAME?</v>
      </c>
      <c r="X119" s="562"/>
      <c r="Y119" s="562"/>
    </row>
    <row r="120" spans="5:25" ht="11.25" customHeight="1" x14ac:dyDescent="0.2">
      <c r="E120" s="563"/>
      <c r="F120" s="563"/>
      <c r="G120" s="562"/>
      <c r="K120" s="562"/>
      <c r="L120" s="562"/>
      <c r="R120" s="561" t="e">
        <f ca="1">_xll.qlCalendarAdvance(Calendar,R119,"1D","f")</f>
        <v>#NAME?</v>
      </c>
      <c r="S120" s="574" t="e">
        <f ca="1">_xll.qlInterpolationInterpolate(B3Minterpolation,R120,TRUE)</f>
        <v>#NAME?</v>
      </c>
      <c r="X120" s="562"/>
      <c r="Y120" s="562"/>
    </row>
    <row r="121" spans="5:25" ht="11.25" customHeight="1" x14ac:dyDescent="0.2">
      <c r="E121" s="563"/>
      <c r="F121" s="563"/>
      <c r="G121" s="562"/>
      <c r="K121" s="562"/>
      <c r="L121" s="562"/>
      <c r="R121" s="561" t="e">
        <f ca="1">_xll.qlCalendarAdvance(Calendar,R120,"1D","f")</f>
        <v>#NAME?</v>
      </c>
      <c r="S121" s="574" t="e">
        <f ca="1">_xll.qlInterpolationInterpolate(B3Minterpolation,R121,TRUE)</f>
        <v>#NAME?</v>
      </c>
      <c r="X121" s="562"/>
      <c r="Y121" s="562"/>
    </row>
    <row r="122" spans="5:25" ht="11.25" customHeight="1" x14ac:dyDescent="0.2">
      <c r="E122" s="563"/>
      <c r="F122" s="563"/>
      <c r="G122" s="562"/>
      <c r="K122" s="562"/>
      <c r="L122" s="562"/>
      <c r="R122" s="561" t="e">
        <f ca="1">_xll.qlCalendarAdvance(Calendar,R121,"1D","f")</f>
        <v>#NAME?</v>
      </c>
      <c r="S122" s="574" t="e">
        <f ca="1">_xll.qlInterpolationInterpolate(B3Minterpolation,R122,TRUE)</f>
        <v>#NAME?</v>
      </c>
      <c r="X122" s="562"/>
      <c r="Y122" s="562"/>
    </row>
    <row r="123" spans="5:25" ht="11.25" customHeight="1" x14ac:dyDescent="0.2">
      <c r="E123" s="563"/>
      <c r="F123" s="563"/>
      <c r="G123" s="562"/>
      <c r="K123" s="562"/>
      <c r="L123" s="562"/>
      <c r="R123" s="561" t="e">
        <f ca="1">_xll.qlCalendarAdvance(Calendar,R122,"1D","f")</f>
        <v>#NAME?</v>
      </c>
      <c r="S123" s="574" t="e">
        <f ca="1">_xll.qlInterpolationInterpolate(B3Minterpolation,R123,TRUE)</f>
        <v>#NAME?</v>
      </c>
      <c r="X123" s="562"/>
      <c r="Y123" s="562"/>
    </row>
    <row r="124" spans="5:25" ht="11.25" customHeight="1" x14ac:dyDescent="0.2">
      <c r="E124" s="563"/>
      <c r="F124" s="563"/>
      <c r="G124" s="562"/>
      <c r="K124" s="562"/>
      <c r="L124" s="562"/>
      <c r="R124" s="561" t="e">
        <f ca="1">_xll.qlCalendarAdvance(Calendar,R123,"1D","f")</f>
        <v>#NAME?</v>
      </c>
      <c r="S124" s="574" t="e">
        <f ca="1">_xll.qlInterpolationInterpolate(B3Minterpolation,R124,TRUE)</f>
        <v>#NAME?</v>
      </c>
      <c r="X124" s="562"/>
      <c r="Y124" s="562"/>
    </row>
    <row r="125" spans="5:25" ht="11.25" customHeight="1" x14ac:dyDescent="0.2">
      <c r="E125" s="563"/>
      <c r="F125" s="563"/>
      <c r="G125" s="562"/>
      <c r="K125" s="562"/>
      <c r="L125" s="562"/>
      <c r="R125" s="561" t="e">
        <f ca="1">_xll.qlCalendarAdvance(Calendar,R124,"1D","f")</f>
        <v>#NAME?</v>
      </c>
      <c r="S125" s="574" t="e">
        <f ca="1">_xll.qlInterpolationInterpolate(B3Minterpolation,R125,TRUE)</f>
        <v>#NAME?</v>
      </c>
      <c r="X125" s="562"/>
      <c r="Y125" s="562"/>
    </row>
    <row r="126" spans="5:25" ht="11.25" customHeight="1" x14ac:dyDescent="0.2">
      <c r="E126" s="563"/>
      <c r="F126" s="563"/>
      <c r="G126" s="562"/>
      <c r="K126" s="562"/>
      <c r="L126" s="562"/>
      <c r="R126" s="561" t="e">
        <f ca="1">_xll.qlCalendarAdvance(Calendar,R125,"1D","f")</f>
        <v>#NAME?</v>
      </c>
      <c r="S126" s="574" t="e">
        <f ca="1">_xll.qlInterpolationInterpolate(B3Minterpolation,R126,TRUE)</f>
        <v>#NAME?</v>
      </c>
      <c r="X126" s="562"/>
      <c r="Y126" s="562"/>
    </row>
    <row r="127" spans="5:25" ht="11.25" customHeight="1" x14ac:dyDescent="0.2">
      <c r="E127" s="563"/>
      <c r="F127" s="563"/>
      <c r="G127" s="562"/>
      <c r="K127" s="562"/>
      <c r="L127" s="562"/>
      <c r="R127" s="561" t="e">
        <f ca="1">_xll.qlCalendarAdvance(Calendar,R126,"1D","f")</f>
        <v>#NAME?</v>
      </c>
      <c r="S127" s="574" t="e">
        <f ca="1">_xll.qlInterpolationInterpolate(B3Minterpolation,R127,TRUE)</f>
        <v>#NAME?</v>
      </c>
      <c r="X127" s="562"/>
      <c r="Y127" s="562"/>
    </row>
    <row r="128" spans="5:25" ht="11.25" customHeight="1" x14ac:dyDescent="0.2">
      <c r="E128" s="563"/>
      <c r="F128" s="563"/>
      <c r="G128" s="562"/>
      <c r="K128" s="562"/>
      <c r="L128" s="562"/>
      <c r="R128" s="561" t="e">
        <f ca="1">_xll.qlCalendarAdvance(Calendar,R127,"1D","f")</f>
        <v>#NAME?</v>
      </c>
      <c r="S128" s="574" t="e">
        <f ca="1">_xll.qlInterpolationInterpolate(B3Minterpolation,R128,TRUE)</f>
        <v>#NAME?</v>
      </c>
      <c r="X128" s="562"/>
      <c r="Y128" s="562"/>
    </row>
    <row r="129" spans="5:25" ht="11.25" customHeight="1" x14ac:dyDescent="0.2">
      <c r="E129" s="563"/>
      <c r="F129" s="563"/>
      <c r="G129" s="562"/>
      <c r="K129" s="562"/>
      <c r="L129" s="562"/>
      <c r="R129" s="561" t="e">
        <f ca="1">_xll.qlCalendarAdvance(Calendar,R128,"1D","f")</f>
        <v>#NAME?</v>
      </c>
      <c r="S129" s="574" t="e">
        <f ca="1">_xll.qlInterpolationInterpolate(B3Minterpolation,R129,TRUE)</f>
        <v>#NAME?</v>
      </c>
      <c r="X129" s="562"/>
      <c r="Y129" s="562"/>
    </row>
    <row r="130" spans="5:25" ht="11.25" customHeight="1" x14ac:dyDescent="0.2">
      <c r="E130" s="563"/>
      <c r="F130" s="563"/>
      <c r="G130" s="562"/>
      <c r="K130" s="562"/>
      <c r="L130" s="562"/>
      <c r="R130" s="561" t="e">
        <f ca="1">_xll.qlCalendarAdvance(Calendar,R129,"1D","f")</f>
        <v>#NAME?</v>
      </c>
      <c r="S130" s="574" t="e">
        <f ca="1">_xll.qlInterpolationInterpolate(B3Minterpolation,R130,TRUE)</f>
        <v>#NAME?</v>
      </c>
      <c r="X130" s="562"/>
      <c r="Y130" s="562"/>
    </row>
    <row r="131" spans="5:25" ht="11.25" customHeight="1" x14ac:dyDescent="0.2">
      <c r="E131" s="563"/>
      <c r="F131" s="563"/>
      <c r="G131" s="562"/>
      <c r="K131" s="562"/>
      <c r="L131" s="562"/>
      <c r="R131" s="561" t="e">
        <f ca="1">_xll.qlCalendarAdvance(Calendar,R130,"1D","f")</f>
        <v>#NAME?</v>
      </c>
      <c r="S131" s="574" t="e">
        <f ca="1">_xll.qlInterpolationInterpolate(B3Minterpolation,R131,TRUE)</f>
        <v>#NAME?</v>
      </c>
      <c r="X131" s="562"/>
      <c r="Y131" s="562"/>
    </row>
    <row r="132" spans="5:25" ht="11.25" customHeight="1" x14ac:dyDescent="0.2">
      <c r="E132" s="563"/>
      <c r="F132" s="563"/>
      <c r="G132" s="562"/>
      <c r="K132" s="562"/>
      <c r="L132" s="562"/>
      <c r="R132" s="561" t="e">
        <f ca="1">_xll.qlCalendarAdvance(Calendar,R131,"1D","f")</f>
        <v>#NAME?</v>
      </c>
      <c r="S132" s="574" t="e">
        <f ca="1">_xll.qlInterpolationInterpolate(B3Minterpolation,R132,TRUE)</f>
        <v>#NAME?</v>
      </c>
      <c r="X132" s="562"/>
      <c r="Y132" s="562"/>
    </row>
    <row r="133" spans="5:25" ht="11.25" customHeight="1" x14ac:dyDescent="0.2">
      <c r="E133" s="563"/>
      <c r="F133" s="563"/>
      <c r="G133" s="562"/>
      <c r="K133" s="562"/>
      <c r="L133" s="562"/>
      <c r="R133" s="561" t="e">
        <f ca="1">_xll.qlCalendarAdvance(Calendar,R132,"1D","f")</f>
        <v>#NAME?</v>
      </c>
      <c r="S133" s="574" t="e">
        <f ca="1">_xll.qlInterpolationInterpolate(B3Minterpolation,R133,TRUE)</f>
        <v>#NAME?</v>
      </c>
      <c r="X133" s="562"/>
      <c r="Y133" s="562"/>
    </row>
    <row r="134" spans="5:25" ht="11.25" customHeight="1" x14ac:dyDescent="0.2">
      <c r="E134" s="563"/>
      <c r="F134" s="563"/>
      <c r="G134" s="562"/>
      <c r="K134" s="562"/>
      <c r="L134" s="562"/>
      <c r="R134" s="561" t="e">
        <f ca="1">_xll.qlCalendarAdvance(Calendar,R133,"1D","f")</f>
        <v>#NAME?</v>
      </c>
      <c r="S134" s="574" t="e">
        <f ca="1">_xll.qlInterpolationInterpolate(B3Minterpolation,R134,TRUE)</f>
        <v>#NAME?</v>
      </c>
      <c r="X134" s="562"/>
      <c r="Y134" s="562"/>
    </row>
    <row r="135" spans="5:25" ht="11.25" customHeight="1" x14ac:dyDescent="0.2">
      <c r="E135" s="563"/>
      <c r="F135" s="563"/>
      <c r="G135" s="562"/>
      <c r="K135" s="562"/>
      <c r="L135" s="562"/>
      <c r="R135" s="561" t="e">
        <f ca="1">_xll.qlCalendarAdvance(Calendar,R134,"1D","f")</f>
        <v>#NAME?</v>
      </c>
      <c r="S135" s="574" t="e">
        <f ca="1">_xll.qlInterpolationInterpolate(B3Minterpolation,R135,TRUE)</f>
        <v>#NAME?</v>
      </c>
      <c r="X135" s="562"/>
      <c r="Y135" s="562"/>
    </row>
    <row r="136" spans="5:25" ht="11.25" customHeight="1" x14ac:dyDescent="0.2">
      <c r="E136" s="563"/>
      <c r="F136" s="563"/>
      <c r="G136" s="562"/>
      <c r="K136" s="562"/>
      <c r="L136" s="562"/>
      <c r="R136" s="561" t="e">
        <f ca="1">_xll.qlCalendarAdvance(Calendar,R135,"1D","f")</f>
        <v>#NAME?</v>
      </c>
      <c r="S136" s="574" t="e">
        <f ca="1">_xll.qlInterpolationInterpolate(B3Minterpolation,R136,TRUE)</f>
        <v>#NAME?</v>
      </c>
      <c r="X136" s="562"/>
      <c r="Y136" s="562"/>
    </row>
    <row r="137" spans="5:25" ht="11.25" customHeight="1" x14ac:dyDescent="0.2">
      <c r="E137" s="563"/>
      <c r="F137" s="563"/>
      <c r="G137" s="562"/>
      <c r="K137" s="562"/>
      <c r="L137" s="562"/>
      <c r="R137" s="561" t="e">
        <f ca="1">_xll.qlCalendarAdvance(Calendar,R136,"1D","f")</f>
        <v>#NAME?</v>
      </c>
      <c r="S137" s="574" t="e">
        <f ca="1">_xll.qlInterpolationInterpolate(B3Minterpolation,R137,TRUE)</f>
        <v>#NAME?</v>
      </c>
      <c r="X137" s="562"/>
      <c r="Y137" s="562"/>
    </row>
    <row r="138" spans="5:25" ht="11.25" customHeight="1" x14ac:dyDescent="0.2">
      <c r="E138" s="563"/>
      <c r="F138" s="563"/>
      <c r="G138" s="562"/>
      <c r="K138" s="562"/>
      <c r="L138" s="562"/>
      <c r="R138" s="561" t="e">
        <f ca="1">_xll.qlCalendarAdvance(Calendar,R137,"1D","f")</f>
        <v>#NAME?</v>
      </c>
      <c r="S138" s="574" t="e">
        <f ca="1">_xll.qlInterpolationInterpolate(B3Minterpolation,R138,TRUE)</f>
        <v>#NAME?</v>
      </c>
      <c r="X138" s="562"/>
      <c r="Y138" s="562"/>
    </row>
    <row r="139" spans="5:25" ht="11.25" customHeight="1" x14ac:dyDescent="0.2">
      <c r="E139" s="563"/>
      <c r="F139" s="563"/>
      <c r="G139" s="562"/>
      <c r="K139" s="562"/>
      <c r="L139" s="562"/>
      <c r="R139" s="561" t="e">
        <f ca="1">_xll.qlCalendarAdvance(Calendar,R138,"1D","f")</f>
        <v>#NAME?</v>
      </c>
      <c r="S139" s="574" t="e">
        <f ca="1">_xll.qlInterpolationInterpolate(B3Minterpolation,R139,TRUE)</f>
        <v>#NAME?</v>
      </c>
      <c r="X139" s="562"/>
      <c r="Y139" s="562"/>
    </row>
    <row r="140" spans="5:25" ht="11.25" customHeight="1" x14ac:dyDescent="0.2">
      <c r="E140" s="563"/>
      <c r="F140" s="563"/>
      <c r="G140" s="562"/>
      <c r="K140" s="562"/>
      <c r="L140" s="562"/>
      <c r="R140" s="561" t="e">
        <f ca="1">_xll.qlCalendarAdvance(Calendar,R139,"1D","f")</f>
        <v>#NAME?</v>
      </c>
      <c r="S140" s="574" t="e">
        <f ca="1">_xll.qlInterpolationInterpolate(B3Minterpolation,R140,TRUE)</f>
        <v>#NAME?</v>
      </c>
      <c r="X140" s="562"/>
      <c r="Y140" s="562"/>
    </row>
    <row r="141" spans="5:25" ht="11.25" customHeight="1" x14ac:dyDescent="0.2">
      <c r="E141" s="563"/>
      <c r="F141" s="563"/>
      <c r="G141" s="562"/>
      <c r="K141" s="562"/>
      <c r="L141" s="562"/>
      <c r="R141" s="561" t="e">
        <f ca="1">_xll.qlCalendarAdvance(Calendar,R140,"1D","f")</f>
        <v>#NAME?</v>
      </c>
      <c r="S141" s="574" t="e">
        <f ca="1">_xll.qlInterpolationInterpolate(B3Minterpolation,R141,TRUE)</f>
        <v>#NAME?</v>
      </c>
      <c r="X141" s="562"/>
      <c r="Y141" s="562"/>
    </row>
    <row r="142" spans="5:25" ht="11.25" customHeight="1" x14ac:dyDescent="0.2">
      <c r="E142" s="563"/>
      <c r="F142" s="563"/>
      <c r="G142" s="562"/>
      <c r="K142" s="562"/>
      <c r="L142" s="562"/>
      <c r="R142" s="561" t="e">
        <f ca="1">_xll.qlCalendarAdvance(Calendar,R141,"1D","f")</f>
        <v>#NAME?</v>
      </c>
      <c r="S142" s="574" t="e">
        <f ca="1">_xll.qlInterpolationInterpolate(B3Minterpolation,R142,TRUE)</f>
        <v>#NAME?</v>
      </c>
      <c r="X142" s="562"/>
      <c r="Y142" s="562"/>
    </row>
    <row r="143" spans="5:25" ht="11.25" customHeight="1" x14ac:dyDescent="0.2">
      <c r="E143" s="563"/>
      <c r="F143" s="563"/>
      <c r="G143" s="562"/>
      <c r="K143" s="562"/>
      <c r="L143" s="562"/>
      <c r="R143" s="561" t="e">
        <f ca="1">_xll.qlCalendarAdvance(Calendar,R142,"1D","f")</f>
        <v>#NAME?</v>
      </c>
      <c r="S143" s="574" t="e">
        <f ca="1">_xll.qlInterpolationInterpolate(B3Minterpolation,R143,TRUE)</f>
        <v>#NAME?</v>
      </c>
      <c r="X143" s="562"/>
      <c r="Y143" s="562"/>
    </row>
    <row r="144" spans="5:25" ht="11.25" customHeight="1" x14ac:dyDescent="0.2">
      <c r="E144" s="563"/>
      <c r="F144" s="563"/>
      <c r="G144" s="562"/>
      <c r="K144" s="562"/>
      <c r="L144" s="562"/>
      <c r="R144" s="561" t="e">
        <f ca="1">_xll.qlCalendarAdvance(Calendar,R143,"1D","f")</f>
        <v>#NAME?</v>
      </c>
      <c r="S144" s="574" t="e">
        <f ca="1">_xll.qlInterpolationInterpolate(B3Minterpolation,R144,TRUE)</f>
        <v>#NAME?</v>
      </c>
      <c r="X144" s="562"/>
      <c r="Y144" s="562"/>
    </row>
    <row r="145" spans="5:25" ht="11.25" customHeight="1" x14ac:dyDescent="0.2">
      <c r="E145" s="563"/>
      <c r="F145" s="563"/>
      <c r="G145" s="562"/>
      <c r="K145" s="562"/>
      <c r="L145" s="562"/>
      <c r="R145" s="561" t="e">
        <f ca="1">_xll.qlCalendarAdvance(Calendar,R144,"1D","f")</f>
        <v>#NAME?</v>
      </c>
      <c r="S145" s="574" t="e">
        <f ca="1">_xll.qlInterpolationInterpolate(B3Minterpolation,R145,TRUE)</f>
        <v>#NAME?</v>
      </c>
      <c r="X145" s="562"/>
      <c r="Y145" s="562"/>
    </row>
    <row r="146" spans="5:25" ht="11.25" customHeight="1" x14ac:dyDescent="0.2">
      <c r="E146" s="563"/>
      <c r="F146" s="563"/>
      <c r="G146" s="562"/>
      <c r="K146" s="562"/>
      <c r="L146" s="562"/>
      <c r="R146" s="561" t="e">
        <f ca="1">_xll.qlCalendarAdvance(Calendar,R145,"1D","f")</f>
        <v>#NAME?</v>
      </c>
      <c r="S146" s="574" t="e">
        <f ca="1">_xll.qlInterpolationInterpolate(B3Minterpolation,R146,TRUE)</f>
        <v>#NAME?</v>
      </c>
      <c r="X146" s="562"/>
      <c r="Y146" s="562"/>
    </row>
    <row r="147" spans="5:25" ht="11.25" customHeight="1" x14ac:dyDescent="0.2">
      <c r="E147" s="563"/>
      <c r="F147" s="563"/>
      <c r="G147" s="562"/>
      <c r="K147" s="562"/>
      <c r="L147" s="562"/>
      <c r="R147" s="561" t="e">
        <f ca="1">_xll.qlCalendarAdvance(Calendar,R146,"1D","f")</f>
        <v>#NAME?</v>
      </c>
      <c r="S147" s="574" t="e">
        <f ca="1">_xll.qlInterpolationInterpolate(B3Minterpolation,R147,TRUE)</f>
        <v>#NAME?</v>
      </c>
      <c r="X147" s="562"/>
      <c r="Y147" s="562"/>
    </row>
    <row r="148" spans="5:25" ht="11.25" customHeight="1" x14ac:dyDescent="0.2">
      <c r="E148" s="563"/>
      <c r="F148" s="563"/>
      <c r="G148" s="562"/>
      <c r="K148" s="562"/>
      <c r="L148" s="562"/>
      <c r="R148" s="561" t="e">
        <f ca="1">_xll.qlCalendarAdvance(Calendar,R147,"1D","f")</f>
        <v>#NAME?</v>
      </c>
      <c r="S148" s="574" t="e">
        <f ca="1">_xll.qlInterpolationInterpolate(B3Minterpolation,R148,TRUE)</f>
        <v>#NAME?</v>
      </c>
      <c r="X148" s="562"/>
      <c r="Y148" s="562"/>
    </row>
    <row r="149" spans="5:25" ht="11.25" customHeight="1" x14ac:dyDescent="0.2">
      <c r="E149" s="563"/>
      <c r="F149" s="563"/>
      <c r="G149" s="562"/>
      <c r="K149" s="562"/>
      <c r="L149" s="562"/>
      <c r="R149" s="561" t="e">
        <f ca="1">_xll.qlCalendarAdvance(Calendar,R148,"1D","f")</f>
        <v>#NAME?</v>
      </c>
      <c r="S149" s="574" t="e">
        <f ca="1">_xll.qlInterpolationInterpolate(B3Minterpolation,R149,TRUE)</f>
        <v>#NAME?</v>
      </c>
      <c r="X149" s="562"/>
      <c r="Y149" s="562"/>
    </row>
    <row r="150" spans="5:25" ht="11.25" customHeight="1" x14ac:dyDescent="0.2">
      <c r="E150" s="563"/>
      <c r="F150" s="563"/>
      <c r="G150" s="562"/>
      <c r="K150" s="562"/>
      <c r="L150" s="562"/>
      <c r="R150" s="561" t="e">
        <f ca="1">_xll.qlCalendarAdvance(Calendar,R149,"1D","f")</f>
        <v>#NAME?</v>
      </c>
      <c r="S150" s="574" t="e">
        <f ca="1">_xll.qlInterpolationInterpolate(B3Minterpolation,R150,TRUE)</f>
        <v>#NAME?</v>
      </c>
      <c r="X150" s="562"/>
      <c r="Y150" s="562"/>
    </row>
    <row r="151" spans="5:25" ht="11.25" customHeight="1" x14ac:dyDescent="0.2">
      <c r="E151" s="563"/>
      <c r="F151" s="563"/>
      <c r="G151" s="562"/>
      <c r="K151" s="562"/>
      <c r="L151" s="562"/>
      <c r="R151" s="561" t="e">
        <f ca="1">_xll.qlCalendarAdvance(Calendar,R150,"1D","f")</f>
        <v>#NAME?</v>
      </c>
      <c r="S151" s="574" t="e">
        <f ca="1">_xll.qlInterpolationInterpolate(B3Minterpolation,R151,TRUE)</f>
        <v>#NAME?</v>
      </c>
      <c r="X151" s="562"/>
      <c r="Y151" s="562"/>
    </row>
    <row r="152" spans="5:25" ht="11.25" customHeight="1" x14ac:dyDescent="0.2">
      <c r="E152" s="563"/>
      <c r="F152" s="563"/>
      <c r="G152" s="562"/>
      <c r="K152" s="562"/>
      <c r="L152" s="562"/>
      <c r="R152" s="561" t="e">
        <f ca="1">_xll.qlCalendarAdvance(Calendar,R151,"1D","f")</f>
        <v>#NAME?</v>
      </c>
      <c r="S152" s="574" t="e">
        <f ca="1">_xll.qlInterpolationInterpolate(B3Minterpolation,R152,TRUE)</f>
        <v>#NAME?</v>
      </c>
      <c r="X152" s="562"/>
      <c r="Y152" s="562"/>
    </row>
    <row r="153" spans="5:25" ht="11.25" customHeight="1" x14ac:dyDescent="0.2">
      <c r="E153" s="563"/>
      <c r="F153" s="563"/>
      <c r="G153" s="562"/>
      <c r="K153" s="562"/>
      <c r="L153" s="562"/>
      <c r="R153" s="561" t="e">
        <f ca="1">_xll.qlCalendarAdvance(Calendar,R152,"1D","f")</f>
        <v>#NAME?</v>
      </c>
      <c r="S153" s="574" t="e">
        <f ca="1">_xll.qlInterpolationInterpolate(B3Minterpolation,R153,TRUE)</f>
        <v>#NAME?</v>
      </c>
      <c r="X153" s="562"/>
      <c r="Y153" s="562"/>
    </row>
    <row r="154" spans="5:25" ht="11.25" customHeight="1" x14ac:dyDescent="0.2">
      <c r="E154" s="563"/>
      <c r="F154" s="563"/>
      <c r="G154" s="562"/>
      <c r="K154" s="562"/>
      <c r="L154" s="562"/>
      <c r="R154" s="561" t="e">
        <f ca="1">_xll.qlCalendarAdvance(Calendar,R153,"1D","f")</f>
        <v>#NAME?</v>
      </c>
      <c r="S154" s="574" t="e">
        <f ca="1">_xll.qlInterpolationInterpolate(B3Minterpolation,R154,TRUE)</f>
        <v>#NAME?</v>
      </c>
      <c r="X154" s="562"/>
      <c r="Y154" s="562"/>
    </row>
    <row r="155" spans="5:25" ht="11.25" customHeight="1" x14ac:dyDescent="0.2">
      <c r="E155" s="563"/>
      <c r="F155" s="563"/>
      <c r="G155" s="562"/>
      <c r="K155" s="562"/>
      <c r="L155" s="562"/>
      <c r="R155" s="561" t="e">
        <f ca="1">_xll.qlCalendarAdvance(Calendar,R154,"1D","f")</f>
        <v>#NAME?</v>
      </c>
      <c r="S155" s="574" t="e">
        <f ca="1">_xll.qlInterpolationInterpolate(B3Minterpolation,R155,TRUE)</f>
        <v>#NAME?</v>
      </c>
      <c r="X155" s="562"/>
      <c r="Y155" s="562"/>
    </row>
    <row r="156" spans="5:25" ht="11.25" customHeight="1" x14ac:dyDescent="0.2">
      <c r="E156" s="563"/>
      <c r="F156" s="563"/>
      <c r="G156" s="562"/>
      <c r="K156" s="562"/>
      <c r="L156" s="562"/>
      <c r="R156" s="561" t="e">
        <f ca="1">_xll.qlCalendarAdvance(Calendar,R155,"1D","f")</f>
        <v>#NAME?</v>
      </c>
      <c r="S156" s="574" t="e">
        <f ca="1">_xll.qlInterpolationInterpolate(B3Minterpolation,R156,TRUE)</f>
        <v>#NAME?</v>
      </c>
      <c r="X156" s="562"/>
      <c r="Y156" s="562"/>
    </row>
    <row r="157" spans="5:25" ht="11.25" customHeight="1" x14ac:dyDescent="0.2">
      <c r="E157" s="563"/>
      <c r="F157" s="563"/>
      <c r="G157" s="562"/>
      <c r="K157" s="562"/>
      <c r="L157" s="562"/>
      <c r="R157" s="561" t="e">
        <f ca="1">_xll.qlCalendarAdvance(Calendar,R156,"1D","f")</f>
        <v>#NAME?</v>
      </c>
      <c r="S157" s="574" t="e">
        <f ca="1">_xll.qlInterpolationInterpolate(B3Minterpolation,R157,TRUE)</f>
        <v>#NAME?</v>
      </c>
      <c r="X157" s="562"/>
      <c r="Y157" s="562"/>
    </row>
    <row r="158" spans="5:25" ht="11.25" customHeight="1" x14ac:dyDescent="0.2">
      <c r="E158" s="563"/>
      <c r="F158" s="563"/>
      <c r="G158" s="562"/>
      <c r="K158" s="562"/>
      <c r="L158" s="562"/>
      <c r="R158" s="561" t="e">
        <f ca="1">_xll.qlCalendarAdvance(Calendar,R157,"1D","f")</f>
        <v>#NAME?</v>
      </c>
      <c r="S158" s="574" t="e">
        <f ca="1">_xll.qlInterpolationInterpolate(B3Minterpolation,R158,TRUE)</f>
        <v>#NAME?</v>
      </c>
      <c r="X158" s="562"/>
      <c r="Y158" s="562"/>
    </row>
    <row r="159" spans="5:25" ht="11.25" customHeight="1" x14ac:dyDescent="0.2">
      <c r="E159" s="563"/>
      <c r="F159" s="563"/>
      <c r="G159" s="562"/>
      <c r="K159" s="562"/>
      <c r="L159" s="562"/>
      <c r="R159" s="561" t="e">
        <f ca="1">_xll.qlCalendarAdvance(Calendar,R158,"1D","f")</f>
        <v>#NAME?</v>
      </c>
      <c r="S159" s="574" t="e">
        <f ca="1">_xll.qlInterpolationInterpolate(B3Minterpolation,R159,TRUE)</f>
        <v>#NAME?</v>
      </c>
      <c r="X159" s="562"/>
      <c r="Y159" s="562"/>
    </row>
    <row r="160" spans="5:25" ht="11.25" customHeight="1" x14ac:dyDescent="0.2">
      <c r="E160" s="563"/>
      <c r="F160" s="563"/>
      <c r="G160" s="562"/>
      <c r="K160" s="562"/>
      <c r="L160" s="562"/>
      <c r="R160" s="561" t="e">
        <f ca="1">_xll.qlCalendarAdvance(Calendar,R159,"1D","f")</f>
        <v>#NAME?</v>
      </c>
      <c r="S160" s="574" t="e">
        <f ca="1">_xll.qlInterpolationInterpolate(B3Minterpolation,R160,TRUE)</f>
        <v>#NAME?</v>
      </c>
      <c r="X160" s="562"/>
      <c r="Y160" s="562"/>
    </row>
    <row r="161" spans="5:25" ht="11.25" customHeight="1" x14ac:dyDescent="0.2">
      <c r="E161" s="563"/>
      <c r="F161" s="563"/>
      <c r="G161" s="562"/>
      <c r="K161" s="562"/>
      <c r="L161" s="562"/>
      <c r="R161" s="561" t="e">
        <f ca="1">_xll.qlCalendarAdvance(Calendar,R160,"1D","f")</f>
        <v>#NAME?</v>
      </c>
      <c r="S161" s="574" t="e">
        <f ca="1">_xll.qlInterpolationInterpolate(B3Minterpolation,R161,TRUE)</f>
        <v>#NAME?</v>
      </c>
      <c r="X161" s="562"/>
      <c r="Y161" s="562"/>
    </row>
    <row r="162" spans="5:25" ht="11.25" customHeight="1" x14ac:dyDescent="0.2">
      <c r="E162" s="563"/>
      <c r="F162" s="563"/>
      <c r="G162" s="562"/>
      <c r="K162" s="562"/>
      <c r="L162" s="562"/>
      <c r="R162" s="561" t="e">
        <f ca="1">_xll.qlCalendarAdvance(Calendar,R161,"1D","f")</f>
        <v>#NAME?</v>
      </c>
      <c r="S162" s="574" t="e">
        <f ca="1">_xll.qlInterpolationInterpolate(B3Minterpolation,R162,TRUE)</f>
        <v>#NAME?</v>
      </c>
      <c r="X162" s="562"/>
      <c r="Y162" s="562"/>
    </row>
    <row r="163" spans="5:25" ht="11.25" customHeight="1" x14ac:dyDescent="0.2">
      <c r="E163" s="563"/>
      <c r="F163" s="563"/>
      <c r="G163" s="562"/>
      <c r="K163" s="562"/>
      <c r="L163" s="562"/>
      <c r="R163" s="561" t="e">
        <f ca="1">_xll.qlCalendarAdvance(Calendar,R162,"1D","f")</f>
        <v>#NAME?</v>
      </c>
      <c r="S163" s="574" t="e">
        <f ca="1">_xll.qlInterpolationInterpolate(B3Minterpolation,R163,TRUE)</f>
        <v>#NAME?</v>
      </c>
      <c r="X163" s="562"/>
      <c r="Y163" s="562"/>
    </row>
    <row r="164" spans="5:25" ht="11.25" customHeight="1" x14ac:dyDescent="0.2">
      <c r="E164" s="563"/>
      <c r="F164" s="563"/>
      <c r="G164" s="562"/>
      <c r="K164" s="562"/>
      <c r="L164" s="562"/>
      <c r="R164" s="561" t="e">
        <f ca="1">_xll.qlCalendarAdvance(Calendar,R163,"1D","f")</f>
        <v>#NAME?</v>
      </c>
      <c r="S164" s="574" t="e">
        <f ca="1">_xll.qlInterpolationInterpolate(B3Minterpolation,R164,TRUE)</f>
        <v>#NAME?</v>
      </c>
      <c r="X164" s="562"/>
      <c r="Y164" s="562"/>
    </row>
    <row r="165" spans="5:25" ht="11.25" customHeight="1" x14ac:dyDescent="0.2">
      <c r="E165" s="563"/>
      <c r="F165" s="563"/>
      <c r="G165" s="562"/>
      <c r="K165" s="562"/>
      <c r="L165" s="562"/>
      <c r="R165" s="561" t="e">
        <f ca="1">_xll.qlCalendarAdvance(Calendar,R164,"1D","f")</f>
        <v>#NAME?</v>
      </c>
      <c r="S165" s="574" t="e">
        <f ca="1">_xll.qlInterpolationInterpolate(B3Minterpolation,R165,TRUE)</f>
        <v>#NAME?</v>
      </c>
      <c r="X165" s="562"/>
      <c r="Y165" s="562"/>
    </row>
    <row r="166" spans="5:25" ht="11.25" customHeight="1" x14ac:dyDescent="0.2">
      <c r="E166" s="563"/>
      <c r="F166" s="563"/>
      <c r="G166" s="562"/>
      <c r="K166" s="562"/>
      <c r="L166" s="562"/>
      <c r="R166" s="561" t="e">
        <f ca="1">_xll.qlCalendarAdvance(Calendar,R165,"1D","f")</f>
        <v>#NAME?</v>
      </c>
      <c r="S166" s="574" t="e">
        <f ca="1">_xll.qlInterpolationInterpolate(B3Minterpolation,R166,TRUE)</f>
        <v>#NAME?</v>
      </c>
      <c r="X166" s="562"/>
      <c r="Y166" s="562"/>
    </row>
    <row r="167" spans="5:25" ht="11.25" customHeight="1" x14ac:dyDescent="0.2">
      <c r="E167" s="563"/>
      <c r="F167" s="563"/>
      <c r="G167" s="562"/>
      <c r="K167" s="562"/>
      <c r="L167" s="562"/>
      <c r="R167" s="561" t="e">
        <f ca="1">_xll.qlCalendarAdvance(Calendar,R166,"1D","f")</f>
        <v>#NAME?</v>
      </c>
      <c r="S167" s="574" t="e">
        <f ca="1">_xll.qlInterpolationInterpolate(B3Minterpolation,R167,TRUE)</f>
        <v>#NAME?</v>
      </c>
      <c r="X167" s="562"/>
      <c r="Y167" s="562"/>
    </row>
    <row r="168" spans="5:25" ht="11.25" customHeight="1" x14ac:dyDescent="0.2">
      <c r="E168" s="563"/>
      <c r="F168" s="563"/>
      <c r="G168" s="562"/>
      <c r="K168" s="562"/>
      <c r="L168" s="562"/>
      <c r="R168" s="561" t="e">
        <f ca="1">_xll.qlCalendarAdvance(Calendar,R167,"1D","f")</f>
        <v>#NAME?</v>
      </c>
      <c r="S168" s="574" t="e">
        <f ca="1">_xll.qlInterpolationInterpolate(B3Minterpolation,R168,TRUE)</f>
        <v>#NAME?</v>
      </c>
      <c r="X168" s="562"/>
      <c r="Y168" s="562"/>
    </row>
    <row r="169" spans="5:25" ht="11.25" customHeight="1" x14ac:dyDescent="0.2">
      <c r="E169" s="563"/>
      <c r="F169" s="563"/>
      <c r="G169" s="562"/>
      <c r="K169" s="562"/>
      <c r="L169" s="562"/>
      <c r="R169" s="561" t="e">
        <f ca="1">_xll.qlCalendarAdvance(Calendar,R168,"1D","f")</f>
        <v>#NAME?</v>
      </c>
      <c r="S169" s="574" t="e">
        <f ca="1">_xll.qlInterpolationInterpolate(B3Minterpolation,R169,TRUE)</f>
        <v>#NAME?</v>
      </c>
      <c r="X169" s="562"/>
      <c r="Y169" s="562"/>
    </row>
    <row r="170" spans="5:25" ht="11.25" customHeight="1" x14ac:dyDescent="0.2">
      <c r="E170" s="563"/>
      <c r="F170" s="563"/>
      <c r="G170" s="562"/>
      <c r="K170" s="562"/>
      <c r="L170" s="562"/>
      <c r="R170" s="561" t="e">
        <f ca="1">_xll.qlCalendarAdvance(Calendar,R169,"1D","f")</f>
        <v>#NAME?</v>
      </c>
      <c r="S170" s="574" t="e">
        <f ca="1">_xll.qlInterpolationInterpolate(B3Minterpolation,R170,TRUE)</f>
        <v>#NAME?</v>
      </c>
      <c r="X170" s="562"/>
      <c r="Y170" s="562"/>
    </row>
    <row r="171" spans="5:25" ht="11.25" customHeight="1" x14ac:dyDescent="0.2">
      <c r="E171" s="563"/>
      <c r="F171" s="563"/>
      <c r="G171" s="562"/>
      <c r="K171" s="562"/>
      <c r="L171" s="562"/>
      <c r="R171" s="561" t="e">
        <f ca="1">_xll.qlCalendarAdvance(Calendar,R170,"1D","f")</f>
        <v>#NAME?</v>
      </c>
      <c r="S171" s="574" t="e">
        <f ca="1">_xll.qlInterpolationInterpolate(B3Minterpolation,R171,TRUE)</f>
        <v>#NAME?</v>
      </c>
      <c r="X171" s="562"/>
      <c r="Y171" s="562"/>
    </row>
    <row r="172" spans="5:25" ht="11.25" customHeight="1" x14ac:dyDescent="0.2">
      <c r="E172" s="563"/>
      <c r="F172" s="563"/>
      <c r="G172" s="562"/>
      <c r="K172" s="562"/>
      <c r="L172" s="562"/>
      <c r="R172" s="561" t="e">
        <f ca="1">_xll.qlCalendarAdvance(Calendar,R171,"1D","f")</f>
        <v>#NAME?</v>
      </c>
      <c r="S172" s="574" t="e">
        <f ca="1">_xll.qlInterpolationInterpolate(B3Minterpolation,R172,TRUE)</f>
        <v>#NAME?</v>
      </c>
      <c r="X172" s="562"/>
      <c r="Y172" s="562"/>
    </row>
    <row r="173" spans="5:25" ht="11.25" customHeight="1" x14ac:dyDescent="0.2">
      <c r="E173" s="563"/>
      <c r="F173" s="563"/>
      <c r="G173" s="562"/>
      <c r="K173" s="562"/>
      <c r="L173" s="562"/>
      <c r="R173" s="561" t="e">
        <f ca="1">_xll.qlCalendarAdvance(Calendar,R172,"1D","f")</f>
        <v>#NAME?</v>
      </c>
      <c r="S173" s="574" t="e">
        <f ca="1">_xll.qlInterpolationInterpolate(B3Minterpolation,R173,TRUE)</f>
        <v>#NAME?</v>
      </c>
      <c r="X173" s="562"/>
      <c r="Y173" s="562"/>
    </row>
    <row r="174" spans="5:25" ht="11.25" customHeight="1" x14ac:dyDescent="0.2">
      <c r="E174" s="563"/>
      <c r="F174" s="563"/>
      <c r="G174" s="562"/>
      <c r="K174" s="562"/>
      <c r="L174" s="562"/>
      <c r="R174" s="561" t="e">
        <f ca="1">_xll.qlCalendarAdvance(Calendar,R173,"1D","f")</f>
        <v>#NAME?</v>
      </c>
      <c r="S174" s="574" t="e">
        <f ca="1">_xll.qlInterpolationInterpolate(B3Minterpolation,R174,TRUE)</f>
        <v>#NAME?</v>
      </c>
      <c r="X174" s="562"/>
      <c r="Y174" s="562"/>
    </row>
    <row r="175" spans="5:25" ht="11.25" customHeight="1" x14ac:dyDescent="0.2">
      <c r="E175" s="563"/>
      <c r="F175" s="563"/>
      <c r="G175" s="562"/>
      <c r="K175" s="562"/>
      <c r="L175" s="562"/>
      <c r="R175" s="561" t="e">
        <f ca="1">_xll.qlCalendarAdvance(Calendar,R174,"1D","f")</f>
        <v>#NAME?</v>
      </c>
      <c r="S175" s="574" t="e">
        <f ca="1">_xll.qlInterpolationInterpolate(B3Minterpolation,R175,TRUE)</f>
        <v>#NAME?</v>
      </c>
      <c r="X175" s="562"/>
      <c r="Y175" s="562"/>
    </row>
    <row r="176" spans="5:25" ht="11.25" customHeight="1" x14ac:dyDescent="0.2">
      <c r="E176" s="563"/>
      <c r="F176" s="563"/>
      <c r="G176" s="562"/>
      <c r="K176" s="562"/>
      <c r="L176" s="562"/>
      <c r="R176" s="561" t="e">
        <f ca="1">_xll.qlCalendarAdvance(Calendar,R175,"1D","f")</f>
        <v>#NAME?</v>
      </c>
      <c r="S176" s="574" t="e">
        <f ca="1">_xll.qlInterpolationInterpolate(B3Minterpolation,R176,TRUE)</f>
        <v>#NAME?</v>
      </c>
      <c r="X176" s="562"/>
      <c r="Y176" s="562"/>
    </row>
    <row r="177" spans="5:25" ht="11.25" customHeight="1" x14ac:dyDescent="0.2">
      <c r="E177" s="563"/>
      <c r="F177" s="563"/>
      <c r="G177" s="562"/>
      <c r="K177" s="562"/>
      <c r="L177" s="562"/>
      <c r="R177" s="561" t="e">
        <f ca="1">_xll.qlCalendarAdvance(Calendar,R176,"1D","f")</f>
        <v>#NAME?</v>
      </c>
      <c r="S177" s="574" t="e">
        <f ca="1">_xll.qlInterpolationInterpolate(B3Minterpolation,R177,TRUE)</f>
        <v>#NAME?</v>
      </c>
      <c r="X177" s="562"/>
      <c r="Y177" s="562"/>
    </row>
    <row r="178" spans="5:25" ht="11.25" customHeight="1" x14ac:dyDescent="0.2">
      <c r="E178" s="563"/>
      <c r="F178" s="563"/>
      <c r="G178" s="562"/>
      <c r="K178" s="562"/>
      <c r="L178" s="562"/>
      <c r="R178" s="561" t="e">
        <f ca="1">_xll.qlCalendarAdvance(Calendar,R177,"1D","f")</f>
        <v>#NAME?</v>
      </c>
      <c r="S178" s="574" t="e">
        <f ca="1">_xll.qlInterpolationInterpolate(B3Minterpolation,R178,TRUE)</f>
        <v>#NAME?</v>
      </c>
      <c r="X178" s="562"/>
      <c r="Y178" s="562"/>
    </row>
    <row r="179" spans="5:25" ht="11.25" customHeight="1" x14ac:dyDescent="0.2">
      <c r="E179" s="563"/>
      <c r="F179" s="563"/>
      <c r="G179" s="562"/>
      <c r="K179" s="562"/>
      <c r="L179" s="562"/>
      <c r="R179" s="561" t="e">
        <f ca="1">_xll.qlCalendarAdvance(Calendar,R178,"1D","f")</f>
        <v>#NAME?</v>
      </c>
      <c r="S179" s="574" t="e">
        <f ca="1">_xll.qlInterpolationInterpolate(B3Minterpolation,R179,TRUE)</f>
        <v>#NAME?</v>
      </c>
      <c r="X179" s="562"/>
      <c r="Y179" s="562"/>
    </row>
    <row r="180" spans="5:25" ht="11.25" customHeight="1" x14ac:dyDescent="0.2">
      <c r="E180" s="563"/>
      <c r="F180" s="563"/>
      <c r="G180" s="562"/>
      <c r="K180" s="562"/>
      <c r="L180" s="562"/>
      <c r="R180" s="561" t="e">
        <f ca="1">_xll.qlCalendarAdvance(Calendar,R179,"1D","f")</f>
        <v>#NAME?</v>
      </c>
      <c r="S180" s="574" t="e">
        <f ca="1">_xll.qlInterpolationInterpolate(B3Minterpolation,R180,TRUE)</f>
        <v>#NAME?</v>
      </c>
      <c r="X180" s="562"/>
      <c r="Y180" s="562"/>
    </row>
    <row r="181" spans="5:25" ht="11.25" customHeight="1" x14ac:dyDescent="0.2">
      <c r="E181" s="563"/>
      <c r="F181" s="563"/>
      <c r="G181" s="562"/>
      <c r="K181" s="562"/>
      <c r="L181" s="562"/>
      <c r="R181" s="561" t="e">
        <f ca="1">_xll.qlCalendarAdvance(Calendar,R180,"1D","f")</f>
        <v>#NAME?</v>
      </c>
      <c r="S181" s="574" t="e">
        <f ca="1">_xll.qlInterpolationInterpolate(B3Minterpolation,R181,TRUE)</f>
        <v>#NAME?</v>
      </c>
      <c r="X181" s="562"/>
      <c r="Y181" s="562"/>
    </row>
    <row r="182" spans="5:25" ht="11.25" customHeight="1" x14ac:dyDescent="0.2">
      <c r="E182" s="563"/>
      <c r="F182" s="563"/>
      <c r="G182" s="562"/>
      <c r="K182" s="562"/>
      <c r="L182" s="562"/>
      <c r="R182" s="561" t="e">
        <f ca="1">_xll.qlCalendarAdvance(Calendar,R181,"1D","f")</f>
        <v>#NAME?</v>
      </c>
      <c r="S182" s="574" t="e">
        <f ca="1">_xll.qlInterpolationInterpolate(B3Minterpolation,R182,TRUE)</f>
        <v>#NAME?</v>
      </c>
      <c r="X182" s="562"/>
      <c r="Y182" s="562"/>
    </row>
    <row r="183" spans="5:25" ht="11.25" customHeight="1" x14ac:dyDescent="0.2">
      <c r="E183" s="563"/>
      <c r="F183" s="563"/>
      <c r="G183" s="562"/>
      <c r="K183" s="562"/>
      <c r="L183" s="562"/>
      <c r="R183" s="561" t="e">
        <f ca="1">_xll.qlCalendarAdvance(Calendar,R182,"1D","f")</f>
        <v>#NAME?</v>
      </c>
      <c r="S183" s="574" t="e">
        <f ca="1">_xll.qlInterpolationInterpolate(B3Minterpolation,R183,TRUE)</f>
        <v>#NAME?</v>
      </c>
      <c r="X183" s="562"/>
      <c r="Y183" s="562"/>
    </row>
    <row r="184" spans="5:25" ht="11.25" customHeight="1" x14ac:dyDescent="0.2">
      <c r="E184" s="563"/>
      <c r="F184" s="563"/>
      <c r="G184" s="562"/>
      <c r="K184" s="562"/>
      <c r="L184" s="562"/>
      <c r="R184" s="561" t="e">
        <f ca="1">_xll.qlCalendarAdvance(Calendar,R183,"1D","f")</f>
        <v>#NAME?</v>
      </c>
      <c r="S184" s="574" t="e">
        <f ca="1">_xll.qlInterpolationInterpolate(B3Minterpolation,R184,TRUE)</f>
        <v>#NAME?</v>
      </c>
      <c r="X184" s="562"/>
      <c r="Y184" s="562"/>
    </row>
    <row r="185" spans="5:25" ht="11.25" customHeight="1" x14ac:dyDescent="0.2">
      <c r="E185" s="563"/>
      <c r="F185" s="563"/>
      <c r="G185" s="562"/>
      <c r="K185" s="562"/>
      <c r="L185" s="562"/>
      <c r="R185" s="561" t="e">
        <f ca="1">_xll.qlCalendarAdvance(Calendar,R184,"1D","f")</f>
        <v>#NAME?</v>
      </c>
      <c r="S185" s="574" t="e">
        <f ca="1">_xll.qlInterpolationInterpolate(B3Minterpolation,R185,TRUE)</f>
        <v>#NAME?</v>
      </c>
      <c r="X185" s="562"/>
      <c r="Y185" s="562"/>
    </row>
    <row r="186" spans="5:25" ht="11.25" customHeight="1" x14ac:dyDescent="0.2">
      <c r="E186" s="563"/>
      <c r="F186" s="563"/>
      <c r="G186" s="562"/>
      <c r="K186" s="562"/>
      <c r="L186" s="562"/>
      <c r="R186" s="561" t="e">
        <f ca="1">_xll.qlCalendarAdvance(Calendar,R185,"1D","f")</f>
        <v>#NAME?</v>
      </c>
      <c r="S186" s="574" t="e">
        <f ca="1">_xll.qlInterpolationInterpolate(B3Minterpolation,R186,TRUE)</f>
        <v>#NAME?</v>
      </c>
      <c r="X186" s="562"/>
      <c r="Y186" s="562"/>
    </row>
    <row r="187" spans="5:25" ht="11.25" customHeight="1" x14ac:dyDescent="0.2">
      <c r="E187" s="563"/>
      <c r="F187" s="563"/>
      <c r="G187" s="562"/>
      <c r="K187" s="562"/>
      <c r="L187" s="562"/>
      <c r="R187" s="561" t="e">
        <f ca="1">_xll.qlCalendarAdvance(Calendar,R186,"1D","f")</f>
        <v>#NAME?</v>
      </c>
      <c r="S187" s="574" t="e">
        <f ca="1">_xll.qlInterpolationInterpolate(B3Minterpolation,R187,TRUE)</f>
        <v>#NAME?</v>
      </c>
      <c r="X187" s="562"/>
      <c r="Y187" s="562"/>
    </row>
    <row r="188" spans="5:25" ht="11.25" customHeight="1" x14ac:dyDescent="0.2">
      <c r="E188" s="563"/>
      <c r="F188" s="563"/>
      <c r="G188" s="562"/>
      <c r="K188" s="562"/>
      <c r="L188" s="562"/>
      <c r="R188" s="561" t="e">
        <f ca="1">_xll.qlCalendarAdvance(Calendar,R187,"1D","f")</f>
        <v>#NAME?</v>
      </c>
      <c r="S188" s="574" t="e">
        <f ca="1">_xll.qlInterpolationInterpolate(B3Minterpolation,R188,TRUE)</f>
        <v>#NAME?</v>
      </c>
      <c r="X188" s="562"/>
      <c r="Y188" s="562"/>
    </row>
    <row r="189" spans="5:25" ht="11.25" customHeight="1" x14ac:dyDescent="0.2">
      <c r="E189" s="563"/>
      <c r="F189" s="563"/>
      <c r="G189" s="562"/>
      <c r="K189" s="562"/>
      <c r="L189" s="562"/>
      <c r="R189" s="561" t="e">
        <f ca="1">_xll.qlCalendarAdvance(Calendar,R188,"1D","f")</f>
        <v>#NAME?</v>
      </c>
      <c r="S189" s="574" t="e">
        <f ca="1">_xll.qlInterpolationInterpolate(B3Minterpolation,R189,TRUE)</f>
        <v>#NAME?</v>
      </c>
      <c r="X189" s="562"/>
      <c r="Y189" s="562"/>
    </row>
    <row r="190" spans="5:25" ht="11.25" customHeight="1" x14ac:dyDescent="0.2">
      <c r="E190" s="563"/>
      <c r="F190" s="563"/>
      <c r="G190" s="562"/>
      <c r="K190" s="562"/>
      <c r="L190" s="562"/>
      <c r="R190" s="561" t="e">
        <f ca="1">_xll.qlCalendarAdvance(Calendar,R189,"1D","f")</f>
        <v>#NAME?</v>
      </c>
      <c r="S190" s="574" t="e">
        <f ca="1">_xll.qlInterpolationInterpolate(B3Minterpolation,R190,TRUE)</f>
        <v>#NAME?</v>
      </c>
      <c r="X190" s="562"/>
      <c r="Y190" s="562"/>
    </row>
    <row r="191" spans="5:25" ht="11.25" customHeight="1" x14ac:dyDescent="0.2">
      <c r="E191" s="563"/>
      <c r="F191" s="563"/>
      <c r="G191" s="562"/>
      <c r="K191" s="562"/>
      <c r="L191" s="562"/>
      <c r="R191" s="561" t="e">
        <f ca="1">_xll.qlCalendarAdvance(Calendar,R190,"1D","f")</f>
        <v>#NAME?</v>
      </c>
      <c r="S191" s="574" t="e">
        <f ca="1">_xll.qlInterpolationInterpolate(B3Minterpolation,R191,TRUE)</f>
        <v>#NAME?</v>
      </c>
      <c r="X191" s="562"/>
      <c r="Y191" s="562"/>
    </row>
    <row r="192" spans="5:25" ht="11.25" customHeight="1" x14ac:dyDescent="0.2">
      <c r="E192" s="563"/>
      <c r="F192" s="563"/>
      <c r="G192" s="562"/>
      <c r="K192" s="562"/>
      <c r="L192" s="562"/>
      <c r="R192" s="561" t="e">
        <f ca="1">_xll.qlCalendarAdvance(Calendar,R191,"1D","f")</f>
        <v>#NAME?</v>
      </c>
      <c r="S192" s="574" t="e">
        <f ca="1">_xll.qlInterpolationInterpolate(B3Minterpolation,R192,TRUE)</f>
        <v>#NAME?</v>
      </c>
      <c r="X192" s="562"/>
      <c r="Y192" s="562"/>
    </row>
    <row r="193" spans="5:25" ht="11.25" customHeight="1" x14ac:dyDescent="0.2">
      <c r="E193" s="563"/>
      <c r="F193" s="563"/>
      <c r="G193" s="562"/>
      <c r="K193" s="562"/>
      <c r="L193" s="562"/>
      <c r="R193" s="561" t="e">
        <f ca="1">_xll.qlCalendarAdvance(Calendar,R192,"1D","f")</f>
        <v>#NAME?</v>
      </c>
      <c r="S193" s="574" t="e">
        <f ca="1">_xll.qlInterpolationInterpolate(B3Minterpolation,R193,TRUE)</f>
        <v>#NAME?</v>
      </c>
      <c r="X193" s="562"/>
      <c r="Y193" s="562"/>
    </row>
    <row r="194" spans="5:25" ht="11.25" customHeight="1" x14ac:dyDescent="0.2">
      <c r="E194" s="563"/>
      <c r="F194" s="563"/>
      <c r="G194" s="562"/>
      <c r="K194" s="562"/>
      <c r="L194" s="562"/>
      <c r="R194" s="561" t="e">
        <f ca="1">_xll.qlCalendarAdvance(Calendar,R193,"1D","f")</f>
        <v>#NAME?</v>
      </c>
      <c r="S194" s="574" t="e">
        <f ca="1">_xll.qlInterpolationInterpolate(B3Minterpolation,R194,TRUE)</f>
        <v>#NAME?</v>
      </c>
      <c r="X194" s="562"/>
      <c r="Y194" s="562"/>
    </row>
    <row r="195" spans="5:25" ht="11.25" customHeight="1" x14ac:dyDescent="0.2">
      <c r="E195" s="563"/>
      <c r="F195" s="563"/>
      <c r="G195" s="562"/>
      <c r="K195" s="562"/>
      <c r="L195" s="562"/>
      <c r="R195" s="561" t="e">
        <f ca="1">_xll.qlCalendarAdvance(Calendar,R194,"1D","f")</f>
        <v>#NAME?</v>
      </c>
      <c r="S195" s="574" t="e">
        <f ca="1">_xll.qlInterpolationInterpolate(B3Minterpolation,R195,TRUE)</f>
        <v>#NAME?</v>
      </c>
      <c r="X195" s="562"/>
      <c r="Y195" s="562"/>
    </row>
    <row r="196" spans="5:25" ht="11.25" customHeight="1" x14ac:dyDescent="0.2">
      <c r="E196" s="563"/>
      <c r="F196" s="563"/>
      <c r="G196" s="562"/>
      <c r="K196" s="562"/>
      <c r="L196" s="562"/>
      <c r="R196" s="561" t="e">
        <f ca="1">_xll.qlCalendarAdvance(Calendar,R195,"1D","f")</f>
        <v>#NAME?</v>
      </c>
      <c r="S196" s="574" t="e">
        <f ca="1">_xll.qlInterpolationInterpolate(B3Minterpolation,R196,TRUE)</f>
        <v>#NAME?</v>
      </c>
      <c r="X196" s="562"/>
      <c r="Y196" s="562"/>
    </row>
    <row r="197" spans="5:25" ht="11.25" customHeight="1" x14ac:dyDescent="0.2">
      <c r="E197" s="563"/>
      <c r="F197" s="563"/>
      <c r="G197" s="562"/>
      <c r="K197" s="562"/>
      <c r="L197" s="562"/>
      <c r="R197" s="561" t="e">
        <f ca="1">_xll.qlCalendarAdvance(Calendar,R196,"1D","f")</f>
        <v>#NAME?</v>
      </c>
      <c r="S197" s="574" t="e">
        <f ca="1">_xll.qlInterpolationInterpolate(B3Minterpolation,R197,TRUE)</f>
        <v>#NAME?</v>
      </c>
      <c r="X197" s="562"/>
      <c r="Y197" s="562"/>
    </row>
    <row r="198" spans="5:25" ht="11.25" customHeight="1" x14ac:dyDescent="0.2">
      <c r="E198" s="563"/>
      <c r="F198" s="563"/>
      <c r="G198" s="562"/>
      <c r="K198" s="562"/>
      <c r="L198" s="562"/>
      <c r="R198" s="561" t="e">
        <f ca="1">_xll.qlCalendarAdvance(Calendar,R197,"1D","f")</f>
        <v>#NAME?</v>
      </c>
      <c r="S198" s="574" t="e">
        <f ca="1">_xll.qlInterpolationInterpolate(B3Minterpolation,R198,TRUE)</f>
        <v>#NAME?</v>
      </c>
      <c r="X198" s="562"/>
      <c r="Y198" s="562"/>
    </row>
    <row r="199" spans="5:25" ht="11.25" customHeight="1" x14ac:dyDescent="0.2">
      <c r="E199" s="563"/>
      <c r="F199" s="563"/>
      <c r="G199" s="562"/>
      <c r="K199" s="562"/>
      <c r="L199" s="562"/>
      <c r="R199" s="561" t="e">
        <f ca="1">_xll.qlCalendarAdvance(Calendar,R198,"1D","f")</f>
        <v>#NAME?</v>
      </c>
      <c r="S199" s="574" t="e">
        <f ca="1">_xll.qlInterpolationInterpolate(B3Minterpolation,R199,TRUE)</f>
        <v>#NAME?</v>
      </c>
      <c r="X199" s="562"/>
      <c r="Y199" s="562"/>
    </row>
    <row r="200" spans="5:25" ht="11.25" customHeight="1" x14ac:dyDescent="0.2">
      <c r="E200" s="563"/>
      <c r="F200" s="563"/>
      <c r="G200" s="562"/>
      <c r="K200" s="562"/>
      <c r="L200" s="562"/>
      <c r="R200" s="561" t="e">
        <f ca="1">_xll.qlCalendarAdvance(Calendar,R199,"1D","f")</f>
        <v>#NAME?</v>
      </c>
      <c r="S200" s="574" t="e">
        <f ca="1">_xll.qlInterpolationInterpolate(B3Minterpolation,R200,TRUE)</f>
        <v>#NAME?</v>
      </c>
      <c r="X200" s="562"/>
      <c r="Y200" s="562"/>
    </row>
    <row r="201" spans="5:25" ht="11.25" customHeight="1" x14ac:dyDescent="0.2">
      <c r="E201" s="563"/>
      <c r="F201" s="563"/>
      <c r="G201" s="562"/>
      <c r="K201" s="562"/>
      <c r="L201" s="562"/>
      <c r="R201" s="561" t="e">
        <f ca="1">_xll.qlCalendarAdvance(Calendar,R200,"1D","f")</f>
        <v>#NAME?</v>
      </c>
      <c r="S201" s="574" t="e">
        <f ca="1">_xll.qlInterpolationInterpolate(B3Minterpolation,R201,TRUE)</f>
        <v>#NAME?</v>
      </c>
      <c r="X201" s="562"/>
      <c r="Y201" s="562"/>
    </row>
    <row r="202" spans="5:25" ht="11.25" customHeight="1" x14ac:dyDescent="0.2">
      <c r="E202" s="563"/>
      <c r="F202" s="563"/>
      <c r="G202" s="562"/>
      <c r="K202" s="562"/>
      <c r="L202" s="562"/>
      <c r="R202" s="561" t="e">
        <f ca="1">_xll.qlCalendarAdvance(Calendar,R201,"1D","f")</f>
        <v>#NAME?</v>
      </c>
      <c r="S202" s="574" t="e">
        <f ca="1">_xll.qlInterpolationInterpolate(B3Minterpolation,R202,TRUE)</f>
        <v>#NAME?</v>
      </c>
      <c r="X202" s="562"/>
      <c r="Y202" s="562"/>
    </row>
    <row r="203" spans="5:25" ht="11.25" customHeight="1" x14ac:dyDescent="0.2">
      <c r="E203" s="563"/>
      <c r="F203" s="563"/>
      <c r="G203" s="562"/>
      <c r="K203" s="562"/>
      <c r="L203" s="562"/>
      <c r="R203" s="561" t="e">
        <f ca="1">_xll.qlCalendarAdvance(Calendar,R202,"1D","f")</f>
        <v>#NAME?</v>
      </c>
      <c r="S203" s="574" t="e">
        <f ca="1">_xll.qlInterpolationInterpolate(B3Minterpolation,R203,TRUE)</f>
        <v>#NAME?</v>
      </c>
      <c r="X203" s="562"/>
      <c r="Y203" s="562"/>
    </row>
    <row r="204" spans="5:25" ht="11.25" customHeight="1" x14ac:dyDescent="0.2">
      <c r="E204" s="563"/>
      <c r="F204" s="563"/>
      <c r="G204" s="562"/>
      <c r="K204" s="562"/>
      <c r="L204" s="562"/>
      <c r="R204" s="561" t="e">
        <f ca="1">_xll.qlCalendarAdvance(Calendar,R203,"1D","f")</f>
        <v>#NAME?</v>
      </c>
      <c r="S204" s="574" t="e">
        <f ca="1">_xll.qlInterpolationInterpolate(B3Minterpolation,R204,TRUE)</f>
        <v>#NAME?</v>
      </c>
      <c r="X204" s="562"/>
      <c r="Y204" s="562"/>
    </row>
    <row r="205" spans="5:25" ht="11.25" customHeight="1" x14ac:dyDescent="0.2">
      <c r="E205" s="563"/>
      <c r="F205" s="563"/>
      <c r="G205" s="562"/>
      <c r="K205" s="562"/>
      <c r="L205" s="562"/>
      <c r="R205" s="561" t="e">
        <f ca="1">_xll.qlCalendarAdvance(Calendar,R204,"1D","f")</f>
        <v>#NAME?</v>
      </c>
      <c r="S205" s="574" t="e">
        <f ca="1">_xll.qlInterpolationInterpolate(B3Minterpolation,R205,TRUE)</f>
        <v>#NAME?</v>
      </c>
      <c r="X205" s="562"/>
      <c r="Y205" s="562"/>
    </row>
    <row r="206" spans="5:25" ht="11.25" customHeight="1" x14ac:dyDescent="0.2">
      <c r="E206" s="563"/>
      <c r="F206" s="563"/>
      <c r="G206" s="562"/>
      <c r="K206" s="562"/>
      <c r="L206" s="562"/>
      <c r="R206" s="561" t="e">
        <f ca="1">_xll.qlCalendarAdvance(Calendar,R205,"1D","f")</f>
        <v>#NAME?</v>
      </c>
      <c r="S206" s="574" t="e">
        <f ca="1">_xll.qlInterpolationInterpolate(B3Minterpolation,R206,TRUE)</f>
        <v>#NAME?</v>
      </c>
      <c r="X206" s="562"/>
      <c r="Y206" s="562"/>
    </row>
    <row r="207" spans="5:25" ht="11.25" customHeight="1" x14ac:dyDescent="0.2">
      <c r="E207" s="563"/>
      <c r="F207" s="563"/>
      <c r="G207" s="562"/>
      <c r="K207" s="562"/>
      <c r="L207" s="562"/>
      <c r="R207" s="561" t="e">
        <f ca="1">_xll.qlCalendarAdvance(Calendar,R206,"1D","f")</f>
        <v>#NAME?</v>
      </c>
      <c r="S207" s="574" t="e">
        <f ca="1">_xll.qlInterpolationInterpolate(B3Minterpolation,R207,TRUE)</f>
        <v>#NAME?</v>
      </c>
      <c r="X207" s="562"/>
      <c r="Y207" s="562"/>
    </row>
    <row r="208" spans="5:25" ht="11.25" customHeight="1" x14ac:dyDescent="0.2">
      <c r="E208" s="563"/>
      <c r="F208" s="563"/>
      <c r="G208" s="562"/>
      <c r="K208" s="562"/>
      <c r="L208" s="562"/>
      <c r="R208" s="561" t="e">
        <f ca="1">_xll.qlCalendarAdvance(Calendar,R207,"1D","f")</f>
        <v>#NAME?</v>
      </c>
      <c r="S208" s="574" t="e">
        <f ca="1">_xll.qlInterpolationInterpolate(B3Minterpolation,R208,TRUE)</f>
        <v>#NAME?</v>
      </c>
      <c r="X208" s="562"/>
      <c r="Y208" s="562"/>
    </row>
    <row r="209" spans="5:25" ht="11.25" customHeight="1" x14ac:dyDescent="0.2">
      <c r="E209" s="563"/>
      <c r="F209" s="563"/>
      <c r="G209" s="562"/>
      <c r="K209" s="562"/>
      <c r="L209" s="562"/>
      <c r="R209" s="561" t="e">
        <f ca="1">_xll.qlCalendarAdvance(Calendar,R208,"1D","f")</f>
        <v>#NAME?</v>
      </c>
      <c r="S209" s="574" t="e">
        <f ca="1">_xll.qlInterpolationInterpolate(B3Minterpolation,R209,TRUE)</f>
        <v>#NAME?</v>
      </c>
      <c r="X209" s="562"/>
      <c r="Y209" s="562"/>
    </row>
    <row r="210" spans="5:25" ht="11.25" customHeight="1" x14ac:dyDescent="0.2">
      <c r="E210" s="563"/>
      <c r="F210" s="563"/>
      <c r="G210" s="562"/>
      <c r="K210" s="562"/>
      <c r="L210" s="562"/>
      <c r="R210" s="561" t="e">
        <f ca="1">_xll.qlCalendarAdvance(Calendar,R209,"1D","f")</f>
        <v>#NAME?</v>
      </c>
      <c r="S210" s="574" t="e">
        <f ca="1">_xll.qlInterpolationInterpolate(B3Minterpolation,R210,TRUE)</f>
        <v>#NAME?</v>
      </c>
      <c r="X210" s="562"/>
      <c r="Y210" s="562"/>
    </row>
    <row r="211" spans="5:25" ht="11.25" customHeight="1" x14ac:dyDescent="0.2">
      <c r="E211" s="563"/>
      <c r="F211" s="563"/>
      <c r="G211" s="562"/>
      <c r="K211" s="562"/>
      <c r="L211" s="562"/>
      <c r="R211" s="561" t="e">
        <f ca="1">_xll.qlCalendarAdvance(Calendar,R210,"1D","f")</f>
        <v>#NAME?</v>
      </c>
      <c r="S211" s="574" t="e">
        <f ca="1">_xll.qlInterpolationInterpolate(B3Minterpolation,R211,TRUE)</f>
        <v>#NAME?</v>
      </c>
      <c r="X211" s="562"/>
      <c r="Y211" s="562"/>
    </row>
    <row r="212" spans="5:25" ht="11.25" customHeight="1" x14ac:dyDescent="0.2">
      <c r="E212" s="563"/>
      <c r="F212" s="563"/>
      <c r="G212" s="562"/>
      <c r="K212" s="562"/>
      <c r="L212" s="562"/>
      <c r="R212" s="561" t="e">
        <f ca="1">_xll.qlCalendarAdvance(Calendar,R211,"1D","f")</f>
        <v>#NAME?</v>
      </c>
      <c r="S212" s="574" t="e">
        <f ca="1">_xll.qlInterpolationInterpolate(B3Minterpolation,R212,TRUE)</f>
        <v>#NAME?</v>
      </c>
      <c r="X212" s="562"/>
      <c r="Y212" s="562"/>
    </row>
    <row r="213" spans="5:25" ht="11.25" customHeight="1" x14ac:dyDescent="0.2">
      <c r="E213" s="563"/>
      <c r="F213" s="563"/>
      <c r="G213" s="562"/>
      <c r="K213" s="562"/>
      <c r="L213" s="562"/>
      <c r="R213" s="561" t="e">
        <f ca="1">_xll.qlCalendarAdvance(Calendar,R212,"1D","f")</f>
        <v>#NAME?</v>
      </c>
      <c r="S213" s="574" t="e">
        <f ca="1">_xll.qlInterpolationInterpolate(B3Minterpolation,R213,TRUE)</f>
        <v>#NAME?</v>
      </c>
      <c r="X213" s="562"/>
      <c r="Y213" s="562"/>
    </row>
    <row r="214" spans="5:25" ht="11.25" customHeight="1" x14ac:dyDescent="0.2">
      <c r="E214" s="563"/>
      <c r="F214" s="563"/>
      <c r="G214" s="562"/>
      <c r="K214" s="562"/>
      <c r="L214" s="562"/>
      <c r="R214" s="561" t="e">
        <f ca="1">_xll.qlCalendarAdvance(Calendar,R213,"1D","f")</f>
        <v>#NAME?</v>
      </c>
      <c r="S214" s="574" t="e">
        <f ca="1">_xll.qlInterpolationInterpolate(B3Minterpolation,R214,TRUE)</f>
        <v>#NAME?</v>
      </c>
      <c r="X214" s="562"/>
      <c r="Y214" s="562"/>
    </row>
    <row r="215" spans="5:25" ht="11.25" customHeight="1" x14ac:dyDescent="0.2">
      <c r="E215" s="563"/>
      <c r="F215" s="563"/>
      <c r="G215" s="562"/>
      <c r="K215" s="562"/>
      <c r="L215" s="562"/>
      <c r="R215" s="561" t="e">
        <f ca="1">_xll.qlCalendarAdvance(Calendar,R214,"1D","f")</f>
        <v>#NAME?</v>
      </c>
      <c r="S215" s="574" t="e">
        <f ca="1">_xll.qlInterpolationInterpolate(B3Minterpolation,R215,TRUE)</f>
        <v>#NAME?</v>
      </c>
      <c r="X215" s="562"/>
      <c r="Y215" s="562"/>
    </row>
    <row r="216" spans="5:25" ht="11.25" customHeight="1" x14ac:dyDescent="0.2">
      <c r="E216" s="563"/>
      <c r="F216" s="563"/>
      <c r="G216" s="562"/>
      <c r="K216" s="562"/>
      <c r="L216" s="562"/>
      <c r="R216" s="561" t="e">
        <f ca="1">_xll.qlCalendarAdvance(Calendar,R215,"1D","f")</f>
        <v>#NAME?</v>
      </c>
      <c r="S216" s="574" t="e">
        <f ca="1">_xll.qlInterpolationInterpolate(B3Minterpolation,R216,TRUE)</f>
        <v>#NAME?</v>
      </c>
      <c r="X216" s="562"/>
      <c r="Y216" s="562"/>
    </row>
    <row r="217" spans="5:25" ht="11.25" customHeight="1" x14ac:dyDescent="0.2">
      <c r="E217" s="563"/>
      <c r="F217" s="563"/>
      <c r="G217" s="562"/>
      <c r="K217" s="562"/>
      <c r="L217" s="562"/>
      <c r="R217" s="561" t="e">
        <f ca="1">_xll.qlCalendarAdvance(Calendar,R216,"1D","f")</f>
        <v>#NAME?</v>
      </c>
      <c r="S217" s="574" t="e">
        <f ca="1">_xll.qlInterpolationInterpolate(B3Minterpolation,R217,TRUE)</f>
        <v>#NAME?</v>
      </c>
      <c r="X217" s="562"/>
      <c r="Y217" s="562"/>
    </row>
    <row r="218" spans="5:25" ht="11.25" customHeight="1" x14ac:dyDescent="0.2">
      <c r="E218" s="563"/>
      <c r="F218" s="563"/>
      <c r="G218" s="562"/>
      <c r="K218" s="562"/>
      <c r="L218" s="562"/>
      <c r="R218" s="561" t="e">
        <f ca="1">_xll.qlCalendarAdvance(Calendar,R217,"1D","f")</f>
        <v>#NAME?</v>
      </c>
      <c r="S218" s="574" t="e">
        <f ca="1">_xll.qlInterpolationInterpolate(B3Minterpolation,R218,TRUE)</f>
        <v>#NAME?</v>
      </c>
      <c r="X218" s="562"/>
      <c r="Y218" s="562"/>
    </row>
    <row r="219" spans="5:25" ht="11.25" customHeight="1" x14ac:dyDescent="0.2">
      <c r="E219" s="563"/>
      <c r="F219" s="563"/>
      <c r="G219" s="562"/>
      <c r="K219" s="562"/>
      <c r="L219" s="562"/>
      <c r="R219" s="561" t="e">
        <f ca="1">_xll.qlCalendarAdvance(Calendar,R218,"1D","f")</f>
        <v>#NAME?</v>
      </c>
      <c r="S219" s="574" t="e">
        <f ca="1">_xll.qlInterpolationInterpolate(B3Minterpolation,R219,TRUE)</f>
        <v>#NAME?</v>
      </c>
      <c r="X219" s="562"/>
      <c r="Y219" s="562"/>
    </row>
    <row r="220" spans="5:25" ht="11.25" customHeight="1" x14ac:dyDescent="0.2">
      <c r="E220" s="563"/>
      <c r="F220" s="563"/>
      <c r="G220" s="562"/>
      <c r="K220" s="562"/>
      <c r="L220" s="562"/>
      <c r="R220" s="561" t="e">
        <f ca="1">_xll.qlCalendarAdvance(Calendar,R219,"1D","f")</f>
        <v>#NAME?</v>
      </c>
      <c r="S220" s="574" t="e">
        <f ca="1">_xll.qlInterpolationInterpolate(B3Minterpolation,R220,TRUE)</f>
        <v>#NAME?</v>
      </c>
      <c r="X220" s="562"/>
      <c r="Y220" s="562"/>
    </row>
    <row r="221" spans="5:25" ht="11.25" customHeight="1" x14ac:dyDescent="0.2">
      <c r="E221" s="563"/>
      <c r="F221" s="563"/>
      <c r="G221" s="562"/>
      <c r="K221" s="562"/>
      <c r="L221" s="562"/>
      <c r="R221" s="561" t="e">
        <f ca="1">_xll.qlCalendarAdvance(Calendar,R220,"1D","f")</f>
        <v>#NAME?</v>
      </c>
      <c r="S221" s="574" t="e">
        <f ca="1">_xll.qlInterpolationInterpolate(B3Minterpolation,R221,TRUE)</f>
        <v>#NAME?</v>
      </c>
      <c r="X221" s="562"/>
      <c r="Y221" s="562"/>
    </row>
    <row r="222" spans="5:25" ht="11.25" customHeight="1" x14ac:dyDescent="0.2">
      <c r="E222" s="563"/>
      <c r="F222" s="563"/>
      <c r="G222" s="562"/>
      <c r="K222" s="562"/>
      <c r="L222" s="562"/>
      <c r="R222" s="561" t="e">
        <f ca="1">_xll.qlCalendarAdvance(Calendar,R221,"1D","f")</f>
        <v>#NAME?</v>
      </c>
      <c r="S222" s="574" t="e">
        <f ca="1">_xll.qlInterpolationInterpolate(B3Minterpolation,R222,TRUE)</f>
        <v>#NAME?</v>
      </c>
      <c r="X222" s="562"/>
      <c r="Y222" s="562"/>
    </row>
    <row r="223" spans="5:25" ht="11.25" customHeight="1" x14ac:dyDescent="0.2">
      <c r="E223" s="563"/>
      <c r="F223" s="563"/>
      <c r="G223" s="562"/>
      <c r="K223" s="562"/>
      <c r="L223" s="562"/>
      <c r="R223" s="561" t="e">
        <f ca="1">_xll.qlCalendarAdvance(Calendar,R222,"1D","f")</f>
        <v>#NAME?</v>
      </c>
      <c r="S223" s="574" t="e">
        <f ca="1">_xll.qlInterpolationInterpolate(B3Minterpolation,R223,TRUE)</f>
        <v>#NAME?</v>
      </c>
      <c r="X223" s="562"/>
      <c r="Y223" s="562"/>
    </row>
    <row r="224" spans="5:25" ht="11.25" customHeight="1" x14ac:dyDescent="0.2">
      <c r="E224" s="563"/>
      <c r="F224" s="563"/>
      <c r="G224" s="562"/>
      <c r="K224" s="562"/>
      <c r="L224" s="562"/>
      <c r="R224" s="561" t="e">
        <f ca="1">_xll.qlCalendarAdvance(Calendar,R223,"1D","f")</f>
        <v>#NAME?</v>
      </c>
      <c r="S224" s="574" t="e">
        <f ca="1">_xll.qlInterpolationInterpolate(B3Minterpolation,R224,TRUE)</f>
        <v>#NAME?</v>
      </c>
      <c r="X224" s="562"/>
      <c r="Y224" s="562"/>
    </row>
    <row r="225" spans="5:25" ht="11.25" customHeight="1" x14ac:dyDescent="0.2">
      <c r="E225" s="563"/>
      <c r="F225" s="563"/>
      <c r="G225" s="562"/>
      <c r="K225" s="562"/>
      <c r="L225" s="562"/>
      <c r="R225" s="561" t="e">
        <f ca="1">_xll.qlCalendarAdvance(Calendar,R224,"1D","f")</f>
        <v>#NAME?</v>
      </c>
      <c r="S225" s="574" t="e">
        <f ca="1">_xll.qlInterpolationInterpolate(B3Minterpolation,R225,TRUE)</f>
        <v>#NAME?</v>
      </c>
      <c r="X225" s="562"/>
      <c r="Y225" s="562"/>
    </row>
    <row r="226" spans="5:25" ht="11.25" customHeight="1" x14ac:dyDescent="0.2">
      <c r="E226" s="563"/>
      <c r="F226" s="563"/>
      <c r="G226" s="562"/>
      <c r="K226" s="562"/>
      <c r="L226" s="562"/>
      <c r="R226" s="561" t="e">
        <f ca="1">_xll.qlCalendarAdvance(Calendar,R225,"1D","f")</f>
        <v>#NAME?</v>
      </c>
      <c r="S226" s="574" t="e">
        <f ca="1">_xll.qlInterpolationInterpolate(B3Minterpolation,R226,TRUE)</f>
        <v>#NAME?</v>
      </c>
      <c r="X226" s="562"/>
      <c r="Y226" s="562"/>
    </row>
    <row r="227" spans="5:25" ht="11.25" customHeight="1" x14ac:dyDescent="0.2">
      <c r="E227" s="563"/>
      <c r="F227" s="563"/>
      <c r="G227" s="562"/>
      <c r="K227" s="562"/>
      <c r="L227" s="562"/>
      <c r="R227" s="561" t="e">
        <f ca="1">_xll.qlCalendarAdvance(Calendar,R226,"1D","f")</f>
        <v>#NAME?</v>
      </c>
      <c r="S227" s="574" t="e">
        <f ca="1">_xll.qlInterpolationInterpolate(B3Minterpolation,R227,TRUE)</f>
        <v>#NAME?</v>
      </c>
      <c r="X227" s="562"/>
      <c r="Y227" s="562"/>
    </row>
    <row r="228" spans="5:25" ht="11.25" customHeight="1" x14ac:dyDescent="0.2">
      <c r="E228" s="563"/>
      <c r="F228" s="563"/>
      <c r="G228" s="562"/>
      <c r="K228" s="562"/>
      <c r="L228" s="562"/>
      <c r="R228" s="561" t="e">
        <f ca="1">_xll.qlCalendarAdvance(Calendar,R227,"1D","f")</f>
        <v>#NAME?</v>
      </c>
      <c r="S228" s="574" t="e">
        <f ca="1">_xll.qlInterpolationInterpolate(B3Minterpolation,R228,TRUE)</f>
        <v>#NAME?</v>
      </c>
      <c r="X228" s="562"/>
      <c r="Y228" s="562"/>
    </row>
    <row r="229" spans="5:25" ht="11.25" customHeight="1" x14ac:dyDescent="0.2">
      <c r="E229" s="563"/>
      <c r="F229" s="563"/>
      <c r="G229" s="562"/>
      <c r="K229" s="562"/>
      <c r="L229" s="562"/>
      <c r="R229" s="561" t="e">
        <f ca="1">_xll.qlCalendarAdvance(Calendar,R228,"1D","f")</f>
        <v>#NAME?</v>
      </c>
      <c r="S229" s="574" t="e">
        <f ca="1">_xll.qlInterpolationInterpolate(B3Minterpolation,R229,TRUE)</f>
        <v>#NAME?</v>
      </c>
      <c r="X229" s="562"/>
      <c r="Y229" s="562"/>
    </row>
    <row r="230" spans="5:25" ht="11.25" customHeight="1" x14ac:dyDescent="0.2">
      <c r="E230" s="563"/>
      <c r="F230" s="563"/>
      <c r="G230" s="562"/>
      <c r="K230" s="562"/>
      <c r="L230" s="562"/>
      <c r="R230" s="561" t="e">
        <f ca="1">_xll.qlCalendarAdvance(Calendar,R229,"1D","f")</f>
        <v>#NAME?</v>
      </c>
      <c r="S230" s="574" t="e">
        <f ca="1">_xll.qlInterpolationInterpolate(B3Minterpolation,R230,TRUE)</f>
        <v>#NAME?</v>
      </c>
      <c r="X230" s="562"/>
      <c r="Y230" s="562"/>
    </row>
    <row r="231" spans="5:25" ht="11.25" customHeight="1" x14ac:dyDescent="0.2">
      <c r="E231" s="563"/>
      <c r="F231" s="563"/>
      <c r="G231" s="562"/>
      <c r="K231" s="562"/>
      <c r="L231" s="562"/>
      <c r="R231" s="561" t="e">
        <f ca="1">_xll.qlCalendarAdvance(Calendar,R230,"1D","f")</f>
        <v>#NAME?</v>
      </c>
      <c r="S231" s="574" t="e">
        <f ca="1">_xll.qlInterpolationInterpolate(B3Minterpolation,R231,TRUE)</f>
        <v>#NAME?</v>
      </c>
      <c r="X231" s="562"/>
      <c r="Y231" s="562"/>
    </row>
    <row r="232" spans="5:25" ht="11.25" customHeight="1" x14ac:dyDescent="0.2">
      <c r="E232" s="563"/>
      <c r="F232" s="563"/>
      <c r="G232" s="562"/>
      <c r="K232" s="562"/>
      <c r="L232" s="562"/>
      <c r="R232" s="561" t="e">
        <f ca="1">_xll.qlCalendarAdvance(Calendar,R231,"1D","f")</f>
        <v>#NAME?</v>
      </c>
      <c r="S232" s="574" t="e">
        <f ca="1">_xll.qlInterpolationInterpolate(B3Minterpolation,R232,TRUE)</f>
        <v>#NAME?</v>
      </c>
      <c r="X232" s="562"/>
      <c r="Y232" s="562"/>
    </row>
    <row r="233" spans="5:25" ht="11.25" customHeight="1" x14ac:dyDescent="0.2">
      <c r="E233" s="563"/>
      <c r="F233" s="563"/>
      <c r="G233" s="562"/>
      <c r="K233" s="562"/>
      <c r="L233" s="562"/>
      <c r="R233" s="561" t="e">
        <f ca="1">_xll.qlCalendarAdvance(Calendar,R232,"1D","f")</f>
        <v>#NAME?</v>
      </c>
      <c r="S233" s="574" t="e">
        <f ca="1">_xll.qlInterpolationInterpolate(B3Minterpolation,R233,TRUE)</f>
        <v>#NAME?</v>
      </c>
      <c r="X233" s="562"/>
      <c r="Y233" s="562"/>
    </row>
    <row r="234" spans="5:25" ht="11.25" customHeight="1" x14ac:dyDescent="0.2">
      <c r="E234" s="563"/>
      <c r="F234" s="563"/>
      <c r="G234" s="562"/>
      <c r="K234" s="562"/>
      <c r="L234" s="562"/>
      <c r="R234" s="561" t="e">
        <f ca="1">_xll.qlCalendarAdvance(Calendar,R233,"1D","f")</f>
        <v>#NAME?</v>
      </c>
      <c r="S234" s="574" t="e">
        <f ca="1">_xll.qlInterpolationInterpolate(B3Minterpolation,R234,TRUE)</f>
        <v>#NAME?</v>
      </c>
      <c r="X234" s="562"/>
      <c r="Y234" s="562"/>
    </row>
    <row r="235" spans="5:25" ht="11.25" customHeight="1" x14ac:dyDescent="0.2">
      <c r="E235" s="563"/>
      <c r="F235" s="563"/>
      <c r="G235" s="562"/>
      <c r="K235" s="562"/>
      <c r="L235" s="562"/>
      <c r="R235" s="561" t="e">
        <f ca="1">_xll.qlCalendarAdvance(Calendar,R234,"1D","f")</f>
        <v>#NAME?</v>
      </c>
      <c r="S235" s="574" t="e">
        <f ca="1">_xll.qlInterpolationInterpolate(B3Minterpolation,R235,TRUE)</f>
        <v>#NAME?</v>
      </c>
      <c r="X235" s="562"/>
      <c r="Y235" s="562"/>
    </row>
    <row r="236" spans="5:25" ht="11.25" customHeight="1" x14ac:dyDescent="0.2">
      <c r="E236" s="563"/>
      <c r="F236" s="563"/>
      <c r="G236" s="562"/>
      <c r="K236" s="562"/>
      <c r="L236" s="562"/>
      <c r="R236" s="561" t="e">
        <f ca="1">_xll.qlCalendarAdvance(Calendar,R235,"1D","f")</f>
        <v>#NAME?</v>
      </c>
      <c r="S236" s="574" t="e">
        <f ca="1">_xll.qlInterpolationInterpolate(B3Minterpolation,R236,TRUE)</f>
        <v>#NAME?</v>
      </c>
      <c r="X236" s="562"/>
      <c r="Y236" s="562"/>
    </row>
    <row r="237" spans="5:25" ht="11.25" customHeight="1" x14ac:dyDescent="0.2">
      <c r="E237" s="563"/>
      <c r="F237" s="563"/>
      <c r="G237" s="562"/>
      <c r="K237" s="562"/>
      <c r="L237" s="562"/>
      <c r="R237" s="561" t="e">
        <f ca="1">_xll.qlCalendarAdvance(Calendar,R236,"1D","f")</f>
        <v>#NAME?</v>
      </c>
      <c r="S237" s="574" t="e">
        <f ca="1">_xll.qlInterpolationInterpolate(B3Minterpolation,R237,TRUE)</f>
        <v>#NAME?</v>
      </c>
      <c r="X237" s="562"/>
      <c r="Y237" s="562"/>
    </row>
    <row r="238" spans="5:25" ht="11.25" customHeight="1" x14ac:dyDescent="0.2">
      <c r="E238" s="563"/>
      <c r="F238" s="563"/>
      <c r="G238" s="562"/>
      <c r="K238" s="562"/>
      <c r="L238" s="562"/>
      <c r="R238" s="561" t="e">
        <f ca="1">_xll.qlCalendarAdvance(Calendar,R237,"1D","f")</f>
        <v>#NAME?</v>
      </c>
      <c r="S238" s="574" t="e">
        <f ca="1">_xll.qlInterpolationInterpolate(B3Minterpolation,R238,TRUE)</f>
        <v>#NAME?</v>
      </c>
      <c r="X238" s="562"/>
      <c r="Y238" s="562"/>
    </row>
    <row r="239" spans="5:25" ht="11.25" customHeight="1" x14ac:dyDescent="0.2">
      <c r="E239" s="563"/>
      <c r="F239" s="563"/>
      <c r="G239" s="562"/>
      <c r="K239" s="562"/>
      <c r="L239" s="562"/>
      <c r="R239" s="561" t="e">
        <f ca="1">_xll.qlCalendarAdvance(Calendar,R238,"1D","f")</f>
        <v>#NAME?</v>
      </c>
      <c r="S239" s="574" t="e">
        <f ca="1">_xll.qlInterpolationInterpolate(B3Minterpolation,R239,TRUE)</f>
        <v>#NAME?</v>
      </c>
      <c r="X239" s="562"/>
      <c r="Y239" s="562"/>
    </row>
    <row r="240" spans="5:25" ht="11.25" customHeight="1" x14ac:dyDescent="0.2">
      <c r="E240" s="563"/>
      <c r="F240" s="563"/>
      <c r="G240" s="562"/>
      <c r="K240" s="562"/>
      <c r="L240" s="562"/>
      <c r="R240" s="561" t="e">
        <f ca="1">_xll.qlCalendarAdvance(Calendar,R239,"1D","f")</f>
        <v>#NAME?</v>
      </c>
      <c r="S240" s="574" t="e">
        <f ca="1">_xll.qlInterpolationInterpolate(B3Minterpolation,R240,TRUE)</f>
        <v>#NAME?</v>
      </c>
      <c r="X240" s="562"/>
      <c r="Y240" s="562"/>
    </row>
    <row r="241" spans="5:25" ht="11.25" customHeight="1" x14ac:dyDescent="0.2">
      <c r="E241" s="563"/>
      <c r="F241" s="563"/>
      <c r="G241" s="562"/>
      <c r="K241" s="562"/>
      <c r="L241" s="562"/>
      <c r="R241" s="561" t="e">
        <f ca="1">_xll.qlCalendarAdvance(Calendar,R240,"1D","f")</f>
        <v>#NAME?</v>
      </c>
      <c r="S241" s="574" t="e">
        <f ca="1">_xll.qlInterpolationInterpolate(B3Minterpolation,R241,TRUE)</f>
        <v>#NAME?</v>
      </c>
      <c r="X241" s="562"/>
      <c r="Y241" s="562"/>
    </row>
    <row r="242" spans="5:25" ht="11.25" customHeight="1" x14ac:dyDescent="0.2">
      <c r="E242" s="563"/>
      <c r="F242" s="563"/>
      <c r="G242" s="562"/>
      <c r="K242" s="562"/>
      <c r="L242" s="562"/>
      <c r="R242" s="561" t="e">
        <f ca="1">_xll.qlCalendarAdvance(Calendar,R241,"1D","f")</f>
        <v>#NAME?</v>
      </c>
      <c r="S242" s="574" t="e">
        <f ca="1">_xll.qlInterpolationInterpolate(B3Minterpolation,R242,TRUE)</f>
        <v>#NAME?</v>
      </c>
      <c r="X242" s="562"/>
      <c r="Y242" s="562"/>
    </row>
    <row r="243" spans="5:25" ht="11.25" customHeight="1" x14ac:dyDescent="0.2">
      <c r="E243" s="563"/>
      <c r="F243" s="563"/>
      <c r="G243" s="562"/>
      <c r="K243" s="562"/>
      <c r="L243" s="562"/>
      <c r="R243" s="561" t="e">
        <f ca="1">_xll.qlCalendarAdvance(Calendar,R242,"1D","f")</f>
        <v>#NAME?</v>
      </c>
      <c r="S243" s="574" t="e">
        <f ca="1">_xll.qlInterpolationInterpolate(B3Minterpolation,R243,TRUE)</f>
        <v>#NAME?</v>
      </c>
      <c r="X243" s="562"/>
      <c r="Y243" s="562"/>
    </row>
    <row r="244" spans="5:25" ht="11.25" customHeight="1" x14ac:dyDescent="0.2">
      <c r="E244" s="563"/>
      <c r="F244" s="563"/>
      <c r="G244" s="562"/>
      <c r="K244" s="562"/>
      <c r="L244" s="562"/>
      <c r="R244" s="561" t="e">
        <f ca="1">_xll.qlCalendarAdvance(Calendar,R243,"1D","f")</f>
        <v>#NAME?</v>
      </c>
      <c r="S244" s="574" t="e">
        <f ca="1">_xll.qlInterpolationInterpolate(B3Minterpolation,R244,TRUE)</f>
        <v>#NAME?</v>
      </c>
      <c r="X244" s="562"/>
      <c r="Y244" s="562"/>
    </row>
    <row r="245" spans="5:25" ht="11.25" customHeight="1" x14ac:dyDescent="0.2">
      <c r="E245" s="563"/>
      <c r="F245" s="563"/>
      <c r="G245" s="562"/>
      <c r="K245" s="562"/>
      <c r="L245" s="562"/>
      <c r="R245" s="561" t="e">
        <f ca="1">_xll.qlCalendarAdvance(Calendar,R244,"1D","f")</f>
        <v>#NAME?</v>
      </c>
      <c r="S245" s="574" t="e">
        <f ca="1">_xll.qlInterpolationInterpolate(B3Minterpolation,R245,TRUE)</f>
        <v>#NAME?</v>
      </c>
      <c r="X245" s="562"/>
      <c r="Y245" s="562"/>
    </row>
    <row r="246" spans="5:25" ht="11.25" customHeight="1" x14ac:dyDescent="0.2">
      <c r="E246" s="563"/>
      <c r="F246" s="563"/>
      <c r="G246" s="562"/>
      <c r="K246" s="562"/>
      <c r="L246" s="562"/>
      <c r="R246" s="561" t="e">
        <f ca="1">_xll.qlCalendarAdvance(Calendar,R245,"1D","f")</f>
        <v>#NAME?</v>
      </c>
      <c r="S246" s="574" t="e">
        <f ca="1">_xll.qlInterpolationInterpolate(B3Minterpolation,R246,TRUE)</f>
        <v>#NAME?</v>
      </c>
      <c r="X246" s="562"/>
      <c r="Y246" s="562"/>
    </row>
    <row r="247" spans="5:25" ht="11.25" customHeight="1" x14ac:dyDescent="0.2">
      <c r="E247" s="563"/>
      <c r="F247" s="563"/>
      <c r="G247" s="562"/>
      <c r="K247" s="562"/>
      <c r="L247" s="562"/>
      <c r="R247" s="561" t="e">
        <f ca="1">_xll.qlCalendarAdvance(Calendar,R246,"1D","f")</f>
        <v>#NAME?</v>
      </c>
      <c r="S247" s="574" t="e">
        <f ca="1">_xll.qlInterpolationInterpolate(B3Minterpolation,R247,TRUE)</f>
        <v>#NAME?</v>
      </c>
      <c r="X247" s="562"/>
      <c r="Y247" s="562"/>
    </row>
    <row r="248" spans="5:25" ht="11.25" customHeight="1" x14ac:dyDescent="0.2">
      <c r="E248" s="563"/>
      <c r="F248" s="563"/>
      <c r="G248" s="562"/>
      <c r="K248" s="562"/>
      <c r="L248" s="562"/>
      <c r="R248" s="561" t="e">
        <f ca="1">_xll.qlCalendarAdvance(Calendar,R247,"1D","f")</f>
        <v>#NAME?</v>
      </c>
      <c r="S248" s="574" t="e">
        <f ca="1">_xll.qlInterpolationInterpolate(B3Minterpolation,R248,TRUE)</f>
        <v>#NAME?</v>
      </c>
      <c r="X248" s="562"/>
      <c r="Y248" s="562"/>
    </row>
    <row r="249" spans="5:25" ht="11.25" customHeight="1" x14ac:dyDescent="0.2">
      <c r="E249" s="563"/>
      <c r="F249" s="563"/>
      <c r="G249" s="562"/>
      <c r="K249" s="562"/>
      <c r="L249" s="562"/>
      <c r="R249" s="561" t="e">
        <f ca="1">_xll.qlCalendarAdvance(Calendar,R248,"1D","f")</f>
        <v>#NAME?</v>
      </c>
      <c r="S249" s="574" t="e">
        <f ca="1">_xll.qlInterpolationInterpolate(B3Minterpolation,R249,TRUE)</f>
        <v>#NAME?</v>
      </c>
      <c r="X249" s="562"/>
      <c r="Y249" s="562"/>
    </row>
    <row r="250" spans="5:25" ht="11.25" customHeight="1" x14ac:dyDescent="0.2">
      <c r="E250" s="563"/>
      <c r="F250" s="563"/>
      <c r="G250" s="562"/>
      <c r="K250" s="562"/>
      <c r="L250" s="562"/>
      <c r="R250" s="561" t="e">
        <f ca="1">_xll.qlCalendarAdvance(Calendar,R249,"1D","f")</f>
        <v>#NAME?</v>
      </c>
      <c r="S250" s="574" t="e">
        <f ca="1">_xll.qlInterpolationInterpolate(B3Minterpolation,R250,TRUE)</f>
        <v>#NAME?</v>
      </c>
      <c r="X250" s="562"/>
      <c r="Y250" s="562"/>
    </row>
    <row r="251" spans="5:25" ht="11.25" customHeight="1" x14ac:dyDescent="0.2">
      <c r="E251" s="563"/>
      <c r="F251" s="563"/>
      <c r="G251" s="562"/>
      <c r="K251" s="562"/>
      <c r="L251" s="562"/>
      <c r="R251" s="561" t="e">
        <f ca="1">_xll.qlCalendarAdvance(Calendar,R250,"1D","f")</f>
        <v>#NAME?</v>
      </c>
      <c r="S251" s="574" t="e">
        <f ca="1">_xll.qlInterpolationInterpolate(B3Minterpolation,R251,TRUE)</f>
        <v>#NAME?</v>
      </c>
      <c r="X251" s="562"/>
      <c r="Y251" s="562"/>
    </row>
    <row r="252" spans="5:25" ht="11.25" customHeight="1" x14ac:dyDescent="0.2">
      <c r="E252" s="563"/>
      <c r="F252" s="563"/>
      <c r="G252" s="562"/>
      <c r="K252" s="562"/>
      <c r="L252" s="562"/>
      <c r="R252" s="561" t="e">
        <f ca="1">_xll.qlCalendarAdvance(Calendar,R251,"1D","f")</f>
        <v>#NAME?</v>
      </c>
      <c r="S252" s="574" t="e">
        <f ca="1">_xll.qlInterpolationInterpolate(B3Minterpolation,R252,TRUE)</f>
        <v>#NAME?</v>
      </c>
      <c r="X252" s="562"/>
      <c r="Y252" s="562"/>
    </row>
    <row r="253" spans="5:25" ht="11.25" customHeight="1" x14ac:dyDescent="0.2">
      <c r="E253" s="563"/>
      <c r="F253" s="563"/>
      <c r="G253" s="562"/>
      <c r="K253" s="562"/>
      <c r="L253" s="562"/>
      <c r="R253" s="561" t="e">
        <f ca="1">_xll.qlCalendarAdvance(Calendar,R252,"1D","f")</f>
        <v>#NAME?</v>
      </c>
      <c r="S253" s="574" t="e">
        <f ca="1">_xll.qlInterpolationInterpolate(B3Minterpolation,R253,TRUE)</f>
        <v>#NAME?</v>
      </c>
      <c r="X253" s="562"/>
      <c r="Y253" s="562"/>
    </row>
    <row r="254" spans="5:25" ht="11.25" customHeight="1" x14ac:dyDescent="0.2">
      <c r="E254" s="563"/>
      <c r="F254" s="563"/>
      <c r="G254" s="562"/>
      <c r="K254" s="562"/>
      <c r="L254" s="562"/>
      <c r="R254" s="561" t="e">
        <f ca="1">_xll.qlCalendarAdvance(Calendar,R253,"1D","f")</f>
        <v>#NAME?</v>
      </c>
      <c r="S254" s="574" t="e">
        <f ca="1">_xll.qlInterpolationInterpolate(B3Minterpolation,R254,TRUE)</f>
        <v>#NAME?</v>
      </c>
      <c r="X254" s="562"/>
      <c r="Y254" s="562"/>
    </row>
    <row r="255" spans="5:25" ht="11.25" customHeight="1" x14ac:dyDescent="0.2">
      <c r="E255" s="563"/>
      <c r="F255" s="563"/>
      <c r="G255" s="562"/>
      <c r="K255" s="562"/>
      <c r="L255" s="562"/>
      <c r="R255" s="561" t="e">
        <f ca="1">_xll.qlCalendarAdvance(Calendar,R254,"1D","f")</f>
        <v>#NAME?</v>
      </c>
      <c r="S255" s="574" t="e">
        <f ca="1">_xll.qlInterpolationInterpolate(B3Minterpolation,R255,TRUE)</f>
        <v>#NAME?</v>
      </c>
      <c r="X255" s="562"/>
      <c r="Y255" s="562"/>
    </row>
    <row r="256" spans="5:25" ht="11.25" customHeight="1" x14ac:dyDescent="0.2">
      <c r="E256" s="563"/>
      <c r="F256" s="563"/>
      <c r="G256" s="562"/>
      <c r="K256" s="562"/>
      <c r="L256" s="562"/>
      <c r="R256" s="561" t="e">
        <f ca="1">_xll.qlCalendarAdvance(Calendar,R255,"1D","f")</f>
        <v>#NAME?</v>
      </c>
      <c r="S256" s="574" t="e">
        <f ca="1">_xll.qlInterpolationInterpolate(B3Minterpolation,R256,TRUE)</f>
        <v>#NAME?</v>
      </c>
      <c r="X256" s="562"/>
      <c r="Y256" s="562"/>
    </row>
    <row r="257" spans="5:25" ht="11.25" customHeight="1" x14ac:dyDescent="0.2">
      <c r="E257" s="563"/>
      <c r="F257" s="563"/>
      <c r="G257" s="562"/>
      <c r="K257" s="562"/>
      <c r="L257" s="562"/>
      <c r="R257" s="561" t="e">
        <f ca="1">_xll.qlCalendarAdvance(Calendar,R256,"1D","f")</f>
        <v>#NAME?</v>
      </c>
      <c r="S257" s="574" t="e">
        <f ca="1">_xll.qlInterpolationInterpolate(B3Minterpolation,R257,TRUE)</f>
        <v>#NAME?</v>
      </c>
      <c r="X257" s="562"/>
      <c r="Y257" s="562"/>
    </row>
    <row r="258" spans="5:25" ht="11.25" customHeight="1" x14ac:dyDescent="0.2">
      <c r="E258" s="563"/>
      <c r="F258" s="563"/>
      <c r="G258" s="562"/>
      <c r="K258" s="562"/>
      <c r="L258" s="562"/>
      <c r="R258" s="561" t="e">
        <f ca="1">_xll.qlCalendarAdvance(Calendar,R257,"1D","f")</f>
        <v>#NAME?</v>
      </c>
      <c r="S258" s="574" t="e">
        <f ca="1">_xll.qlInterpolationInterpolate(B3Minterpolation,R258,TRUE)</f>
        <v>#NAME?</v>
      </c>
      <c r="X258" s="562"/>
      <c r="Y258" s="562"/>
    </row>
    <row r="259" spans="5:25" ht="11.25" customHeight="1" x14ac:dyDescent="0.2">
      <c r="E259" s="563"/>
      <c r="F259" s="563"/>
      <c r="G259" s="562"/>
      <c r="K259" s="562"/>
      <c r="L259" s="562"/>
      <c r="R259" s="561" t="e">
        <f ca="1">_xll.qlCalendarAdvance(Calendar,R258,"1D","f")</f>
        <v>#NAME?</v>
      </c>
      <c r="S259" s="574" t="e">
        <f ca="1">_xll.qlInterpolationInterpolate(B3Minterpolation,R259,TRUE)</f>
        <v>#NAME?</v>
      </c>
      <c r="X259" s="562"/>
      <c r="Y259" s="562"/>
    </row>
    <row r="260" spans="5:25" ht="11.25" customHeight="1" x14ac:dyDescent="0.2">
      <c r="E260" s="563"/>
      <c r="F260" s="563"/>
      <c r="G260" s="562"/>
      <c r="K260" s="562"/>
      <c r="L260" s="562"/>
      <c r="R260" s="561" t="e">
        <f ca="1">_xll.qlCalendarAdvance(Calendar,R259,"1D","f")</f>
        <v>#NAME?</v>
      </c>
      <c r="S260" s="574" t="e">
        <f ca="1">_xll.qlInterpolationInterpolate(B3Minterpolation,R260,TRUE)</f>
        <v>#NAME?</v>
      </c>
      <c r="X260" s="562"/>
      <c r="Y260" s="562"/>
    </row>
    <row r="261" spans="5:25" ht="11.25" customHeight="1" x14ac:dyDescent="0.2">
      <c r="E261" s="563"/>
      <c r="F261" s="563"/>
      <c r="G261" s="562"/>
      <c r="K261" s="562"/>
      <c r="L261" s="562"/>
      <c r="R261" s="559" t="e">
        <f ca="1">_xll.qlCalendarAdvance(Calendar,R260,"1D","f")</f>
        <v>#NAME?</v>
      </c>
      <c r="S261" s="567" t="e">
        <f ca="1">_xll.qlInterpolationInterpolate(B3Minterpolation,R261,TRUE)</f>
        <v>#NAME?</v>
      </c>
      <c r="X261" s="562"/>
      <c r="Y261" s="562"/>
    </row>
    <row r="262" spans="5:25" ht="11.25" customHeight="1" x14ac:dyDescent="0.2">
      <c r="E262" s="563"/>
      <c r="F262" s="563"/>
      <c r="G262" s="562"/>
      <c r="K262" s="562"/>
      <c r="L262" s="562"/>
      <c r="R262" s="557"/>
      <c r="S262" s="557"/>
      <c r="X262" s="562"/>
      <c r="Y262" s="562"/>
    </row>
    <row r="263" spans="5:25" ht="11.25" customHeight="1" x14ac:dyDescent="0.2">
      <c r="E263" s="563"/>
      <c r="F263" s="563"/>
      <c r="G263" s="562"/>
      <c r="K263" s="562"/>
      <c r="L263" s="562"/>
      <c r="R263" s="557"/>
      <c r="S263" s="557"/>
      <c r="X263" s="562"/>
      <c r="Y263" s="562"/>
    </row>
    <row r="264" spans="5:25" ht="11.25" customHeight="1" x14ac:dyDescent="0.2">
      <c r="E264" s="563"/>
      <c r="F264" s="563"/>
      <c r="G264" s="562"/>
      <c r="K264" s="562"/>
      <c r="L264" s="562"/>
      <c r="R264" s="557"/>
      <c r="S264" s="557"/>
      <c r="X264" s="562"/>
      <c r="Y264" s="562"/>
    </row>
    <row r="265" spans="5:25" ht="11.25" customHeight="1" x14ac:dyDescent="0.2">
      <c r="E265" s="563"/>
      <c r="F265" s="563"/>
      <c r="G265" s="562"/>
      <c r="K265" s="562"/>
      <c r="L265" s="562"/>
      <c r="R265" s="557"/>
      <c r="S265" s="557"/>
      <c r="X265" s="562"/>
      <c r="Y265" s="562"/>
    </row>
    <row r="266" spans="5:25" ht="11.25" customHeight="1" x14ac:dyDescent="0.2">
      <c r="E266" s="563"/>
      <c r="F266" s="563"/>
      <c r="G266" s="562"/>
      <c r="K266" s="562"/>
      <c r="L266" s="562"/>
      <c r="R266" s="557"/>
      <c r="S266" s="557"/>
      <c r="X266" s="562"/>
      <c r="Y266" s="562"/>
    </row>
    <row r="267" spans="5:25" ht="11.25" customHeight="1" x14ac:dyDescent="0.2">
      <c r="E267" s="563"/>
      <c r="F267" s="563"/>
      <c r="G267" s="562"/>
      <c r="K267" s="562"/>
      <c r="L267" s="562"/>
      <c r="R267" s="557"/>
      <c r="S267" s="557"/>
      <c r="X267" s="562"/>
      <c r="Y267" s="562"/>
    </row>
    <row r="268" spans="5:25" ht="11.25" customHeight="1" x14ac:dyDescent="0.2">
      <c r="E268" s="563"/>
      <c r="F268" s="563"/>
      <c r="G268" s="562"/>
      <c r="K268" s="562"/>
      <c r="L268" s="562"/>
      <c r="R268" s="557"/>
      <c r="S268" s="557"/>
      <c r="X268" s="562"/>
      <c r="Y268" s="562"/>
    </row>
    <row r="269" spans="5:25" ht="11.25" customHeight="1" x14ac:dyDescent="0.2">
      <c r="E269" s="563"/>
      <c r="F269" s="563"/>
      <c r="G269" s="562"/>
      <c r="K269" s="562"/>
      <c r="L269" s="562"/>
      <c r="R269" s="557"/>
      <c r="S269" s="557"/>
      <c r="X269" s="562"/>
      <c r="Y269" s="562"/>
    </row>
    <row r="270" spans="5:25" ht="11.25" customHeight="1" x14ac:dyDescent="0.2">
      <c r="E270" s="563"/>
      <c r="F270" s="563"/>
      <c r="G270" s="562"/>
      <c r="K270" s="562"/>
      <c r="L270" s="562"/>
      <c r="R270" s="557"/>
      <c r="S270" s="557"/>
      <c r="X270" s="562"/>
      <c r="Y270" s="562"/>
    </row>
    <row r="271" spans="5:25" ht="11.25" customHeight="1" x14ac:dyDescent="0.2">
      <c r="E271" s="563"/>
      <c r="F271" s="563"/>
      <c r="G271" s="562"/>
      <c r="K271" s="562"/>
      <c r="L271" s="562"/>
      <c r="R271" s="557"/>
      <c r="S271" s="557"/>
      <c r="X271" s="562"/>
      <c r="Y271" s="562"/>
    </row>
    <row r="272" spans="5:25" ht="11.25" customHeight="1" x14ac:dyDescent="0.2">
      <c r="E272" s="563"/>
      <c r="F272" s="563"/>
      <c r="G272" s="562"/>
      <c r="K272" s="562"/>
      <c r="L272" s="562"/>
      <c r="R272" s="557"/>
      <c r="S272" s="557"/>
      <c r="X272" s="562"/>
      <c r="Y272" s="562"/>
    </row>
    <row r="273" spans="5:25" ht="11.25" customHeight="1" x14ac:dyDescent="0.2">
      <c r="E273" s="563"/>
      <c r="F273" s="563"/>
      <c r="G273" s="562"/>
      <c r="K273" s="562"/>
      <c r="L273" s="562"/>
      <c r="R273" s="557"/>
      <c r="S273" s="557"/>
      <c r="X273" s="562"/>
      <c r="Y273" s="562"/>
    </row>
    <row r="274" spans="5:25" ht="11.25" customHeight="1" x14ac:dyDescent="0.2">
      <c r="E274" s="563"/>
      <c r="F274" s="563"/>
      <c r="G274" s="562"/>
      <c r="K274" s="562"/>
      <c r="L274" s="562"/>
      <c r="R274" s="557"/>
      <c r="S274" s="557"/>
      <c r="X274" s="562"/>
      <c r="Y274" s="562"/>
    </row>
    <row r="275" spans="5:25" ht="11.25" customHeight="1" x14ac:dyDescent="0.2">
      <c r="E275" s="563"/>
      <c r="F275" s="563"/>
      <c r="G275" s="562"/>
      <c r="K275" s="562"/>
      <c r="L275" s="562"/>
      <c r="R275" s="557"/>
      <c r="S275" s="557"/>
      <c r="X275" s="562"/>
      <c r="Y275" s="562"/>
    </row>
    <row r="276" spans="5:25" ht="11.25" customHeight="1" x14ac:dyDescent="0.2">
      <c r="E276" s="563"/>
      <c r="F276" s="563"/>
      <c r="G276" s="562"/>
      <c r="K276" s="562"/>
      <c r="L276" s="562"/>
      <c r="R276" s="557"/>
      <c r="S276" s="557"/>
      <c r="X276" s="562"/>
      <c r="Y276" s="562"/>
    </row>
    <row r="277" spans="5:25" ht="11.25" customHeight="1" x14ac:dyDescent="0.2">
      <c r="E277" s="563"/>
      <c r="F277" s="563"/>
      <c r="G277" s="562"/>
      <c r="K277" s="562"/>
      <c r="L277" s="562"/>
      <c r="R277" s="557"/>
      <c r="S277" s="557"/>
      <c r="X277" s="562"/>
      <c r="Y277" s="562"/>
    </row>
    <row r="278" spans="5:25" ht="11.25" customHeight="1" x14ac:dyDescent="0.2">
      <c r="E278" s="563"/>
      <c r="F278" s="563"/>
      <c r="G278" s="562"/>
      <c r="K278" s="562"/>
      <c r="L278" s="562"/>
      <c r="R278" s="557"/>
      <c r="S278" s="557"/>
      <c r="X278" s="562"/>
      <c r="Y278" s="562"/>
    </row>
    <row r="279" spans="5:25" ht="11.25" customHeight="1" x14ac:dyDescent="0.2">
      <c r="E279" s="563"/>
      <c r="F279" s="563"/>
      <c r="G279" s="562"/>
      <c r="K279" s="562"/>
      <c r="L279" s="562"/>
      <c r="R279" s="557"/>
      <c r="S279" s="557"/>
      <c r="X279" s="562"/>
      <c r="Y279" s="562"/>
    </row>
    <row r="280" spans="5:25" ht="11.25" customHeight="1" x14ac:dyDescent="0.2">
      <c r="E280" s="563"/>
      <c r="F280" s="563"/>
      <c r="G280" s="562"/>
      <c r="K280" s="562"/>
      <c r="L280" s="562"/>
      <c r="R280" s="557"/>
      <c r="S280" s="557"/>
      <c r="X280" s="562"/>
      <c r="Y280" s="562"/>
    </row>
    <row r="281" spans="5:25" ht="11.25" customHeight="1" x14ac:dyDescent="0.2">
      <c r="E281" s="563"/>
      <c r="F281" s="563"/>
      <c r="G281" s="562"/>
      <c r="K281" s="562"/>
      <c r="L281" s="562"/>
      <c r="R281" s="557"/>
      <c r="S281" s="557"/>
      <c r="X281" s="562"/>
      <c r="Y281" s="562"/>
    </row>
    <row r="282" spans="5:25" ht="11.25" customHeight="1" x14ac:dyDescent="0.2">
      <c r="E282" s="563"/>
      <c r="F282" s="563"/>
      <c r="G282" s="562"/>
      <c r="K282" s="562"/>
      <c r="L282" s="562"/>
      <c r="R282" s="557"/>
      <c r="S282" s="557"/>
      <c r="X282" s="562"/>
      <c r="Y282" s="562"/>
    </row>
    <row r="283" spans="5:25" ht="11.25" customHeight="1" x14ac:dyDescent="0.2">
      <c r="E283" s="563"/>
      <c r="F283" s="563"/>
      <c r="G283" s="562"/>
      <c r="K283" s="562"/>
      <c r="L283" s="562"/>
      <c r="R283" s="557"/>
      <c r="S283" s="557"/>
      <c r="X283" s="562"/>
      <c r="Y283" s="562"/>
    </row>
    <row r="284" spans="5:25" ht="11.25" customHeight="1" x14ac:dyDescent="0.2">
      <c r="E284" s="563"/>
      <c r="F284" s="563"/>
      <c r="G284" s="562"/>
      <c r="K284" s="562"/>
      <c r="L284" s="562"/>
      <c r="R284" s="557"/>
      <c r="S284" s="557"/>
      <c r="X284" s="562"/>
      <c r="Y284" s="562"/>
    </row>
    <row r="285" spans="5:25" ht="11.25" customHeight="1" x14ac:dyDescent="0.2">
      <c r="E285" s="563"/>
      <c r="F285" s="563"/>
      <c r="G285" s="562"/>
      <c r="K285" s="562"/>
      <c r="L285" s="562"/>
      <c r="R285" s="557"/>
      <c r="S285" s="557"/>
      <c r="X285" s="562"/>
      <c r="Y285" s="562"/>
    </row>
    <row r="286" spans="5:25" ht="11.25" customHeight="1" x14ac:dyDescent="0.2">
      <c r="E286" s="563"/>
      <c r="F286" s="563"/>
      <c r="G286" s="562"/>
      <c r="K286" s="562"/>
      <c r="L286" s="562"/>
      <c r="R286" s="557"/>
      <c r="S286" s="557"/>
      <c r="X286" s="562"/>
      <c r="Y286" s="562"/>
    </row>
    <row r="287" spans="5:25" ht="11.25" customHeight="1" x14ac:dyDescent="0.2">
      <c r="E287" s="563"/>
      <c r="F287" s="563"/>
      <c r="G287" s="562"/>
      <c r="K287" s="562"/>
      <c r="L287" s="562"/>
      <c r="R287" s="557"/>
      <c r="S287" s="557"/>
      <c r="X287" s="562"/>
      <c r="Y287" s="562"/>
    </row>
    <row r="288" spans="5:25" ht="11.25" customHeight="1" x14ac:dyDescent="0.2">
      <c r="E288" s="563"/>
      <c r="F288" s="563"/>
      <c r="G288" s="562"/>
      <c r="K288" s="562"/>
      <c r="L288" s="562"/>
      <c r="R288" s="557"/>
      <c r="S288" s="557"/>
      <c r="X288" s="562"/>
      <c r="Y288" s="562"/>
    </row>
    <row r="289" spans="5:25" ht="11.25" customHeight="1" x14ac:dyDescent="0.2">
      <c r="E289" s="563"/>
      <c r="F289" s="563"/>
      <c r="G289" s="562"/>
      <c r="K289" s="562"/>
      <c r="L289" s="562"/>
      <c r="R289" s="557"/>
      <c r="S289" s="557"/>
      <c r="X289" s="562"/>
      <c r="Y289" s="562"/>
    </row>
    <row r="290" spans="5:25" ht="11.25" customHeight="1" x14ac:dyDescent="0.2">
      <c r="E290" s="563"/>
      <c r="F290" s="563"/>
      <c r="G290" s="562"/>
      <c r="K290" s="562"/>
      <c r="L290" s="562"/>
      <c r="R290" s="557"/>
      <c r="S290" s="557"/>
      <c r="X290" s="562"/>
      <c r="Y290" s="562"/>
    </row>
    <row r="291" spans="5:25" ht="11.25" customHeight="1" x14ac:dyDescent="0.2">
      <c r="E291" s="563"/>
      <c r="F291" s="563"/>
      <c r="G291" s="562"/>
      <c r="K291" s="562"/>
      <c r="L291" s="562"/>
      <c r="R291" s="557"/>
      <c r="S291" s="557"/>
      <c r="X291" s="562"/>
      <c r="Y291" s="562"/>
    </row>
    <row r="292" spans="5:25" ht="11.25" customHeight="1" x14ac:dyDescent="0.2">
      <c r="E292" s="563"/>
      <c r="F292" s="563"/>
      <c r="G292" s="562"/>
      <c r="K292" s="562"/>
      <c r="L292" s="562"/>
      <c r="R292" s="557"/>
      <c r="S292" s="557"/>
      <c r="X292" s="562"/>
      <c r="Y292" s="562"/>
    </row>
    <row r="293" spans="5:25" ht="11.25" customHeight="1" x14ac:dyDescent="0.2">
      <c r="E293" s="563"/>
      <c r="F293" s="563"/>
      <c r="G293" s="562"/>
      <c r="K293" s="562"/>
      <c r="L293" s="562"/>
      <c r="R293" s="557"/>
      <c r="S293" s="557"/>
      <c r="X293" s="562"/>
      <c r="Y293" s="562"/>
    </row>
    <row r="294" spans="5:25" ht="11.25" customHeight="1" x14ac:dyDescent="0.2">
      <c r="E294" s="563"/>
      <c r="F294" s="563"/>
      <c r="G294" s="562"/>
      <c r="K294" s="562"/>
      <c r="L294" s="562"/>
      <c r="R294" s="557"/>
      <c r="S294" s="557"/>
      <c r="X294" s="562"/>
      <c r="Y294" s="562"/>
    </row>
    <row r="295" spans="5:25" ht="11.25" customHeight="1" x14ac:dyDescent="0.2">
      <c r="E295" s="563"/>
      <c r="F295" s="563"/>
      <c r="G295" s="562"/>
      <c r="K295" s="562"/>
      <c r="L295" s="562"/>
      <c r="R295" s="557"/>
      <c r="S295" s="557"/>
      <c r="X295" s="562"/>
      <c r="Y295" s="562"/>
    </row>
    <row r="296" spans="5:25" ht="11.25" customHeight="1" x14ac:dyDescent="0.2">
      <c r="E296" s="563"/>
      <c r="F296" s="563"/>
      <c r="G296" s="562"/>
      <c r="K296" s="562"/>
      <c r="L296" s="562"/>
      <c r="R296" s="557"/>
      <c r="S296" s="557"/>
      <c r="X296" s="562"/>
      <c r="Y296" s="562"/>
    </row>
    <row r="297" spans="5:25" ht="11.25" customHeight="1" x14ac:dyDescent="0.2">
      <c r="E297" s="563"/>
      <c r="F297" s="563"/>
      <c r="G297" s="562"/>
      <c r="K297" s="562"/>
      <c r="L297" s="562"/>
      <c r="R297" s="557"/>
      <c r="S297" s="557"/>
      <c r="X297" s="562"/>
      <c r="Y297" s="562"/>
    </row>
    <row r="298" spans="5:25" ht="11.25" customHeight="1" x14ac:dyDescent="0.2">
      <c r="E298" s="563"/>
      <c r="F298" s="563"/>
      <c r="G298" s="562"/>
      <c r="K298" s="562"/>
      <c r="L298" s="562"/>
      <c r="R298" s="557"/>
      <c r="S298" s="557"/>
      <c r="X298" s="562"/>
      <c r="Y298" s="562"/>
    </row>
    <row r="299" spans="5:25" ht="11.25" customHeight="1" x14ac:dyDescent="0.2">
      <c r="E299" s="563"/>
      <c r="F299" s="563"/>
      <c r="G299" s="562"/>
      <c r="K299" s="562"/>
      <c r="L299" s="562"/>
      <c r="R299" s="557"/>
      <c r="S299" s="557"/>
      <c r="X299" s="562"/>
      <c r="Y299" s="562"/>
    </row>
    <row r="300" spans="5:25" ht="11.25" customHeight="1" x14ac:dyDescent="0.2">
      <c r="E300" s="563"/>
      <c r="F300" s="563"/>
      <c r="G300" s="562"/>
      <c r="K300" s="562"/>
      <c r="L300" s="562"/>
      <c r="R300" s="557"/>
      <c r="S300" s="557"/>
      <c r="X300" s="562"/>
      <c r="Y300" s="562"/>
    </row>
    <row r="301" spans="5:25" ht="11.25" customHeight="1" x14ac:dyDescent="0.2">
      <c r="E301" s="563"/>
      <c r="F301" s="563"/>
      <c r="G301" s="562"/>
      <c r="K301" s="562"/>
      <c r="L301" s="562"/>
      <c r="R301" s="557"/>
      <c r="S301" s="557"/>
      <c r="X301" s="562"/>
      <c r="Y301" s="562"/>
    </row>
    <row r="302" spans="5:25" ht="11.25" customHeight="1" x14ac:dyDescent="0.2">
      <c r="E302" s="563"/>
      <c r="F302" s="563"/>
      <c r="G302" s="562"/>
      <c r="K302" s="562"/>
      <c r="L302" s="562"/>
      <c r="R302" s="557"/>
      <c r="S302" s="557"/>
      <c r="X302" s="562"/>
      <c r="Y302" s="562"/>
    </row>
    <row r="303" spans="5:25" ht="11.25" customHeight="1" x14ac:dyDescent="0.2">
      <c r="E303" s="563"/>
      <c r="F303" s="563"/>
      <c r="G303" s="562"/>
      <c r="K303" s="562"/>
      <c r="L303" s="562"/>
      <c r="R303" s="557"/>
      <c r="S303" s="557"/>
      <c r="X303" s="562"/>
      <c r="Y303" s="562"/>
    </row>
    <row r="304" spans="5:25" ht="11.25" customHeight="1" x14ac:dyDescent="0.2">
      <c r="E304" s="563"/>
      <c r="F304" s="563"/>
      <c r="G304" s="562"/>
      <c r="K304" s="562"/>
      <c r="L304" s="562"/>
      <c r="R304" s="557"/>
      <c r="S304" s="557"/>
      <c r="X304" s="562"/>
      <c r="Y304" s="562"/>
    </row>
    <row r="305" spans="5:25" ht="11.25" customHeight="1" x14ac:dyDescent="0.2">
      <c r="E305" s="563"/>
      <c r="F305" s="563"/>
      <c r="G305" s="562"/>
      <c r="K305" s="562"/>
      <c r="L305" s="562"/>
      <c r="R305" s="557"/>
      <c r="S305" s="557"/>
      <c r="X305" s="562"/>
      <c r="Y305" s="562"/>
    </row>
    <row r="306" spans="5:25" ht="11.25" customHeight="1" x14ac:dyDescent="0.2">
      <c r="E306" s="563"/>
      <c r="F306" s="563"/>
      <c r="G306" s="562"/>
      <c r="K306" s="562"/>
      <c r="L306" s="562"/>
      <c r="R306" s="557"/>
      <c r="S306" s="557"/>
      <c r="X306" s="562"/>
      <c r="Y306" s="562"/>
    </row>
    <row r="307" spans="5:25" ht="11.25" customHeight="1" x14ac:dyDescent="0.2">
      <c r="E307" s="563"/>
      <c r="F307" s="563"/>
      <c r="G307" s="562"/>
      <c r="K307" s="562"/>
      <c r="L307" s="562"/>
      <c r="R307" s="557"/>
      <c r="S307" s="557"/>
      <c r="X307" s="562"/>
      <c r="Y307" s="562"/>
    </row>
    <row r="308" spans="5:25" ht="11.25" customHeight="1" x14ac:dyDescent="0.2">
      <c r="E308" s="563"/>
      <c r="F308" s="563"/>
      <c r="G308" s="562"/>
      <c r="K308" s="562"/>
      <c r="L308" s="562"/>
      <c r="R308" s="557"/>
      <c r="S308" s="557"/>
      <c r="X308" s="562"/>
      <c r="Y308" s="562"/>
    </row>
    <row r="309" spans="5:25" ht="11.25" customHeight="1" x14ac:dyDescent="0.2">
      <c r="E309" s="563"/>
      <c r="F309" s="563"/>
      <c r="G309" s="562"/>
      <c r="K309" s="562"/>
      <c r="L309" s="562"/>
      <c r="R309" s="557"/>
      <c r="S309" s="557"/>
      <c r="X309" s="562"/>
      <c r="Y309" s="562"/>
    </row>
    <row r="310" spans="5:25" ht="11.25" customHeight="1" x14ac:dyDescent="0.2">
      <c r="E310" s="563"/>
      <c r="F310" s="563"/>
      <c r="G310" s="562"/>
      <c r="K310" s="562"/>
      <c r="L310" s="562"/>
      <c r="R310" s="557"/>
      <c r="S310" s="557"/>
      <c r="X310" s="562"/>
      <c r="Y310" s="562"/>
    </row>
    <row r="311" spans="5:25" ht="11.25" customHeight="1" x14ac:dyDescent="0.2">
      <c r="E311" s="563"/>
      <c r="F311" s="563"/>
      <c r="G311" s="562"/>
      <c r="K311" s="562"/>
      <c r="L311" s="562"/>
      <c r="R311" s="557"/>
      <c r="S311" s="557"/>
      <c r="X311" s="562"/>
      <c r="Y311" s="562"/>
    </row>
    <row r="312" spans="5:25" ht="11.25" customHeight="1" x14ac:dyDescent="0.2">
      <c r="E312" s="563"/>
      <c r="F312" s="563"/>
      <c r="G312" s="562"/>
      <c r="K312" s="562"/>
      <c r="L312" s="562"/>
      <c r="R312" s="557"/>
      <c r="S312" s="557"/>
      <c r="X312" s="562"/>
      <c r="Y312" s="562"/>
    </row>
    <row r="313" spans="5:25" ht="11.25" customHeight="1" x14ac:dyDescent="0.2">
      <c r="E313" s="563"/>
      <c r="F313" s="563"/>
      <c r="G313" s="562"/>
      <c r="K313" s="562"/>
      <c r="L313" s="562"/>
      <c r="R313" s="557"/>
      <c r="S313" s="557"/>
      <c r="X313" s="562"/>
      <c r="Y313" s="562"/>
    </row>
    <row r="314" spans="5:25" ht="11.25" customHeight="1" x14ac:dyDescent="0.2">
      <c r="E314" s="563"/>
      <c r="F314" s="563"/>
      <c r="G314" s="562"/>
      <c r="K314" s="562"/>
      <c r="L314" s="562"/>
      <c r="R314" s="557"/>
      <c r="S314" s="557"/>
      <c r="X314" s="562"/>
      <c r="Y314" s="562"/>
    </row>
    <row r="315" spans="5:25" ht="11.25" customHeight="1" x14ac:dyDescent="0.2">
      <c r="E315" s="563"/>
      <c r="F315" s="563"/>
      <c r="G315" s="562"/>
      <c r="K315" s="562"/>
      <c r="L315" s="562"/>
      <c r="R315" s="557"/>
      <c r="S315" s="557"/>
      <c r="X315" s="562"/>
      <c r="Y315" s="562"/>
    </row>
    <row r="316" spans="5:25" ht="11.25" customHeight="1" x14ac:dyDescent="0.2">
      <c r="E316" s="563"/>
      <c r="F316" s="563"/>
      <c r="G316" s="562"/>
      <c r="K316" s="562"/>
      <c r="L316" s="562"/>
      <c r="R316" s="557"/>
      <c r="S316" s="557"/>
      <c r="X316" s="562"/>
      <c r="Y316" s="562"/>
    </row>
    <row r="317" spans="5:25" ht="11.25" customHeight="1" x14ac:dyDescent="0.2">
      <c r="E317" s="563"/>
      <c r="F317" s="563"/>
      <c r="G317" s="562"/>
      <c r="K317" s="562"/>
      <c r="L317" s="562"/>
      <c r="R317" s="557"/>
      <c r="S317" s="557"/>
      <c r="X317" s="562"/>
      <c r="Y317" s="562"/>
    </row>
    <row r="318" spans="5:25" ht="11.25" customHeight="1" x14ac:dyDescent="0.2">
      <c r="E318" s="563"/>
      <c r="F318" s="563"/>
      <c r="G318" s="562"/>
      <c r="K318" s="562"/>
      <c r="L318" s="562"/>
      <c r="R318" s="557"/>
      <c r="S318" s="557"/>
      <c r="X318" s="562"/>
      <c r="Y318" s="562"/>
    </row>
    <row r="319" spans="5:25" ht="11.25" customHeight="1" x14ac:dyDescent="0.2">
      <c r="E319" s="563"/>
      <c r="F319" s="563"/>
      <c r="G319" s="562"/>
      <c r="K319" s="562"/>
      <c r="L319" s="562"/>
      <c r="R319" s="557"/>
      <c r="S319" s="557"/>
      <c r="X319" s="562"/>
      <c r="Y319" s="562"/>
    </row>
    <row r="320" spans="5:25" ht="11.25" customHeight="1" x14ac:dyDescent="0.2">
      <c r="E320" s="563"/>
      <c r="F320" s="563"/>
      <c r="G320" s="562"/>
      <c r="K320" s="562"/>
      <c r="L320" s="562"/>
      <c r="R320" s="557"/>
      <c r="S320" s="557"/>
      <c r="X320" s="562"/>
      <c r="Y320" s="562"/>
    </row>
    <row r="321" spans="5:25" ht="11.25" customHeight="1" x14ac:dyDescent="0.2">
      <c r="E321" s="563"/>
      <c r="F321" s="563"/>
      <c r="G321" s="562"/>
      <c r="K321" s="562"/>
      <c r="L321" s="562"/>
      <c r="R321" s="557"/>
      <c r="S321" s="557"/>
      <c r="X321" s="562"/>
      <c r="Y321" s="562"/>
    </row>
    <row r="322" spans="5:25" ht="11.25" customHeight="1" x14ac:dyDescent="0.2">
      <c r="E322" s="563"/>
      <c r="F322" s="563"/>
      <c r="G322" s="562"/>
      <c r="K322" s="562"/>
      <c r="L322" s="562"/>
      <c r="R322" s="557"/>
      <c r="S322" s="557"/>
      <c r="X322" s="562"/>
      <c r="Y322" s="562"/>
    </row>
    <row r="323" spans="5:25" ht="11.25" customHeight="1" x14ac:dyDescent="0.2">
      <c r="E323" s="563"/>
      <c r="F323" s="563"/>
      <c r="G323" s="562"/>
      <c r="K323" s="562"/>
      <c r="L323" s="562"/>
      <c r="R323" s="557"/>
      <c r="S323" s="557"/>
      <c r="X323" s="562"/>
      <c r="Y323" s="562"/>
    </row>
    <row r="324" spans="5:25" ht="11.25" customHeight="1" x14ac:dyDescent="0.2">
      <c r="E324" s="563"/>
      <c r="F324" s="563"/>
      <c r="G324" s="562"/>
      <c r="K324" s="562"/>
      <c r="L324" s="562"/>
      <c r="R324" s="557"/>
      <c r="S324" s="557"/>
      <c r="X324" s="562"/>
      <c r="Y324" s="562"/>
    </row>
    <row r="325" spans="5:25" ht="11.25" customHeight="1" x14ac:dyDescent="0.2">
      <c r="E325" s="563"/>
      <c r="F325" s="563"/>
      <c r="G325" s="562"/>
      <c r="K325" s="562"/>
      <c r="L325" s="562"/>
      <c r="R325" s="557"/>
      <c r="S325" s="557"/>
      <c r="X325" s="562"/>
      <c r="Y325" s="562"/>
    </row>
    <row r="326" spans="5:25" ht="11.25" customHeight="1" x14ac:dyDescent="0.2">
      <c r="E326" s="563"/>
      <c r="F326" s="563"/>
      <c r="G326" s="562"/>
      <c r="K326" s="562"/>
      <c r="L326" s="562"/>
      <c r="R326" s="557"/>
      <c r="S326" s="557"/>
      <c r="X326" s="562"/>
      <c r="Y326" s="562"/>
    </row>
    <row r="327" spans="5:25" ht="11.25" customHeight="1" x14ac:dyDescent="0.2">
      <c r="E327" s="563"/>
      <c r="F327" s="563"/>
      <c r="G327" s="562"/>
      <c r="K327" s="562"/>
      <c r="L327" s="562"/>
      <c r="R327" s="557"/>
      <c r="S327" s="557"/>
      <c r="X327" s="562"/>
      <c r="Y327" s="562"/>
    </row>
    <row r="328" spans="5:25" ht="11.25" customHeight="1" x14ac:dyDescent="0.2">
      <c r="E328" s="563"/>
      <c r="F328" s="563"/>
      <c r="G328" s="562"/>
      <c r="K328" s="562"/>
      <c r="L328" s="562"/>
      <c r="R328" s="557"/>
      <c r="S328" s="557"/>
      <c r="X328" s="562"/>
      <c r="Y328" s="562"/>
    </row>
    <row r="329" spans="5:25" ht="11.25" customHeight="1" x14ac:dyDescent="0.2">
      <c r="E329" s="563"/>
      <c r="F329" s="563"/>
      <c r="G329" s="562"/>
      <c r="K329" s="562"/>
      <c r="L329" s="562"/>
      <c r="R329" s="557"/>
      <c r="S329" s="557"/>
      <c r="X329" s="562"/>
      <c r="Y329" s="562"/>
    </row>
    <row r="330" spans="5:25" ht="11.25" customHeight="1" x14ac:dyDescent="0.2">
      <c r="E330" s="563"/>
      <c r="F330" s="563"/>
      <c r="G330" s="562"/>
      <c r="K330" s="562"/>
      <c r="L330" s="562"/>
      <c r="R330" s="557"/>
      <c r="S330" s="557"/>
      <c r="X330" s="562"/>
      <c r="Y330" s="562"/>
    </row>
    <row r="331" spans="5:25" ht="11.25" customHeight="1" x14ac:dyDescent="0.2">
      <c r="E331" s="563"/>
      <c r="F331" s="563"/>
      <c r="G331" s="562"/>
      <c r="K331" s="562"/>
      <c r="L331" s="562"/>
      <c r="R331" s="557"/>
      <c r="S331" s="557"/>
      <c r="X331" s="562"/>
      <c r="Y331" s="562"/>
    </row>
    <row r="332" spans="5:25" ht="11.25" customHeight="1" x14ac:dyDescent="0.2">
      <c r="E332" s="563"/>
      <c r="F332" s="563"/>
      <c r="G332" s="562"/>
      <c r="K332" s="562"/>
      <c r="L332" s="562"/>
      <c r="R332" s="557"/>
      <c r="S332" s="557"/>
      <c r="X332" s="562"/>
      <c r="Y332" s="562"/>
    </row>
    <row r="333" spans="5:25" ht="11.25" customHeight="1" x14ac:dyDescent="0.2">
      <c r="E333" s="563"/>
      <c r="F333" s="563"/>
      <c r="G333" s="562"/>
      <c r="K333" s="562"/>
      <c r="L333" s="562"/>
      <c r="R333" s="557"/>
      <c r="S333" s="557"/>
      <c r="X333" s="562"/>
      <c r="Y333" s="562"/>
    </row>
    <row r="334" spans="5:25" ht="11.25" customHeight="1" x14ac:dyDescent="0.2">
      <c r="E334" s="563"/>
      <c r="F334" s="563"/>
      <c r="G334" s="562"/>
      <c r="K334" s="562"/>
      <c r="L334" s="562"/>
      <c r="R334" s="557"/>
      <c r="S334" s="557"/>
      <c r="X334" s="562"/>
      <c r="Y334" s="562"/>
    </row>
    <row r="335" spans="5:25" ht="11.25" customHeight="1" x14ac:dyDescent="0.2">
      <c r="E335" s="563"/>
      <c r="F335" s="563"/>
      <c r="G335" s="562"/>
      <c r="K335" s="562"/>
      <c r="L335" s="562"/>
      <c r="R335" s="557"/>
      <c r="S335" s="557"/>
      <c r="X335" s="562"/>
      <c r="Y335" s="562"/>
    </row>
    <row r="336" spans="5:25" ht="11.25" customHeight="1" x14ac:dyDescent="0.2">
      <c r="E336" s="563"/>
      <c r="F336" s="563"/>
      <c r="G336" s="562"/>
      <c r="K336" s="562"/>
      <c r="L336" s="562"/>
      <c r="R336" s="557"/>
      <c r="S336" s="557"/>
      <c r="X336" s="562"/>
      <c r="Y336" s="562"/>
    </row>
    <row r="337" spans="5:25" ht="11.25" customHeight="1" x14ac:dyDescent="0.2">
      <c r="E337" s="563"/>
      <c r="F337" s="563"/>
      <c r="G337" s="562"/>
      <c r="K337" s="562"/>
      <c r="L337" s="562"/>
      <c r="R337" s="557"/>
      <c r="S337" s="557"/>
      <c r="X337" s="562"/>
      <c r="Y337" s="562"/>
    </row>
    <row r="338" spans="5:25" ht="11.25" customHeight="1" x14ac:dyDescent="0.2">
      <c r="E338" s="563"/>
      <c r="F338" s="563"/>
      <c r="G338" s="562"/>
      <c r="K338" s="562"/>
      <c r="L338" s="562"/>
      <c r="R338" s="557"/>
      <c r="S338" s="557"/>
      <c r="X338" s="562"/>
      <c r="Y338" s="562"/>
    </row>
    <row r="339" spans="5:25" ht="11.25" customHeight="1" x14ac:dyDescent="0.2">
      <c r="E339" s="563"/>
      <c r="F339" s="563"/>
      <c r="G339" s="562"/>
      <c r="K339" s="562"/>
      <c r="L339" s="562"/>
      <c r="R339" s="557"/>
      <c r="S339" s="557"/>
      <c r="X339" s="562"/>
      <c r="Y339" s="562"/>
    </row>
    <row r="340" spans="5:25" ht="11.25" customHeight="1" x14ac:dyDescent="0.2">
      <c r="E340" s="563"/>
      <c r="F340" s="563"/>
      <c r="G340" s="562"/>
      <c r="K340" s="562"/>
      <c r="L340" s="562"/>
      <c r="R340" s="557"/>
      <c r="S340" s="557"/>
      <c r="X340" s="562"/>
      <c r="Y340" s="562"/>
    </row>
    <row r="341" spans="5:25" ht="11.25" customHeight="1" x14ac:dyDescent="0.2">
      <c r="E341" s="563"/>
      <c r="F341" s="563"/>
      <c r="G341" s="562"/>
      <c r="K341" s="562"/>
      <c r="L341" s="562"/>
      <c r="R341" s="557"/>
      <c r="S341" s="557"/>
      <c r="X341" s="562"/>
      <c r="Y341" s="562"/>
    </row>
    <row r="342" spans="5:25" ht="11.25" customHeight="1" x14ac:dyDescent="0.2">
      <c r="E342" s="563"/>
      <c r="F342" s="563"/>
      <c r="G342" s="562"/>
      <c r="K342" s="562"/>
      <c r="L342" s="562"/>
      <c r="R342" s="557"/>
      <c r="S342" s="557"/>
      <c r="X342" s="562"/>
      <c r="Y342" s="562"/>
    </row>
    <row r="343" spans="5:25" ht="11.25" customHeight="1" x14ac:dyDescent="0.2">
      <c r="E343" s="563"/>
      <c r="F343" s="563"/>
      <c r="G343" s="562"/>
      <c r="K343" s="562"/>
      <c r="L343" s="562"/>
      <c r="R343" s="557"/>
      <c r="S343" s="557"/>
      <c r="X343" s="562"/>
      <c r="Y343" s="562"/>
    </row>
    <row r="344" spans="5:25" ht="11.25" customHeight="1" x14ac:dyDescent="0.2">
      <c r="E344" s="563"/>
      <c r="F344" s="563"/>
      <c r="G344" s="562"/>
      <c r="K344" s="562"/>
      <c r="L344" s="562"/>
      <c r="R344" s="557"/>
      <c r="S344" s="557"/>
      <c r="X344" s="562"/>
      <c r="Y344" s="562"/>
    </row>
    <row r="345" spans="5:25" ht="11.25" customHeight="1" x14ac:dyDescent="0.2">
      <c r="E345" s="563"/>
      <c r="F345" s="563"/>
      <c r="G345" s="562"/>
      <c r="K345" s="562"/>
      <c r="L345" s="562"/>
      <c r="R345" s="557"/>
      <c r="S345" s="557"/>
      <c r="X345" s="562"/>
      <c r="Y345" s="562"/>
    </row>
    <row r="346" spans="5:25" ht="11.25" customHeight="1" x14ac:dyDescent="0.2">
      <c r="E346" s="563"/>
      <c r="F346" s="563"/>
      <c r="G346" s="562"/>
      <c r="K346" s="562"/>
      <c r="L346" s="562"/>
      <c r="R346" s="557"/>
      <c r="S346" s="557"/>
      <c r="X346" s="562"/>
      <c r="Y346" s="562"/>
    </row>
    <row r="347" spans="5:25" ht="11.25" customHeight="1" x14ac:dyDescent="0.2">
      <c r="E347" s="563"/>
      <c r="F347" s="563"/>
      <c r="G347" s="562"/>
      <c r="K347" s="562"/>
      <c r="L347" s="562"/>
      <c r="R347" s="557"/>
      <c r="S347" s="557"/>
      <c r="X347" s="562"/>
      <c r="Y347" s="562"/>
    </row>
    <row r="348" spans="5:25" ht="11.25" customHeight="1" x14ac:dyDescent="0.2">
      <c r="E348" s="563"/>
      <c r="F348" s="563"/>
      <c r="G348" s="562"/>
      <c r="K348" s="562"/>
      <c r="L348" s="562"/>
      <c r="R348" s="557"/>
      <c r="S348" s="557"/>
      <c r="X348" s="562"/>
      <c r="Y348" s="562"/>
    </row>
    <row r="349" spans="5:25" ht="11.25" customHeight="1" x14ac:dyDescent="0.2">
      <c r="E349" s="563"/>
      <c r="F349" s="563"/>
      <c r="G349" s="562"/>
      <c r="K349" s="562"/>
      <c r="L349" s="562"/>
      <c r="R349" s="557"/>
      <c r="S349" s="557"/>
      <c r="X349" s="562"/>
      <c r="Y349" s="562"/>
    </row>
    <row r="350" spans="5:25" ht="11.25" customHeight="1" x14ac:dyDescent="0.2">
      <c r="E350" s="563"/>
      <c r="F350" s="563"/>
      <c r="G350" s="562"/>
      <c r="K350" s="562"/>
      <c r="L350" s="562"/>
      <c r="R350" s="557"/>
      <c r="S350" s="557"/>
      <c r="X350" s="562"/>
      <c r="Y350" s="562"/>
    </row>
    <row r="351" spans="5:25" ht="11.25" customHeight="1" x14ac:dyDescent="0.2">
      <c r="E351" s="563"/>
      <c r="F351" s="563"/>
      <c r="G351" s="562"/>
      <c r="K351" s="562"/>
      <c r="L351" s="562"/>
      <c r="R351" s="557"/>
      <c r="S351" s="557"/>
      <c r="X351" s="562"/>
      <c r="Y351" s="562"/>
    </row>
    <row r="352" spans="5:25" ht="11.25" customHeight="1" x14ac:dyDescent="0.2">
      <c r="E352" s="563"/>
      <c r="F352" s="563"/>
      <c r="G352" s="562"/>
      <c r="K352" s="562"/>
      <c r="L352" s="562"/>
      <c r="R352" s="557"/>
      <c r="S352" s="557"/>
      <c r="X352" s="562"/>
      <c r="Y352" s="562"/>
    </row>
    <row r="353" spans="5:25" ht="11.25" customHeight="1" x14ac:dyDescent="0.2">
      <c r="E353" s="563"/>
      <c r="F353" s="563"/>
      <c r="G353" s="562"/>
      <c r="K353" s="562"/>
      <c r="L353" s="562"/>
      <c r="R353" s="557"/>
      <c r="S353" s="557"/>
      <c r="X353" s="562"/>
      <c r="Y353" s="562"/>
    </row>
    <row r="354" spans="5:25" ht="11.25" customHeight="1" x14ac:dyDescent="0.2">
      <c r="E354" s="563"/>
      <c r="F354" s="563"/>
      <c r="G354" s="562"/>
      <c r="K354" s="562"/>
      <c r="L354" s="562"/>
      <c r="R354" s="557"/>
      <c r="S354" s="557"/>
      <c r="X354" s="562"/>
      <c r="Y354" s="562"/>
    </row>
    <row r="355" spans="5:25" ht="11.25" customHeight="1" x14ac:dyDescent="0.2">
      <c r="E355" s="563"/>
      <c r="F355" s="563"/>
      <c r="G355" s="562"/>
      <c r="K355" s="562"/>
      <c r="L355" s="562"/>
      <c r="R355" s="557"/>
      <c r="S355" s="557"/>
      <c r="X355" s="562"/>
      <c r="Y355" s="562"/>
    </row>
    <row r="356" spans="5:25" ht="11.25" customHeight="1" x14ac:dyDescent="0.2">
      <c r="E356" s="563"/>
      <c r="F356" s="563"/>
      <c r="G356" s="562"/>
      <c r="K356" s="562"/>
      <c r="L356" s="562"/>
      <c r="R356" s="557"/>
      <c r="S356" s="557"/>
      <c r="X356" s="562"/>
      <c r="Y356" s="562"/>
    </row>
    <row r="357" spans="5:25" ht="11.25" customHeight="1" x14ac:dyDescent="0.2">
      <c r="E357" s="563"/>
      <c r="F357" s="563"/>
      <c r="G357" s="562"/>
      <c r="K357" s="562"/>
      <c r="L357" s="562"/>
      <c r="R357" s="557"/>
      <c r="S357" s="557"/>
      <c r="X357" s="562"/>
      <c r="Y357" s="562"/>
    </row>
    <row r="358" spans="5:25" ht="11.25" customHeight="1" x14ac:dyDescent="0.2">
      <c r="E358" s="563"/>
      <c r="F358" s="563"/>
      <c r="G358" s="562"/>
      <c r="K358" s="562"/>
      <c r="L358" s="562"/>
      <c r="R358" s="557"/>
      <c r="S358" s="557"/>
      <c r="X358" s="562"/>
      <c r="Y358" s="562"/>
    </row>
    <row r="359" spans="5:25" ht="11.25" customHeight="1" x14ac:dyDescent="0.2">
      <c r="E359" s="563"/>
      <c r="F359" s="563"/>
      <c r="G359" s="562"/>
      <c r="K359" s="562"/>
      <c r="L359" s="562"/>
      <c r="R359" s="557"/>
      <c r="S359" s="557"/>
      <c r="X359" s="562"/>
      <c r="Y359" s="562"/>
    </row>
    <row r="360" spans="5:25" ht="11.25" customHeight="1" x14ac:dyDescent="0.2">
      <c r="E360" s="563"/>
      <c r="F360" s="563"/>
      <c r="G360" s="562"/>
      <c r="K360" s="562"/>
      <c r="L360" s="562"/>
      <c r="R360" s="557"/>
      <c r="S360" s="557"/>
      <c r="X360" s="562"/>
      <c r="Y360" s="562"/>
    </row>
    <row r="361" spans="5:25" ht="11.25" customHeight="1" x14ac:dyDescent="0.2">
      <c r="E361" s="563"/>
      <c r="F361" s="563"/>
      <c r="G361" s="562"/>
      <c r="K361" s="562"/>
      <c r="L361" s="562"/>
      <c r="R361" s="557"/>
      <c r="S361" s="557"/>
      <c r="X361" s="562"/>
      <c r="Y361" s="562"/>
    </row>
    <row r="362" spans="5:25" ht="11.25" customHeight="1" x14ac:dyDescent="0.2">
      <c r="E362" s="563"/>
      <c r="F362" s="563"/>
      <c r="G362" s="562"/>
      <c r="K362" s="562"/>
      <c r="L362" s="562"/>
      <c r="R362" s="557"/>
      <c r="S362" s="557"/>
      <c r="X362" s="562"/>
      <c r="Y362" s="562"/>
    </row>
    <row r="363" spans="5:25" ht="11.25" customHeight="1" x14ac:dyDescent="0.2">
      <c r="E363" s="563"/>
      <c r="F363" s="563"/>
      <c r="G363" s="562"/>
      <c r="K363" s="562"/>
      <c r="L363" s="562"/>
      <c r="R363" s="557"/>
      <c r="S363" s="557"/>
      <c r="X363" s="562"/>
      <c r="Y363" s="562"/>
    </row>
    <row r="364" spans="5:25" ht="11.25" customHeight="1" x14ac:dyDescent="0.2">
      <c r="E364" s="563"/>
      <c r="F364" s="563"/>
      <c r="G364" s="562"/>
      <c r="K364" s="562"/>
      <c r="L364" s="562"/>
      <c r="R364" s="557"/>
      <c r="S364" s="557"/>
      <c r="X364" s="562"/>
      <c r="Y364" s="562"/>
    </row>
    <row r="365" spans="5:25" ht="11.25" customHeight="1" x14ac:dyDescent="0.2">
      <c r="E365" s="563"/>
      <c r="F365" s="563"/>
      <c r="G365" s="562"/>
      <c r="K365" s="562"/>
      <c r="L365" s="562"/>
      <c r="R365" s="557"/>
      <c r="S365" s="557"/>
      <c r="X365" s="562"/>
      <c r="Y365" s="562"/>
    </row>
    <row r="366" spans="5:25" ht="11.25" customHeight="1" x14ac:dyDescent="0.2">
      <c r="E366" s="563"/>
      <c r="F366" s="563"/>
      <c r="G366" s="562"/>
      <c r="K366" s="562"/>
      <c r="L366" s="562"/>
      <c r="R366" s="557"/>
      <c r="S366" s="557"/>
      <c r="X366" s="562"/>
      <c r="Y366" s="562"/>
    </row>
    <row r="367" spans="5:25" ht="11.25" customHeight="1" x14ac:dyDescent="0.2">
      <c r="E367" s="563"/>
      <c r="F367" s="563"/>
      <c r="G367" s="562"/>
      <c r="K367" s="562"/>
      <c r="L367" s="562"/>
      <c r="R367" s="557"/>
      <c r="S367" s="557"/>
      <c r="X367" s="562"/>
      <c r="Y367" s="562"/>
    </row>
    <row r="368" spans="5:25" ht="11.25" customHeight="1" x14ac:dyDescent="0.2">
      <c r="E368" s="563"/>
      <c r="F368" s="563"/>
      <c r="G368" s="562"/>
      <c r="K368" s="562"/>
      <c r="L368" s="562"/>
      <c r="R368" s="557"/>
      <c r="S368" s="557"/>
      <c r="X368" s="562"/>
      <c r="Y368" s="562"/>
    </row>
    <row r="369" spans="5:25" ht="11.25" customHeight="1" x14ac:dyDescent="0.2">
      <c r="E369" s="563"/>
      <c r="F369" s="563"/>
      <c r="G369" s="562"/>
      <c r="K369" s="562"/>
      <c r="L369" s="562"/>
      <c r="R369" s="557"/>
      <c r="S369" s="557"/>
      <c r="X369" s="562"/>
      <c r="Y369" s="562"/>
    </row>
    <row r="370" spans="5:25" ht="11.25" customHeight="1" x14ac:dyDescent="0.2">
      <c r="E370" s="563"/>
      <c r="F370" s="563"/>
      <c r="G370" s="562"/>
      <c r="K370" s="562"/>
      <c r="L370" s="562"/>
      <c r="R370" s="557"/>
      <c r="S370" s="557"/>
      <c r="X370" s="562"/>
      <c r="Y370" s="562"/>
    </row>
    <row r="371" spans="5:25" ht="11.25" customHeight="1" x14ac:dyDescent="0.2">
      <c r="E371" s="563"/>
      <c r="F371" s="563"/>
      <c r="G371" s="562"/>
      <c r="K371" s="562"/>
      <c r="L371" s="562"/>
      <c r="R371" s="557"/>
      <c r="S371" s="557"/>
      <c r="X371" s="562"/>
      <c r="Y371" s="562"/>
    </row>
    <row r="372" spans="5:25" ht="11.25" customHeight="1" x14ac:dyDescent="0.2">
      <c r="E372" s="563"/>
      <c r="F372" s="563"/>
      <c r="G372" s="562"/>
      <c r="K372" s="562"/>
      <c r="L372" s="562"/>
      <c r="R372" s="557"/>
      <c r="S372" s="557"/>
      <c r="X372" s="562"/>
      <c r="Y372" s="562"/>
    </row>
    <row r="373" spans="5:25" ht="11.25" customHeight="1" x14ac:dyDescent="0.2">
      <c r="E373" s="563"/>
      <c r="F373" s="563"/>
      <c r="G373" s="562"/>
      <c r="K373" s="562"/>
      <c r="L373" s="562"/>
      <c r="R373" s="557"/>
      <c r="S373" s="557"/>
      <c r="X373" s="562"/>
      <c r="Y373" s="562"/>
    </row>
    <row r="374" spans="5:25" ht="11.25" customHeight="1" x14ac:dyDescent="0.2">
      <c r="E374" s="563"/>
      <c r="F374" s="563"/>
      <c r="G374" s="562"/>
      <c r="K374" s="562"/>
      <c r="L374" s="562"/>
      <c r="R374" s="557"/>
      <c r="S374" s="557"/>
      <c r="X374" s="562"/>
      <c r="Y374" s="562"/>
    </row>
    <row r="375" spans="5:25" ht="11.25" customHeight="1" x14ac:dyDescent="0.2">
      <c r="E375" s="563"/>
      <c r="F375" s="563"/>
      <c r="G375" s="562"/>
      <c r="K375" s="562"/>
      <c r="L375" s="562"/>
      <c r="R375" s="557"/>
      <c r="S375" s="557"/>
      <c r="X375" s="562"/>
      <c r="Y375" s="562"/>
    </row>
    <row r="376" spans="5:25" ht="11.25" customHeight="1" x14ac:dyDescent="0.2">
      <c r="E376" s="563"/>
      <c r="F376" s="563"/>
      <c r="G376" s="562"/>
      <c r="K376" s="562"/>
      <c r="L376" s="562"/>
      <c r="R376" s="557"/>
      <c r="S376" s="557"/>
      <c r="X376" s="562"/>
      <c r="Y376" s="562"/>
    </row>
    <row r="377" spans="5:25" ht="11.25" customHeight="1" x14ac:dyDescent="0.2">
      <c r="E377" s="563"/>
      <c r="F377" s="563"/>
      <c r="G377" s="562"/>
      <c r="K377" s="562"/>
      <c r="L377" s="562"/>
      <c r="R377" s="557"/>
      <c r="S377" s="557"/>
      <c r="X377" s="562"/>
      <c r="Y377" s="562"/>
    </row>
    <row r="378" spans="5:25" ht="11.25" customHeight="1" x14ac:dyDescent="0.2">
      <c r="E378" s="563"/>
      <c r="F378" s="563"/>
      <c r="G378" s="562"/>
      <c r="K378" s="562"/>
      <c r="L378" s="562"/>
      <c r="R378" s="557"/>
      <c r="S378" s="557"/>
      <c r="X378" s="562"/>
      <c r="Y378" s="562"/>
    </row>
    <row r="379" spans="5:25" ht="11.25" customHeight="1" x14ac:dyDescent="0.2">
      <c r="E379" s="563"/>
      <c r="F379" s="563"/>
      <c r="G379" s="562"/>
      <c r="K379" s="562"/>
      <c r="L379" s="562"/>
      <c r="R379" s="557"/>
      <c r="S379" s="557"/>
      <c r="X379" s="562"/>
      <c r="Y379" s="562"/>
    </row>
    <row r="380" spans="5:25" ht="11.25" customHeight="1" x14ac:dyDescent="0.2">
      <c r="E380" s="563"/>
      <c r="F380" s="563"/>
      <c r="G380" s="562"/>
      <c r="K380" s="562"/>
      <c r="L380" s="562"/>
      <c r="R380" s="557"/>
      <c r="S380" s="557"/>
      <c r="X380" s="562"/>
      <c r="Y380" s="562"/>
    </row>
    <row r="381" spans="5:25" ht="11.25" customHeight="1" x14ac:dyDescent="0.2">
      <c r="E381" s="563"/>
      <c r="F381" s="563"/>
      <c r="G381" s="562"/>
      <c r="K381" s="562"/>
      <c r="L381" s="562"/>
      <c r="R381" s="557"/>
      <c r="S381" s="557"/>
      <c r="X381" s="562"/>
      <c r="Y381" s="562"/>
    </row>
    <row r="382" spans="5:25" ht="11.25" customHeight="1" x14ac:dyDescent="0.2">
      <c r="E382" s="563"/>
      <c r="F382" s="563"/>
      <c r="G382" s="562"/>
      <c r="K382" s="562"/>
      <c r="L382" s="562"/>
      <c r="R382" s="557"/>
      <c r="S382" s="557"/>
      <c r="X382" s="562"/>
      <c r="Y382" s="562"/>
    </row>
    <row r="383" spans="5:25" ht="11.25" customHeight="1" x14ac:dyDescent="0.2">
      <c r="E383" s="563"/>
      <c r="F383" s="563"/>
      <c r="G383" s="562"/>
      <c r="K383" s="562"/>
      <c r="L383" s="562"/>
      <c r="R383" s="557"/>
      <c r="S383" s="557"/>
      <c r="X383" s="562"/>
      <c r="Y383" s="562"/>
    </row>
    <row r="384" spans="5:25" ht="11.25" customHeight="1" x14ac:dyDescent="0.2">
      <c r="E384" s="563"/>
      <c r="F384" s="563"/>
      <c r="G384" s="562"/>
      <c r="K384" s="562"/>
      <c r="L384" s="562"/>
      <c r="R384" s="557"/>
      <c r="S384" s="557"/>
      <c r="X384" s="562"/>
      <c r="Y384" s="562"/>
    </row>
    <row r="385" spans="5:25" ht="11.25" customHeight="1" x14ac:dyDescent="0.2">
      <c r="E385" s="563"/>
      <c r="F385" s="563"/>
      <c r="G385" s="562"/>
      <c r="K385" s="562"/>
      <c r="L385" s="562"/>
      <c r="R385" s="557"/>
      <c r="S385" s="557"/>
      <c r="X385" s="562"/>
      <c r="Y385" s="562"/>
    </row>
    <row r="386" spans="5:25" ht="11.25" customHeight="1" x14ac:dyDescent="0.2">
      <c r="E386" s="563"/>
      <c r="F386" s="563"/>
      <c r="G386" s="562"/>
      <c r="K386" s="562"/>
      <c r="L386" s="562"/>
      <c r="R386" s="557"/>
      <c r="S386" s="557"/>
      <c r="X386" s="562"/>
      <c r="Y386" s="562"/>
    </row>
    <row r="387" spans="5:25" ht="11.25" customHeight="1" x14ac:dyDescent="0.2">
      <c r="E387" s="563"/>
      <c r="F387" s="563"/>
      <c r="G387" s="562"/>
      <c r="K387" s="562"/>
      <c r="L387" s="562"/>
      <c r="R387" s="557"/>
      <c r="S387" s="557"/>
      <c r="X387" s="562"/>
      <c r="Y387" s="562"/>
    </row>
    <row r="388" spans="5:25" ht="11.25" customHeight="1" x14ac:dyDescent="0.2">
      <c r="E388" s="563"/>
      <c r="F388" s="563"/>
      <c r="G388" s="562"/>
      <c r="K388" s="562"/>
      <c r="L388" s="562"/>
      <c r="R388" s="557"/>
      <c r="S388" s="557"/>
      <c r="X388" s="562"/>
      <c r="Y388" s="562"/>
    </row>
    <row r="389" spans="5:25" ht="11.25" customHeight="1" x14ac:dyDescent="0.2">
      <c r="E389" s="563"/>
      <c r="F389" s="563"/>
      <c r="G389" s="562"/>
      <c r="K389" s="562"/>
      <c r="L389" s="562"/>
      <c r="R389" s="557"/>
      <c r="S389" s="557"/>
      <c r="X389" s="562"/>
      <c r="Y389" s="562"/>
    </row>
    <row r="390" spans="5:25" ht="11.25" customHeight="1" x14ac:dyDescent="0.2">
      <c r="E390" s="563"/>
      <c r="F390" s="563"/>
      <c r="G390" s="562"/>
      <c r="K390" s="562"/>
      <c r="L390" s="562"/>
      <c r="R390" s="557"/>
      <c r="S390" s="557"/>
      <c r="X390" s="562"/>
      <c r="Y390" s="562"/>
    </row>
    <row r="391" spans="5:25" ht="11.25" customHeight="1" x14ac:dyDescent="0.2">
      <c r="E391" s="563"/>
      <c r="F391" s="563"/>
      <c r="G391" s="562"/>
      <c r="K391" s="562"/>
      <c r="L391" s="562"/>
      <c r="R391" s="557"/>
      <c r="S391" s="557"/>
      <c r="X391" s="562"/>
      <c r="Y391" s="562"/>
    </row>
    <row r="392" spans="5:25" ht="11.25" customHeight="1" x14ac:dyDescent="0.2">
      <c r="E392" s="563"/>
      <c r="F392" s="563"/>
      <c r="G392" s="562"/>
      <c r="K392" s="562"/>
      <c r="L392" s="562"/>
      <c r="R392" s="557"/>
      <c r="S392" s="557"/>
      <c r="X392" s="562"/>
      <c r="Y392" s="562"/>
    </row>
    <row r="393" spans="5:25" ht="11.25" customHeight="1" x14ac:dyDescent="0.2">
      <c r="E393" s="563"/>
      <c r="F393" s="563"/>
      <c r="G393" s="562"/>
      <c r="K393" s="562"/>
      <c r="L393" s="562"/>
      <c r="R393" s="557"/>
      <c r="S393" s="557"/>
      <c r="X393" s="562"/>
      <c r="Y393" s="562"/>
    </row>
    <row r="394" spans="5:25" ht="11.25" customHeight="1" x14ac:dyDescent="0.2">
      <c r="E394" s="563"/>
      <c r="F394" s="563"/>
      <c r="G394" s="562"/>
      <c r="K394" s="562"/>
      <c r="L394" s="562"/>
      <c r="R394" s="557"/>
      <c r="S394" s="557"/>
      <c r="X394" s="562"/>
      <c r="Y394" s="562"/>
    </row>
    <row r="395" spans="5:25" ht="11.25" customHeight="1" x14ac:dyDescent="0.2">
      <c r="E395" s="563"/>
      <c r="F395" s="563"/>
      <c r="G395" s="562"/>
      <c r="K395" s="562"/>
      <c r="L395" s="562"/>
      <c r="R395" s="557"/>
      <c r="S395" s="557"/>
      <c r="X395" s="562"/>
      <c r="Y395" s="562"/>
    </row>
    <row r="396" spans="5:25" ht="11.25" customHeight="1" x14ac:dyDescent="0.2">
      <c r="E396" s="563"/>
      <c r="F396" s="563"/>
      <c r="G396" s="562"/>
      <c r="K396" s="562"/>
      <c r="L396" s="562"/>
      <c r="R396" s="557"/>
      <c r="S396" s="557"/>
      <c r="X396" s="562"/>
      <c r="Y396" s="562"/>
    </row>
    <row r="397" spans="5:25" ht="11.25" customHeight="1" x14ac:dyDescent="0.2">
      <c r="E397" s="563"/>
      <c r="F397" s="563"/>
      <c r="G397" s="562"/>
      <c r="K397" s="562"/>
      <c r="L397" s="562"/>
      <c r="R397" s="557"/>
      <c r="S397" s="557"/>
      <c r="X397" s="562"/>
      <c r="Y397" s="562"/>
    </row>
    <row r="398" spans="5:25" ht="11.25" customHeight="1" x14ac:dyDescent="0.2">
      <c r="E398" s="563"/>
      <c r="F398" s="563"/>
      <c r="G398" s="562"/>
      <c r="K398" s="562"/>
      <c r="L398" s="562"/>
      <c r="R398" s="557"/>
      <c r="S398" s="557"/>
      <c r="X398" s="562"/>
      <c r="Y398" s="562"/>
    </row>
    <row r="399" spans="5:25" ht="11.25" customHeight="1" x14ac:dyDescent="0.2">
      <c r="E399" s="563"/>
      <c r="F399" s="563"/>
      <c r="G399" s="562"/>
      <c r="K399" s="562"/>
      <c r="L399" s="562"/>
      <c r="R399" s="557"/>
      <c r="S399" s="557"/>
      <c r="X399" s="562"/>
      <c r="Y399" s="562"/>
    </row>
    <row r="400" spans="5:25" ht="11.25" customHeight="1" x14ac:dyDescent="0.2">
      <c r="E400" s="563"/>
      <c r="F400" s="563"/>
      <c r="G400" s="562"/>
      <c r="K400" s="562"/>
      <c r="L400" s="562"/>
      <c r="R400" s="557"/>
      <c r="S400" s="557"/>
      <c r="X400" s="562"/>
      <c r="Y400" s="562"/>
    </row>
    <row r="401" spans="5:25" ht="11.25" customHeight="1" x14ac:dyDescent="0.2">
      <c r="E401" s="563"/>
      <c r="F401" s="563"/>
      <c r="G401" s="562"/>
      <c r="K401" s="562"/>
      <c r="L401" s="562"/>
      <c r="R401" s="557"/>
      <c r="S401" s="557"/>
      <c r="X401" s="562"/>
      <c r="Y401" s="562"/>
    </row>
    <row r="402" spans="5:25" ht="11.25" customHeight="1" x14ac:dyDescent="0.2">
      <c r="E402" s="563"/>
      <c r="F402" s="563"/>
      <c r="G402" s="562"/>
      <c r="K402" s="562"/>
      <c r="L402" s="562"/>
      <c r="R402" s="557"/>
      <c r="S402" s="557"/>
      <c r="X402" s="562"/>
      <c r="Y402" s="562"/>
    </row>
    <row r="403" spans="5:25" ht="11.25" customHeight="1" x14ac:dyDescent="0.2">
      <c r="E403" s="563"/>
      <c r="F403" s="563"/>
      <c r="G403" s="562"/>
      <c r="K403" s="562"/>
      <c r="L403" s="562"/>
      <c r="R403" s="557"/>
      <c r="S403" s="557"/>
      <c r="X403" s="562"/>
      <c r="Y403" s="562"/>
    </row>
    <row r="404" spans="5:25" ht="11.25" customHeight="1" x14ac:dyDescent="0.2">
      <c r="E404" s="563"/>
      <c r="F404" s="563"/>
      <c r="G404" s="562"/>
      <c r="K404" s="562"/>
      <c r="L404" s="562"/>
      <c r="R404" s="557"/>
      <c r="S404" s="557"/>
      <c r="X404" s="562"/>
      <c r="Y404" s="562"/>
    </row>
    <row r="405" spans="5:25" ht="11.25" customHeight="1" x14ac:dyDescent="0.2">
      <c r="E405" s="563"/>
      <c r="F405" s="563"/>
      <c r="G405" s="562"/>
      <c r="K405" s="562"/>
      <c r="L405" s="562"/>
      <c r="R405" s="557"/>
      <c r="S405" s="557"/>
      <c r="X405" s="562"/>
      <c r="Y405" s="562"/>
    </row>
    <row r="406" spans="5:25" ht="11.25" customHeight="1" x14ac:dyDescent="0.2">
      <c r="E406" s="563"/>
      <c r="F406" s="563"/>
      <c r="G406" s="562"/>
      <c r="K406" s="562"/>
      <c r="L406" s="562"/>
      <c r="R406" s="557"/>
      <c r="S406" s="557"/>
      <c r="X406" s="562"/>
      <c r="Y406" s="562"/>
    </row>
    <row r="407" spans="5:25" ht="11.25" customHeight="1" x14ac:dyDescent="0.2">
      <c r="E407" s="563"/>
      <c r="F407" s="563"/>
      <c r="G407" s="562"/>
      <c r="K407" s="562"/>
      <c r="L407" s="562"/>
      <c r="R407" s="557"/>
      <c r="S407" s="557"/>
      <c r="X407" s="562"/>
      <c r="Y407" s="562"/>
    </row>
    <row r="408" spans="5:25" ht="11.25" customHeight="1" x14ac:dyDescent="0.2">
      <c r="E408" s="563"/>
      <c r="F408" s="563"/>
      <c r="G408" s="562"/>
      <c r="K408" s="562"/>
      <c r="L408" s="562"/>
      <c r="R408" s="557"/>
      <c r="S408" s="557"/>
      <c r="X408" s="562"/>
      <c r="Y408" s="562"/>
    </row>
    <row r="409" spans="5:25" ht="11.25" customHeight="1" x14ac:dyDescent="0.2">
      <c r="E409" s="563"/>
      <c r="F409" s="563"/>
      <c r="G409" s="562"/>
      <c r="K409" s="562"/>
      <c r="L409" s="562"/>
      <c r="R409" s="557"/>
      <c r="S409" s="557"/>
      <c r="X409" s="562"/>
      <c r="Y409" s="562"/>
    </row>
    <row r="410" spans="5:25" ht="11.25" customHeight="1" x14ac:dyDescent="0.2">
      <c r="E410" s="563"/>
      <c r="F410" s="563"/>
      <c r="G410" s="562"/>
      <c r="K410" s="562"/>
      <c r="L410" s="562"/>
      <c r="R410" s="557"/>
      <c r="S410" s="557"/>
      <c r="X410" s="562"/>
      <c r="Y410" s="562"/>
    </row>
    <row r="411" spans="5:25" ht="11.25" customHeight="1" x14ac:dyDescent="0.2">
      <c r="E411" s="563"/>
      <c r="F411" s="563"/>
      <c r="G411" s="562"/>
      <c r="K411" s="562"/>
      <c r="L411" s="562"/>
      <c r="R411" s="557"/>
      <c r="S411" s="557"/>
      <c r="X411" s="562"/>
      <c r="Y411" s="562"/>
    </row>
    <row r="412" spans="5:25" ht="11.25" customHeight="1" x14ac:dyDescent="0.2">
      <c r="E412" s="563"/>
      <c r="F412" s="563"/>
      <c r="G412" s="562"/>
      <c r="K412" s="562"/>
      <c r="L412" s="562"/>
      <c r="R412" s="557"/>
      <c r="S412" s="557"/>
      <c r="X412" s="562"/>
      <c r="Y412" s="562"/>
    </row>
    <row r="413" spans="5:25" ht="11.25" customHeight="1" x14ac:dyDescent="0.2">
      <c r="E413" s="563"/>
      <c r="F413" s="563"/>
      <c r="G413" s="562"/>
      <c r="K413" s="562"/>
      <c r="L413" s="562"/>
      <c r="R413" s="557"/>
      <c r="S413" s="557"/>
      <c r="X413" s="562"/>
      <c r="Y413" s="562"/>
    </row>
    <row r="414" spans="5:25" ht="11.25" customHeight="1" x14ac:dyDescent="0.2">
      <c r="E414" s="563"/>
      <c r="F414" s="563"/>
      <c r="G414" s="562"/>
      <c r="K414" s="562"/>
      <c r="L414" s="562"/>
      <c r="R414" s="557"/>
      <c r="S414" s="557"/>
      <c r="X414" s="562"/>
      <c r="Y414" s="562"/>
    </row>
    <row r="415" spans="5:25" ht="11.25" customHeight="1" x14ac:dyDescent="0.2">
      <c r="E415" s="563"/>
      <c r="F415" s="563"/>
      <c r="G415" s="562"/>
      <c r="K415" s="562"/>
      <c r="L415" s="562"/>
      <c r="R415" s="557"/>
      <c r="S415" s="557"/>
      <c r="X415" s="562"/>
      <c r="Y415" s="562"/>
    </row>
    <row r="416" spans="5:25" ht="11.25" customHeight="1" x14ac:dyDescent="0.2">
      <c r="E416" s="563"/>
      <c r="F416" s="563"/>
      <c r="G416" s="562"/>
      <c r="K416" s="562"/>
      <c r="L416" s="562"/>
      <c r="R416" s="557"/>
      <c r="S416" s="557"/>
      <c r="X416" s="562"/>
      <c r="Y416" s="562"/>
    </row>
    <row r="417" spans="5:25" ht="11.25" customHeight="1" x14ac:dyDescent="0.2">
      <c r="E417" s="563"/>
      <c r="F417" s="563"/>
      <c r="G417" s="562"/>
      <c r="K417" s="562"/>
      <c r="L417" s="562"/>
      <c r="R417" s="557"/>
      <c r="S417" s="557"/>
      <c r="X417" s="562"/>
      <c r="Y417" s="562"/>
    </row>
    <row r="418" spans="5:25" ht="11.25" customHeight="1" x14ac:dyDescent="0.2">
      <c r="E418" s="563"/>
      <c r="F418" s="563"/>
      <c r="G418" s="562"/>
      <c r="K418" s="562"/>
      <c r="L418" s="562"/>
      <c r="R418" s="557"/>
      <c r="S418" s="557"/>
      <c r="X418" s="562"/>
      <c r="Y418" s="562"/>
    </row>
    <row r="419" spans="5:25" ht="11.25" customHeight="1" x14ac:dyDescent="0.2">
      <c r="E419" s="563"/>
      <c r="F419" s="563"/>
      <c r="G419" s="562"/>
      <c r="K419" s="562"/>
      <c r="L419" s="562"/>
      <c r="R419" s="557"/>
      <c r="S419" s="557"/>
      <c r="X419" s="562"/>
      <c r="Y419" s="562"/>
    </row>
    <row r="420" spans="5:25" ht="11.25" customHeight="1" x14ac:dyDescent="0.2">
      <c r="E420" s="563"/>
      <c r="F420" s="563"/>
      <c r="G420" s="562"/>
      <c r="K420" s="562"/>
      <c r="L420" s="562"/>
      <c r="R420" s="557"/>
      <c r="S420" s="557"/>
      <c r="X420" s="562"/>
      <c r="Y420" s="562"/>
    </row>
    <row r="421" spans="5:25" ht="11.25" customHeight="1" x14ac:dyDescent="0.2">
      <c r="E421" s="563"/>
      <c r="F421" s="563"/>
      <c r="G421" s="562"/>
      <c r="K421" s="562"/>
      <c r="L421" s="562"/>
      <c r="R421" s="557"/>
      <c r="S421" s="557"/>
      <c r="X421" s="562"/>
      <c r="Y421" s="562"/>
    </row>
    <row r="422" spans="5:25" ht="11.25" customHeight="1" x14ac:dyDescent="0.2">
      <c r="E422" s="563"/>
      <c r="F422" s="563"/>
      <c r="G422" s="562"/>
      <c r="K422" s="562"/>
      <c r="L422" s="562"/>
      <c r="R422" s="557"/>
      <c r="S422" s="557"/>
      <c r="X422" s="562"/>
      <c r="Y422" s="562"/>
    </row>
    <row r="423" spans="5:25" ht="11.25" customHeight="1" x14ac:dyDescent="0.2">
      <c r="E423" s="563"/>
      <c r="F423" s="563"/>
      <c r="G423" s="562"/>
      <c r="K423" s="562"/>
      <c r="L423" s="562"/>
      <c r="R423" s="557"/>
      <c r="S423" s="557"/>
      <c r="X423" s="562"/>
      <c r="Y423" s="562"/>
    </row>
    <row r="424" spans="5:25" ht="11.25" customHeight="1" x14ac:dyDescent="0.2">
      <c r="E424" s="563"/>
      <c r="F424" s="563"/>
      <c r="G424" s="562"/>
      <c r="K424" s="562"/>
      <c r="L424" s="562"/>
      <c r="R424" s="557"/>
      <c r="S424" s="557"/>
      <c r="X424" s="562"/>
      <c r="Y424" s="562"/>
    </row>
    <row r="425" spans="5:25" ht="11.25" customHeight="1" x14ac:dyDescent="0.2">
      <c r="E425" s="563"/>
      <c r="F425" s="563"/>
      <c r="G425" s="562"/>
      <c r="K425" s="562"/>
      <c r="L425" s="562"/>
      <c r="R425" s="557"/>
      <c r="S425" s="557"/>
      <c r="X425" s="562"/>
      <c r="Y425" s="562"/>
    </row>
    <row r="426" spans="5:25" ht="11.25" customHeight="1" x14ac:dyDescent="0.2">
      <c r="E426" s="563"/>
      <c r="F426" s="563"/>
      <c r="G426" s="562"/>
      <c r="K426" s="562"/>
      <c r="L426" s="562"/>
      <c r="R426" s="557"/>
      <c r="S426" s="557"/>
      <c r="X426" s="562"/>
      <c r="Y426" s="562"/>
    </row>
    <row r="427" spans="5:25" ht="11.25" customHeight="1" x14ac:dyDescent="0.2">
      <c r="E427" s="563"/>
      <c r="F427" s="563"/>
      <c r="G427" s="562"/>
      <c r="K427" s="562"/>
      <c r="L427" s="562"/>
      <c r="R427" s="557"/>
      <c r="S427" s="557"/>
      <c r="X427" s="562"/>
      <c r="Y427" s="562"/>
    </row>
    <row r="428" spans="5:25" ht="11.25" customHeight="1" x14ac:dyDescent="0.2">
      <c r="E428" s="563"/>
      <c r="F428" s="563"/>
      <c r="G428" s="562"/>
      <c r="K428" s="562"/>
      <c r="L428" s="562"/>
      <c r="R428" s="557"/>
      <c r="S428" s="557"/>
      <c r="X428" s="562"/>
      <c r="Y428" s="562"/>
    </row>
    <row r="429" spans="5:25" ht="11.25" customHeight="1" x14ac:dyDescent="0.2">
      <c r="E429" s="563"/>
      <c r="F429" s="563"/>
      <c r="G429" s="562"/>
      <c r="K429" s="562"/>
      <c r="L429" s="562"/>
      <c r="R429" s="557"/>
      <c r="S429" s="557"/>
      <c r="X429" s="562"/>
      <c r="Y429" s="562"/>
    </row>
    <row r="430" spans="5:25" ht="11.25" customHeight="1" x14ac:dyDescent="0.2">
      <c r="E430" s="563"/>
      <c r="F430" s="563"/>
      <c r="G430" s="562"/>
      <c r="K430" s="562"/>
      <c r="L430" s="562"/>
      <c r="R430" s="557"/>
      <c r="S430" s="557"/>
      <c r="X430" s="562"/>
      <c r="Y430" s="562"/>
    </row>
    <row r="431" spans="5:25" ht="11.25" customHeight="1" x14ac:dyDescent="0.2">
      <c r="E431" s="563"/>
      <c r="F431" s="563"/>
      <c r="G431" s="562"/>
      <c r="K431" s="562"/>
      <c r="L431" s="562"/>
      <c r="R431" s="557"/>
      <c r="S431" s="557"/>
      <c r="X431" s="562"/>
      <c r="Y431" s="562"/>
    </row>
    <row r="432" spans="5:25" ht="11.25" customHeight="1" x14ac:dyDescent="0.2">
      <c r="E432" s="563"/>
      <c r="F432" s="563"/>
      <c r="G432" s="562"/>
      <c r="K432" s="562"/>
      <c r="L432" s="562"/>
      <c r="R432" s="557"/>
      <c r="S432" s="557"/>
      <c r="X432" s="562"/>
      <c r="Y432" s="562"/>
    </row>
    <row r="433" spans="5:25" ht="11.25" customHeight="1" x14ac:dyDescent="0.2">
      <c r="E433" s="563"/>
      <c r="F433" s="563"/>
      <c r="G433" s="562"/>
      <c r="K433" s="562"/>
      <c r="L433" s="562"/>
      <c r="R433" s="557"/>
      <c r="S433" s="557"/>
      <c r="X433" s="562"/>
      <c r="Y433" s="562"/>
    </row>
    <row r="434" spans="5:25" ht="11.25" customHeight="1" x14ac:dyDescent="0.2">
      <c r="E434" s="563"/>
      <c r="F434" s="563"/>
      <c r="G434" s="562"/>
      <c r="K434" s="562"/>
      <c r="L434" s="562"/>
      <c r="R434" s="557"/>
      <c r="S434" s="557"/>
      <c r="X434" s="562"/>
      <c r="Y434" s="562"/>
    </row>
    <row r="435" spans="5:25" ht="11.25" customHeight="1" x14ac:dyDescent="0.2">
      <c r="E435" s="563"/>
      <c r="F435" s="563"/>
      <c r="G435" s="562"/>
      <c r="K435" s="562"/>
      <c r="L435" s="562"/>
      <c r="R435" s="557"/>
      <c r="S435" s="557"/>
      <c r="X435" s="562"/>
      <c r="Y435" s="562"/>
    </row>
    <row r="436" spans="5:25" ht="11.25" customHeight="1" x14ac:dyDescent="0.2">
      <c r="E436" s="563"/>
      <c r="F436" s="563"/>
      <c r="G436" s="562"/>
      <c r="K436" s="562"/>
      <c r="L436" s="562"/>
      <c r="R436" s="557"/>
      <c r="S436" s="557"/>
      <c r="X436" s="562"/>
      <c r="Y436" s="562"/>
    </row>
    <row r="437" spans="5:25" ht="11.25" customHeight="1" x14ac:dyDescent="0.2">
      <c r="E437" s="563"/>
      <c r="F437" s="563"/>
      <c r="G437" s="562"/>
      <c r="K437" s="562"/>
      <c r="L437" s="562"/>
      <c r="R437" s="557"/>
      <c r="S437" s="557"/>
      <c r="X437" s="562"/>
      <c r="Y437" s="562"/>
    </row>
    <row r="438" spans="5:25" ht="11.25" customHeight="1" x14ac:dyDescent="0.2">
      <c r="E438" s="563"/>
      <c r="F438" s="563"/>
      <c r="G438" s="562"/>
      <c r="K438" s="562"/>
      <c r="L438" s="562"/>
      <c r="R438" s="557"/>
      <c r="S438" s="557"/>
      <c r="X438" s="562"/>
      <c r="Y438" s="562"/>
    </row>
    <row r="439" spans="5:25" ht="11.25" customHeight="1" x14ac:dyDescent="0.2">
      <c r="E439" s="563"/>
      <c r="F439" s="563"/>
      <c r="G439" s="562"/>
      <c r="K439" s="562"/>
      <c r="L439" s="562"/>
      <c r="R439" s="557"/>
      <c r="S439" s="557"/>
      <c r="X439" s="562"/>
      <c r="Y439" s="562"/>
    </row>
    <row r="440" spans="5:25" ht="11.25" customHeight="1" x14ac:dyDescent="0.2">
      <c r="E440" s="563"/>
      <c r="F440" s="563"/>
      <c r="G440" s="562"/>
      <c r="K440" s="562"/>
      <c r="L440" s="562"/>
      <c r="R440" s="557"/>
      <c r="S440" s="557"/>
      <c r="X440" s="562"/>
      <c r="Y440" s="562"/>
    </row>
    <row r="441" spans="5:25" ht="11.25" customHeight="1" x14ac:dyDescent="0.2">
      <c r="E441" s="563"/>
      <c r="F441" s="563"/>
      <c r="G441" s="562"/>
      <c r="K441" s="562"/>
      <c r="L441" s="562"/>
      <c r="R441" s="557"/>
      <c r="S441" s="557"/>
      <c r="X441" s="562"/>
      <c r="Y441" s="562"/>
    </row>
    <row r="442" spans="5:25" ht="11.25" customHeight="1" x14ac:dyDescent="0.2">
      <c r="E442" s="563"/>
      <c r="F442" s="563"/>
      <c r="G442" s="562"/>
      <c r="K442" s="562"/>
      <c r="L442" s="562"/>
      <c r="R442" s="557"/>
      <c r="S442" s="557"/>
      <c r="X442" s="562"/>
      <c r="Y442" s="562"/>
    </row>
    <row r="443" spans="5:25" ht="11.25" customHeight="1" x14ac:dyDescent="0.2">
      <c r="E443" s="563"/>
      <c r="F443" s="563"/>
      <c r="G443" s="562"/>
      <c r="K443" s="562"/>
      <c r="L443" s="562"/>
      <c r="R443" s="557"/>
      <c r="S443" s="557"/>
      <c r="X443" s="562"/>
      <c r="Y443" s="562"/>
    </row>
    <row r="444" spans="5:25" ht="11.25" customHeight="1" x14ac:dyDescent="0.2">
      <c r="E444" s="563"/>
      <c r="F444" s="563"/>
      <c r="G444" s="562"/>
      <c r="K444" s="562"/>
      <c r="L444" s="562"/>
      <c r="R444" s="557"/>
      <c r="S444" s="557"/>
      <c r="X444" s="562"/>
      <c r="Y444" s="562"/>
    </row>
    <row r="445" spans="5:25" ht="11.25" customHeight="1" x14ac:dyDescent="0.2">
      <c r="E445" s="563"/>
      <c r="F445" s="563"/>
      <c r="G445" s="562"/>
      <c r="K445" s="562"/>
      <c r="L445" s="562"/>
      <c r="R445" s="557"/>
      <c r="S445" s="557"/>
      <c r="X445" s="562"/>
      <c r="Y445" s="562"/>
    </row>
    <row r="446" spans="5:25" ht="11.25" customHeight="1" x14ac:dyDescent="0.2">
      <c r="E446" s="563"/>
      <c r="F446" s="563"/>
      <c r="G446" s="562"/>
      <c r="K446" s="562"/>
      <c r="L446" s="562"/>
      <c r="R446" s="557"/>
      <c r="S446" s="557"/>
      <c r="X446" s="562"/>
      <c r="Y446" s="562"/>
    </row>
    <row r="447" spans="5:25" ht="11.25" customHeight="1" x14ac:dyDescent="0.2">
      <c r="E447" s="563"/>
      <c r="F447" s="563"/>
      <c r="G447" s="562"/>
      <c r="K447" s="562"/>
      <c r="L447" s="562"/>
      <c r="R447" s="557"/>
      <c r="S447" s="557"/>
      <c r="X447" s="562"/>
      <c r="Y447" s="562"/>
    </row>
    <row r="448" spans="5:25" ht="11.25" customHeight="1" x14ac:dyDescent="0.2">
      <c r="E448" s="563"/>
      <c r="F448" s="563"/>
      <c r="G448" s="562"/>
      <c r="K448" s="562"/>
      <c r="L448" s="562"/>
      <c r="R448" s="557"/>
      <c r="S448" s="557"/>
      <c r="X448" s="562"/>
      <c r="Y448" s="562"/>
    </row>
    <row r="449" spans="5:25" ht="11.25" customHeight="1" x14ac:dyDescent="0.2">
      <c r="E449" s="563"/>
      <c r="F449" s="563"/>
      <c r="G449" s="562"/>
      <c r="K449" s="562"/>
      <c r="L449" s="562"/>
      <c r="R449" s="557"/>
      <c r="S449" s="557"/>
      <c r="X449" s="562"/>
      <c r="Y449" s="562"/>
    </row>
    <row r="450" spans="5:25" ht="11.25" customHeight="1" x14ac:dyDescent="0.2">
      <c r="E450" s="563"/>
      <c r="F450" s="563"/>
      <c r="G450" s="562"/>
      <c r="K450" s="562"/>
      <c r="L450" s="562"/>
      <c r="R450" s="557"/>
      <c r="S450" s="557"/>
      <c r="X450" s="562"/>
      <c r="Y450" s="562"/>
    </row>
    <row r="451" spans="5:25" ht="11.25" customHeight="1" x14ac:dyDescent="0.2">
      <c r="E451" s="563"/>
      <c r="F451" s="563"/>
      <c r="G451" s="562"/>
      <c r="K451" s="562"/>
      <c r="L451" s="562"/>
      <c r="R451" s="557"/>
      <c r="S451" s="557"/>
      <c r="X451" s="562"/>
      <c r="Y451" s="562"/>
    </row>
    <row r="452" spans="5:25" ht="11.25" customHeight="1" x14ac:dyDescent="0.2">
      <c r="E452" s="563"/>
      <c r="F452" s="563"/>
      <c r="G452" s="562"/>
      <c r="K452" s="562"/>
      <c r="L452" s="562"/>
      <c r="R452" s="557"/>
      <c r="S452" s="557"/>
      <c r="X452" s="562"/>
      <c r="Y452" s="562"/>
    </row>
    <row r="453" spans="5:25" ht="11.25" customHeight="1" x14ac:dyDescent="0.2">
      <c r="E453" s="563"/>
      <c r="F453" s="563"/>
      <c r="G453" s="562"/>
      <c r="K453" s="562"/>
      <c r="L453" s="562"/>
      <c r="R453" s="557"/>
      <c r="S453" s="557"/>
      <c r="X453" s="562"/>
      <c r="Y453" s="562"/>
    </row>
    <row r="454" spans="5:25" ht="11.25" customHeight="1" x14ac:dyDescent="0.2">
      <c r="E454" s="563"/>
      <c r="F454" s="563"/>
      <c r="G454" s="562"/>
      <c r="K454" s="562"/>
      <c r="L454" s="562"/>
      <c r="R454" s="557"/>
      <c r="S454" s="557"/>
      <c r="X454" s="562"/>
      <c r="Y454" s="562"/>
    </row>
    <row r="455" spans="5:25" ht="11.25" customHeight="1" x14ac:dyDescent="0.2">
      <c r="E455" s="563"/>
      <c r="F455" s="563"/>
      <c r="G455" s="562"/>
      <c r="K455" s="562"/>
      <c r="L455" s="562"/>
      <c r="R455" s="557"/>
      <c r="S455" s="557"/>
      <c r="X455" s="562"/>
      <c r="Y455" s="562"/>
    </row>
    <row r="456" spans="5:25" ht="11.25" customHeight="1" x14ac:dyDescent="0.2">
      <c r="E456" s="563"/>
      <c r="F456" s="563"/>
      <c r="G456" s="562"/>
      <c r="K456" s="562"/>
      <c r="L456" s="562"/>
      <c r="R456" s="557"/>
      <c r="S456" s="557"/>
      <c r="X456" s="562"/>
      <c r="Y456" s="562"/>
    </row>
    <row r="457" spans="5:25" ht="11.25" customHeight="1" x14ac:dyDescent="0.2">
      <c r="E457" s="563"/>
      <c r="F457" s="563"/>
      <c r="G457" s="562"/>
      <c r="K457" s="562"/>
      <c r="L457" s="562"/>
      <c r="R457" s="557"/>
      <c r="S457" s="557"/>
      <c r="X457" s="562"/>
      <c r="Y457" s="562"/>
    </row>
    <row r="458" spans="5:25" ht="11.25" customHeight="1" x14ac:dyDescent="0.2">
      <c r="E458" s="563"/>
      <c r="F458" s="563"/>
      <c r="G458" s="562"/>
      <c r="K458" s="562"/>
      <c r="L458" s="562"/>
      <c r="R458" s="557"/>
      <c r="S458" s="557"/>
      <c r="X458" s="562"/>
      <c r="Y458" s="562"/>
    </row>
    <row r="459" spans="5:25" ht="11.25" customHeight="1" x14ac:dyDescent="0.2">
      <c r="E459" s="563"/>
      <c r="F459" s="563"/>
      <c r="G459" s="562"/>
      <c r="K459" s="562"/>
      <c r="L459" s="562"/>
      <c r="R459" s="557"/>
      <c r="S459" s="557"/>
      <c r="X459" s="562"/>
      <c r="Y459" s="562"/>
    </row>
    <row r="460" spans="5:25" ht="11.25" customHeight="1" x14ac:dyDescent="0.2">
      <c r="E460" s="563"/>
      <c r="F460" s="563"/>
      <c r="G460" s="562"/>
      <c r="K460" s="562"/>
      <c r="L460" s="562"/>
      <c r="R460" s="557"/>
      <c r="S460" s="557"/>
      <c r="X460" s="562"/>
      <c r="Y460" s="562"/>
    </row>
    <row r="461" spans="5:25" ht="11.25" customHeight="1" x14ac:dyDescent="0.2">
      <c r="E461" s="563"/>
      <c r="F461" s="563"/>
      <c r="G461" s="562"/>
      <c r="K461" s="562"/>
      <c r="L461" s="562"/>
      <c r="R461" s="557"/>
      <c r="S461" s="557"/>
      <c r="X461" s="562"/>
      <c r="Y461" s="562"/>
    </row>
    <row r="462" spans="5:25" ht="11.25" customHeight="1" x14ac:dyDescent="0.2">
      <c r="E462" s="563"/>
      <c r="F462" s="563"/>
      <c r="G462" s="562"/>
      <c r="K462" s="562"/>
      <c r="L462" s="562"/>
      <c r="R462" s="557"/>
      <c r="S462" s="557"/>
      <c r="X462" s="562"/>
      <c r="Y462" s="562"/>
    </row>
    <row r="463" spans="5:25" ht="11.25" customHeight="1" x14ac:dyDescent="0.2">
      <c r="E463" s="563"/>
      <c r="F463" s="563"/>
      <c r="G463" s="562"/>
      <c r="K463" s="562"/>
      <c r="L463" s="562"/>
      <c r="R463" s="557"/>
      <c r="S463" s="557"/>
      <c r="X463" s="562"/>
      <c r="Y463" s="562"/>
    </row>
    <row r="464" spans="5:25" ht="11.25" customHeight="1" x14ac:dyDescent="0.2">
      <c r="E464" s="563"/>
      <c r="F464" s="563"/>
      <c r="G464" s="562"/>
      <c r="K464" s="562"/>
      <c r="L464" s="562"/>
      <c r="R464" s="557"/>
      <c r="S464" s="557"/>
      <c r="X464" s="562"/>
      <c r="Y464" s="562"/>
    </row>
    <row r="465" spans="5:25" ht="11.25" customHeight="1" x14ac:dyDescent="0.2">
      <c r="E465" s="563"/>
      <c r="F465" s="563"/>
      <c r="G465" s="562"/>
      <c r="K465" s="562"/>
      <c r="L465" s="562"/>
      <c r="R465" s="557"/>
      <c r="S465" s="557"/>
      <c r="X465" s="562"/>
      <c r="Y465" s="562"/>
    </row>
    <row r="466" spans="5:25" ht="11.25" customHeight="1" x14ac:dyDescent="0.2">
      <c r="E466" s="563"/>
      <c r="F466" s="563"/>
      <c r="G466" s="562"/>
      <c r="K466" s="562"/>
      <c r="L466" s="562"/>
      <c r="R466" s="557"/>
      <c r="S466" s="557"/>
      <c r="X466" s="562"/>
      <c r="Y466" s="562"/>
    </row>
    <row r="467" spans="5:25" ht="11.25" customHeight="1" x14ac:dyDescent="0.2">
      <c r="E467" s="563"/>
      <c r="F467" s="563"/>
      <c r="G467" s="562"/>
      <c r="K467" s="562"/>
      <c r="L467" s="562"/>
      <c r="R467" s="557"/>
      <c r="S467" s="557"/>
      <c r="X467" s="562"/>
      <c r="Y467" s="562"/>
    </row>
    <row r="468" spans="5:25" ht="11.25" customHeight="1" x14ac:dyDescent="0.2">
      <c r="E468" s="563"/>
      <c r="F468" s="563"/>
      <c r="G468" s="562"/>
      <c r="K468" s="562"/>
      <c r="L468" s="562"/>
      <c r="R468" s="557"/>
      <c r="S468" s="557"/>
      <c r="X468" s="562"/>
      <c r="Y468" s="562"/>
    </row>
    <row r="469" spans="5:25" ht="11.25" customHeight="1" x14ac:dyDescent="0.2">
      <c r="E469" s="563"/>
      <c r="F469" s="563"/>
      <c r="G469" s="562"/>
      <c r="K469" s="562"/>
      <c r="L469" s="562"/>
      <c r="R469" s="557"/>
      <c r="S469" s="557"/>
      <c r="X469" s="562"/>
      <c r="Y469" s="562"/>
    </row>
    <row r="470" spans="5:25" ht="11.25" customHeight="1" x14ac:dyDescent="0.2">
      <c r="E470" s="563"/>
      <c r="F470" s="563"/>
      <c r="G470" s="562"/>
      <c r="K470" s="562"/>
      <c r="L470" s="562"/>
      <c r="R470" s="557"/>
      <c r="S470" s="557"/>
      <c r="X470" s="562"/>
      <c r="Y470" s="562"/>
    </row>
    <row r="471" spans="5:25" ht="11.25" customHeight="1" x14ac:dyDescent="0.2">
      <c r="E471" s="563"/>
      <c r="F471" s="563"/>
      <c r="G471" s="562"/>
      <c r="K471" s="562"/>
      <c r="L471" s="562"/>
      <c r="R471" s="557"/>
      <c r="S471" s="557"/>
      <c r="X471" s="562"/>
      <c r="Y471" s="562"/>
    </row>
    <row r="472" spans="5:25" ht="11.25" customHeight="1" x14ac:dyDescent="0.2">
      <c r="E472" s="563"/>
      <c r="F472" s="563"/>
      <c r="G472" s="562"/>
      <c r="K472" s="562"/>
      <c r="L472" s="562"/>
      <c r="R472" s="557"/>
      <c r="S472" s="557"/>
      <c r="X472" s="562"/>
      <c r="Y472" s="562"/>
    </row>
    <row r="473" spans="5:25" ht="11.25" customHeight="1" x14ac:dyDescent="0.2">
      <c r="E473" s="563"/>
      <c r="F473" s="563"/>
      <c r="G473" s="562"/>
      <c r="K473" s="562"/>
      <c r="L473" s="562"/>
      <c r="R473" s="557"/>
      <c r="S473" s="557"/>
      <c r="X473" s="562"/>
      <c r="Y473" s="562"/>
    </row>
    <row r="474" spans="5:25" ht="11.25" customHeight="1" x14ac:dyDescent="0.2">
      <c r="E474" s="563"/>
      <c r="F474" s="563"/>
      <c r="G474" s="562"/>
      <c r="K474" s="562"/>
      <c r="L474" s="562"/>
      <c r="R474" s="557"/>
      <c r="S474" s="557"/>
      <c r="X474" s="562"/>
      <c r="Y474" s="562"/>
    </row>
    <row r="475" spans="5:25" ht="11.25" customHeight="1" x14ac:dyDescent="0.2">
      <c r="E475" s="563"/>
      <c r="F475" s="563"/>
      <c r="G475" s="562"/>
      <c r="K475" s="562"/>
      <c r="L475" s="562"/>
      <c r="R475" s="557"/>
      <c r="S475" s="557"/>
      <c r="X475" s="562"/>
      <c r="Y475" s="562"/>
    </row>
    <row r="476" spans="5:25" ht="11.25" customHeight="1" x14ac:dyDescent="0.2">
      <c r="E476" s="563"/>
      <c r="F476" s="563"/>
      <c r="G476" s="562"/>
      <c r="K476" s="562"/>
      <c r="L476" s="562"/>
      <c r="R476" s="557"/>
      <c r="S476" s="557"/>
      <c r="X476" s="562"/>
      <c r="Y476" s="562"/>
    </row>
    <row r="477" spans="5:25" ht="11.25" customHeight="1" x14ac:dyDescent="0.2">
      <c r="E477" s="563"/>
      <c r="F477" s="563"/>
      <c r="G477" s="562"/>
      <c r="K477" s="562"/>
      <c r="L477" s="562"/>
      <c r="R477" s="557"/>
      <c r="S477" s="557"/>
      <c r="X477" s="562"/>
      <c r="Y477" s="562"/>
    </row>
    <row r="478" spans="5:25" ht="11.25" customHeight="1" x14ac:dyDescent="0.2">
      <c r="E478" s="563"/>
      <c r="F478" s="563"/>
      <c r="G478" s="562"/>
      <c r="K478" s="562"/>
      <c r="L478" s="562"/>
      <c r="R478" s="557"/>
      <c r="S478" s="557"/>
      <c r="X478" s="562"/>
      <c r="Y478" s="562"/>
    </row>
    <row r="479" spans="5:25" ht="11.25" customHeight="1" x14ac:dyDescent="0.2">
      <c r="E479" s="563"/>
      <c r="F479" s="563"/>
      <c r="G479" s="562"/>
      <c r="K479" s="562"/>
      <c r="L479" s="562"/>
      <c r="R479" s="557"/>
      <c r="S479" s="557"/>
      <c r="X479" s="562"/>
      <c r="Y479" s="562"/>
    </row>
    <row r="480" spans="5:25" ht="11.25" customHeight="1" x14ac:dyDescent="0.2">
      <c r="E480" s="563"/>
      <c r="F480" s="563"/>
      <c r="G480" s="562"/>
      <c r="K480" s="562"/>
      <c r="L480" s="562"/>
      <c r="R480" s="557"/>
      <c r="S480" s="557"/>
      <c r="X480" s="562"/>
      <c r="Y480" s="562"/>
    </row>
    <row r="481" spans="5:25" ht="11.25" customHeight="1" x14ac:dyDescent="0.2">
      <c r="E481" s="563"/>
      <c r="F481" s="563"/>
      <c r="G481" s="562"/>
      <c r="K481" s="562"/>
      <c r="L481" s="562"/>
      <c r="R481" s="557"/>
      <c r="S481" s="557"/>
      <c r="X481" s="562"/>
      <c r="Y481" s="562"/>
    </row>
    <row r="482" spans="5:25" ht="11.25" customHeight="1" x14ac:dyDescent="0.2">
      <c r="E482" s="563"/>
      <c r="F482" s="563"/>
      <c r="G482" s="562"/>
      <c r="K482" s="562"/>
      <c r="L482" s="562"/>
      <c r="R482" s="557"/>
      <c r="S482" s="557"/>
      <c r="X482" s="562"/>
      <c r="Y482" s="562"/>
    </row>
    <row r="483" spans="5:25" ht="11.25" customHeight="1" x14ac:dyDescent="0.2">
      <c r="E483" s="563"/>
      <c r="F483" s="563"/>
      <c r="G483" s="562"/>
      <c r="K483" s="562"/>
      <c r="L483" s="562"/>
      <c r="R483" s="557"/>
      <c r="S483" s="557"/>
      <c r="X483" s="562"/>
      <c r="Y483" s="562"/>
    </row>
    <row r="484" spans="5:25" ht="11.25" customHeight="1" x14ac:dyDescent="0.2">
      <c r="E484" s="563"/>
      <c r="F484" s="563"/>
      <c r="G484" s="562"/>
      <c r="K484" s="562"/>
      <c r="L484" s="562"/>
      <c r="R484" s="557"/>
      <c r="S484" s="557"/>
      <c r="X484" s="562"/>
      <c r="Y484" s="562"/>
    </row>
    <row r="485" spans="5:25" ht="11.25" customHeight="1" x14ac:dyDescent="0.2">
      <c r="E485" s="563"/>
      <c r="F485" s="563"/>
      <c r="G485" s="562"/>
      <c r="K485" s="562"/>
      <c r="L485" s="562"/>
      <c r="R485" s="557"/>
      <c r="S485" s="557"/>
      <c r="V485" s="562"/>
      <c r="X485" s="562"/>
      <c r="Y485" s="562"/>
    </row>
    <row r="486" spans="5:25" ht="11.25" customHeight="1" x14ac:dyDescent="0.2">
      <c r="E486" s="563"/>
      <c r="F486" s="563"/>
      <c r="G486" s="562"/>
      <c r="K486" s="562"/>
      <c r="L486" s="562"/>
      <c r="R486" s="557"/>
      <c r="S486" s="557"/>
      <c r="V486" s="562"/>
      <c r="X486" s="562"/>
      <c r="Y486" s="562"/>
    </row>
    <row r="487" spans="5:25" ht="11.25" customHeight="1" x14ac:dyDescent="0.2">
      <c r="E487" s="563"/>
      <c r="F487" s="563"/>
      <c r="G487" s="562"/>
      <c r="K487" s="562"/>
      <c r="L487" s="562"/>
      <c r="R487" s="557"/>
      <c r="S487" s="557"/>
      <c r="V487" s="562"/>
      <c r="X487" s="562"/>
      <c r="Y487" s="562"/>
    </row>
    <row r="488" spans="5:25" ht="11.25" customHeight="1" x14ac:dyDescent="0.2">
      <c r="E488" s="563"/>
      <c r="F488" s="563"/>
      <c r="G488" s="562"/>
      <c r="K488" s="562"/>
      <c r="L488" s="562"/>
      <c r="R488" s="557"/>
      <c r="S488" s="557"/>
      <c r="V488" s="562"/>
      <c r="X488" s="562"/>
      <c r="Y488" s="562"/>
    </row>
    <row r="489" spans="5:25" ht="11.25" customHeight="1" x14ac:dyDescent="0.2">
      <c r="E489" s="563"/>
      <c r="F489" s="563"/>
      <c r="G489" s="562"/>
      <c r="K489" s="562"/>
      <c r="L489" s="562"/>
      <c r="R489" s="557"/>
      <c r="S489" s="557"/>
      <c r="V489" s="562"/>
      <c r="X489" s="562"/>
      <c r="Y489" s="562"/>
    </row>
    <row r="490" spans="5:25" ht="11.25" customHeight="1" x14ac:dyDescent="0.2">
      <c r="E490" s="563"/>
      <c r="F490" s="563"/>
      <c r="G490" s="562"/>
      <c r="K490" s="562"/>
      <c r="L490" s="562"/>
      <c r="R490" s="557"/>
      <c r="S490" s="557"/>
      <c r="V490" s="562"/>
      <c r="X490" s="562"/>
      <c r="Y490" s="562"/>
    </row>
    <row r="491" spans="5:25" ht="11.25" customHeight="1" x14ac:dyDescent="0.2">
      <c r="E491" s="563"/>
      <c r="F491" s="563"/>
      <c r="G491" s="562"/>
      <c r="K491" s="562"/>
      <c r="L491" s="562"/>
      <c r="R491" s="557"/>
      <c r="S491" s="557"/>
      <c r="V491" s="562"/>
      <c r="X491" s="562"/>
      <c r="Y491" s="562"/>
    </row>
    <row r="492" spans="5:25" ht="11.25" customHeight="1" x14ac:dyDescent="0.2">
      <c r="E492" s="563"/>
      <c r="F492" s="563"/>
      <c r="G492" s="562"/>
      <c r="K492" s="562"/>
      <c r="L492" s="562"/>
      <c r="R492" s="557"/>
      <c r="S492" s="557"/>
      <c r="V492" s="562"/>
      <c r="X492" s="562"/>
      <c r="Y492" s="562"/>
    </row>
    <row r="493" spans="5:25" ht="11.25" customHeight="1" x14ac:dyDescent="0.2">
      <c r="E493" s="563"/>
      <c r="F493" s="563"/>
      <c r="G493" s="562"/>
      <c r="K493" s="562"/>
      <c r="L493" s="562"/>
      <c r="R493" s="557"/>
      <c r="S493" s="557"/>
      <c r="V493" s="562"/>
      <c r="X493" s="562"/>
      <c r="Y493" s="562"/>
    </row>
    <row r="494" spans="5:25" ht="11.25" customHeight="1" x14ac:dyDescent="0.2">
      <c r="E494" s="563"/>
      <c r="F494" s="563"/>
      <c r="G494" s="562"/>
      <c r="K494" s="562"/>
      <c r="L494" s="562"/>
      <c r="R494" s="557"/>
      <c r="S494" s="557"/>
      <c r="V494" s="562"/>
      <c r="X494" s="562"/>
      <c r="Y494" s="562"/>
    </row>
    <row r="495" spans="5:25" ht="11.25" customHeight="1" x14ac:dyDescent="0.2">
      <c r="E495" s="563"/>
      <c r="F495" s="563"/>
      <c r="G495" s="562"/>
      <c r="K495" s="562"/>
      <c r="L495" s="562"/>
      <c r="R495" s="557"/>
      <c r="S495" s="557"/>
      <c r="V495" s="562"/>
      <c r="X495" s="562"/>
      <c r="Y495" s="562"/>
    </row>
    <row r="496" spans="5:25" ht="11.25" customHeight="1" x14ac:dyDescent="0.2">
      <c r="E496" s="563"/>
      <c r="F496" s="563"/>
      <c r="G496" s="562"/>
      <c r="K496" s="562"/>
      <c r="L496" s="562"/>
      <c r="R496" s="557"/>
      <c r="S496" s="557"/>
      <c r="V496" s="562"/>
      <c r="X496" s="562"/>
      <c r="Y496" s="562"/>
    </row>
    <row r="497" spans="5:25" ht="11.25" customHeight="1" x14ac:dyDescent="0.2">
      <c r="E497" s="563"/>
      <c r="F497" s="563"/>
      <c r="G497" s="562"/>
      <c r="K497" s="562"/>
      <c r="L497" s="562"/>
      <c r="R497" s="557"/>
      <c r="S497" s="557"/>
      <c r="V497" s="562"/>
      <c r="X497" s="562"/>
      <c r="Y497" s="562"/>
    </row>
    <row r="498" spans="5:25" ht="11.25" customHeight="1" x14ac:dyDescent="0.2">
      <c r="E498" s="563"/>
      <c r="F498" s="563"/>
      <c r="G498" s="562"/>
      <c r="K498" s="562"/>
      <c r="L498" s="562"/>
      <c r="R498" s="557"/>
      <c r="S498" s="557"/>
      <c r="V498" s="562"/>
      <c r="X498" s="562"/>
      <c r="Y498" s="562"/>
    </row>
    <row r="499" spans="5:25" ht="11.25" customHeight="1" x14ac:dyDescent="0.2">
      <c r="E499" s="563"/>
      <c r="F499" s="563"/>
      <c r="G499" s="562"/>
      <c r="K499" s="562"/>
      <c r="L499" s="562"/>
      <c r="R499" s="557"/>
      <c r="S499" s="557"/>
      <c r="V499" s="562"/>
      <c r="X499" s="562"/>
      <c r="Y499" s="562"/>
    </row>
    <row r="500" spans="5:25" ht="11.25" customHeight="1" x14ac:dyDescent="0.2">
      <c r="E500" s="563"/>
      <c r="F500" s="563"/>
      <c r="G500" s="562"/>
      <c r="K500" s="562"/>
      <c r="L500" s="562"/>
      <c r="R500" s="557"/>
      <c r="S500" s="557"/>
      <c r="V500" s="562"/>
      <c r="X500" s="562"/>
      <c r="Y500" s="562"/>
    </row>
    <row r="501" spans="5:25" ht="11.25" customHeight="1" x14ac:dyDescent="0.2">
      <c r="E501" s="563"/>
      <c r="F501" s="563"/>
      <c r="G501" s="562"/>
      <c r="K501" s="562"/>
      <c r="L501" s="562"/>
      <c r="R501" s="557"/>
      <c r="S501" s="557"/>
      <c r="V501" s="562"/>
      <c r="X501" s="562"/>
      <c r="Y501" s="562"/>
    </row>
    <row r="502" spans="5:25" ht="11.25" customHeight="1" x14ac:dyDescent="0.2">
      <c r="E502" s="563"/>
      <c r="F502" s="563"/>
      <c r="G502" s="562"/>
      <c r="K502" s="562"/>
      <c r="L502" s="562"/>
      <c r="R502" s="557"/>
      <c r="S502" s="557"/>
      <c r="V502" s="562"/>
      <c r="X502" s="562"/>
      <c r="Y502" s="562"/>
    </row>
    <row r="503" spans="5:25" ht="11.25" customHeight="1" x14ac:dyDescent="0.2">
      <c r="E503" s="563"/>
      <c r="F503" s="563"/>
      <c r="G503" s="562"/>
      <c r="K503" s="562"/>
      <c r="L503" s="562"/>
      <c r="R503" s="557"/>
      <c r="S503" s="557"/>
      <c r="V503" s="562"/>
      <c r="X503" s="562"/>
      <c r="Y503" s="562"/>
    </row>
    <row r="504" spans="5:25" ht="11.25" customHeight="1" x14ac:dyDescent="0.2">
      <c r="E504" s="563"/>
      <c r="F504" s="563"/>
      <c r="G504" s="562"/>
      <c r="K504" s="562"/>
      <c r="L504" s="562"/>
      <c r="R504" s="557"/>
      <c r="S504" s="557"/>
      <c r="V504" s="562"/>
      <c r="X504" s="562"/>
      <c r="Y504" s="562"/>
    </row>
    <row r="505" spans="5:25" ht="11.25" customHeight="1" x14ac:dyDescent="0.2">
      <c r="E505" s="563"/>
      <c r="F505" s="563"/>
      <c r="G505" s="562"/>
      <c r="K505" s="562"/>
      <c r="L505" s="562"/>
      <c r="R505" s="557"/>
      <c r="S505" s="557"/>
      <c r="V505" s="562"/>
      <c r="X505" s="562"/>
      <c r="Y505" s="562"/>
    </row>
    <row r="506" spans="5:25" ht="11.25" customHeight="1" x14ac:dyDescent="0.2">
      <c r="E506" s="563"/>
      <c r="F506" s="563"/>
      <c r="G506" s="562"/>
      <c r="K506" s="562"/>
      <c r="L506" s="562"/>
      <c r="R506" s="557"/>
      <c r="S506" s="557"/>
      <c r="V506" s="562"/>
      <c r="X506" s="562"/>
      <c r="Y506" s="562"/>
    </row>
    <row r="507" spans="5:25" ht="11.25" customHeight="1" x14ac:dyDescent="0.2">
      <c r="E507" s="563"/>
      <c r="F507" s="563"/>
      <c r="G507" s="562"/>
      <c r="K507" s="562"/>
      <c r="L507" s="562"/>
      <c r="R507" s="557"/>
      <c r="S507" s="557"/>
      <c r="V507" s="562"/>
      <c r="X507" s="562"/>
      <c r="Y507" s="562"/>
    </row>
    <row r="508" spans="5:25" ht="11.25" customHeight="1" x14ac:dyDescent="0.2">
      <c r="E508" s="563"/>
      <c r="F508" s="563"/>
      <c r="G508" s="562"/>
      <c r="K508" s="562"/>
      <c r="L508" s="562"/>
      <c r="R508" s="557"/>
      <c r="S508" s="557"/>
      <c r="V508" s="562"/>
      <c r="X508" s="562"/>
      <c r="Y508" s="562"/>
    </row>
    <row r="509" spans="5:25" ht="11.25" customHeight="1" x14ac:dyDescent="0.2">
      <c r="E509" s="563"/>
      <c r="F509" s="563"/>
      <c r="G509" s="562"/>
      <c r="K509" s="562"/>
      <c r="L509" s="562"/>
      <c r="R509" s="557"/>
      <c r="S509" s="557"/>
      <c r="V509" s="562"/>
      <c r="X509" s="562"/>
      <c r="Y509" s="562"/>
    </row>
    <row r="510" spans="5:25" ht="11.25" customHeight="1" x14ac:dyDescent="0.2">
      <c r="E510" s="563"/>
      <c r="F510" s="563"/>
      <c r="G510" s="562"/>
      <c r="K510" s="562"/>
      <c r="L510" s="562"/>
      <c r="R510" s="557"/>
      <c r="S510" s="557"/>
      <c r="V510" s="562"/>
      <c r="X510" s="562"/>
      <c r="Y510" s="562"/>
    </row>
    <row r="511" spans="5:25" ht="11.25" customHeight="1" x14ac:dyDescent="0.2">
      <c r="E511" s="563"/>
      <c r="F511" s="563"/>
      <c r="G511" s="562"/>
      <c r="K511" s="562"/>
      <c r="L511" s="562"/>
      <c r="R511" s="557"/>
      <c r="S511" s="557"/>
      <c r="V511" s="562"/>
      <c r="X511" s="562"/>
      <c r="Y511" s="562"/>
    </row>
    <row r="512" spans="5:25" ht="11.25" customHeight="1" x14ac:dyDescent="0.2">
      <c r="E512" s="563"/>
      <c r="F512" s="563"/>
      <c r="G512" s="562"/>
      <c r="K512" s="562"/>
      <c r="L512" s="562"/>
      <c r="R512" s="557"/>
      <c r="S512" s="557"/>
      <c r="V512" s="562"/>
      <c r="X512" s="562"/>
      <c r="Y512" s="562"/>
    </row>
    <row r="513" spans="5:25" ht="11.25" customHeight="1" x14ac:dyDescent="0.2">
      <c r="E513" s="563"/>
      <c r="F513" s="563"/>
      <c r="G513" s="562"/>
      <c r="K513" s="562"/>
      <c r="L513" s="562"/>
      <c r="R513" s="557"/>
      <c r="S513" s="557"/>
      <c r="V513" s="562"/>
      <c r="X513" s="562"/>
      <c r="Y513" s="562"/>
    </row>
    <row r="514" spans="5:25" ht="11.25" customHeight="1" x14ac:dyDescent="0.2">
      <c r="E514" s="563"/>
      <c r="F514" s="563"/>
      <c r="G514" s="562"/>
      <c r="K514" s="562"/>
      <c r="L514" s="562"/>
      <c r="R514" s="557"/>
      <c r="S514" s="557"/>
      <c r="V514" s="562"/>
      <c r="X514" s="562"/>
      <c r="Y514" s="562"/>
    </row>
    <row r="515" spans="5:25" ht="11.25" customHeight="1" x14ac:dyDescent="0.2">
      <c r="E515" s="563"/>
      <c r="F515" s="563"/>
      <c r="G515" s="562"/>
      <c r="K515" s="562"/>
      <c r="L515" s="562"/>
      <c r="R515" s="557"/>
      <c r="S515" s="557"/>
      <c r="V515" s="562"/>
      <c r="X515" s="562"/>
      <c r="Y515" s="562"/>
    </row>
    <row r="516" spans="5:25" ht="11.25" customHeight="1" x14ac:dyDescent="0.2">
      <c r="E516" s="563"/>
      <c r="F516" s="563"/>
      <c r="G516" s="562"/>
      <c r="K516" s="562"/>
      <c r="L516" s="562"/>
      <c r="R516" s="557"/>
      <c r="S516" s="557"/>
      <c r="V516" s="562"/>
      <c r="X516" s="562"/>
      <c r="Y516" s="562"/>
    </row>
    <row r="517" spans="5:25" ht="11.25" customHeight="1" x14ac:dyDescent="0.2">
      <c r="E517" s="563"/>
      <c r="F517" s="563"/>
      <c r="G517" s="562"/>
      <c r="K517" s="562"/>
      <c r="L517" s="562"/>
      <c r="R517" s="557"/>
      <c r="S517" s="557"/>
      <c r="V517" s="562"/>
      <c r="X517" s="562"/>
      <c r="Y517" s="562"/>
    </row>
    <row r="518" spans="5:25" ht="11.25" customHeight="1" x14ac:dyDescent="0.2">
      <c r="E518" s="563"/>
      <c r="F518" s="563"/>
      <c r="G518" s="562"/>
      <c r="K518" s="562"/>
      <c r="L518" s="562"/>
      <c r="R518" s="557"/>
      <c r="S518" s="557"/>
      <c r="V518" s="562"/>
      <c r="X518" s="562"/>
      <c r="Y518" s="562"/>
    </row>
    <row r="519" spans="5:25" ht="11.25" customHeight="1" x14ac:dyDescent="0.2">
      <c r="E519" s="563"/>
      <c r="F519" s="563"/>
      <c r="G519" s="562"/>
      <c r="K519" s="562"/>
      <c r="L519" s="562"/>
      <c r="R519" s="557"/>
      <c r="S519" s="557"/>
      <c r="V519" s="562"/>
      <c r="X519" s="562"/>
      <c r="Y519" s="562"/>
    </row>
    <row r="520" spans="5:25" ht="11.25" customHeight="1" x14ac:dyDescent="0.2">
      <c r="E520" s="563"/>
      <c r="F520" s="563"/>
      <c r="G520" s="562"/>
      <c r="K520" s="562"/>
      <c r="L520" s="562"/>
      <c r="R520" s="557"/>
      <c r="S520" s="557"/>
      <c r="V520" s="562"/>
      <c r="X520" s="562"/>
      <c r="Y520" s="562"/>
    </row>
    <row r="521" spans="5:25" ht="11.25" customHeight="1" x14ac:dyDescent="0.2">
      <c r="E521" s="563"/>
      <c r="F521" s="563"/>
      <c r="G521" s="562"/>
      <c r="K521" s="562"/>
      <c r="L521" s="562"/>
      <c r="R521" s="557"/>
      <c r="S521" s="557"/>
      <c r="V521" s="562"/>
      <c r="X521" s="562"/>
      <c r="Y521" s="562"/>
    </row>
    <row r="522" spans="5:25" ht="11.25" customHeight="1" x14ac:dyDescent="0.2">
      <c r="E522" s="563"/>
      <c r="F522" s="563"/>
      <c r="G522" s="562"/>
      <c r="K522" s="562"/>
      <c r="L522" s="562"/>
      <c r="R522" s="557"/>
      <c r="S522" s="557"/>
      <c r="V522" s="562"/>
      <c r="X522" s="562"/>
      <c r="Y522" s="562"/>
    </row>
    <row r="523" spans="5:25" ht="11.25" customHeight="1" x14ac:dyDescent="0.2">
      <c r="E523" s="563"/>
      <c r="F523" s="563"/>
      <c r="G523" s="562"/>
      <c r="K523" s="562"/>
      <c r="L523" s="562"/>
      <c r="R523" s="557"/>
      <c r="S523" s="557"/>
      <c r="V523" s="562"/>
      <c r="X523" s="562"/>
      <c r="Y523" s="562"/>
    </row>
    <row r="524" spans="5:25" ht="11.25" customHeight="1" x14ac:dyDescent="0.2">
      <c r="E524" s="563"/>
      <c r="F524" s="563"/>
      <c r="G524" s="562"/>
      <c r="K524" s="562"/>
      <c r="L524" s="562"/>
      <c r="R524" s="557"/>
      <c r="S524" s="557"/>
      <c r="V524" s="562"/>
      <c r="X524" s="562"/>
      <c r="Y524" s="562"/>
    </row>
    <row r="525" spans="5:25" ht="11.25" customHeight="1" x14ac:dyDescent="0.2">
      <c r="E525" s="563"/>
      <c r="F525" s="563"/>
      <c r="G525" s="562"/>
      <c r="K525" s="562"/>
      <c r="L525" s="562"/>
      <c r="R525" s="557"/>
      <c r="S525" s="557"/>
      <c r="V525" s="562"/>
      <c r="X525" s="562"/>
      <c r="Y525" s="562"/>
    </row>
    <row r="526" spans="5:25" ht="11.25" customHeight="1" x14ac:dyDescent="0.2">
      <c r="E526" s="563"/>
      <c r="F526" s="563"/>
      <c r="G526" s="562"/>
      <c r="K526" s="562"/>
      <c r="L526" s="562"/>
      <c r="R526" s="557"/>
      <c r="S526" s="557"/>
      <c r="V526" s="562"/>
      <c r="X526" s="562"/>
      <c r="Y526" s="562"/>
    </row>
    <row r="527" spans="5:25" ht="11.25" customHeight="1" x14ac:dyDescent="0.2">
      <c r="E527" s="563"/>
      <c r="F527" s="563"/>
      <c r="G527" s="562"/>
      <c r="K527" s="562"/>
      <c r="L527" s="562"/>
      <c r="R527" s="557"/>
      <c r="S527" s="557"/>
      <c r="V527" s="562"/>
      <c r="X527" s="562"/>
      <c r="Y527" s="562"/>
    </row>
    <row r="528" spans="5:25" ht="11.25" customHeight="1" x14ac:dyDescent="0.2">
      <c r="E528" s="563"/>
      <c r="F528" s="563"/>
      <c r="G528" s="562"/>
      <c r="K528" s="562"/>
      <c r="L528" s="562"/>
      <c r="R528" s="557"/>
      <c r="S528" s="557"/>
      <c r="V528" s="562"/>
      <c r="X528" s="562"/>
      <c r="Y528" s="562"/>
    </row>
    <row r="529" spans="5:25" ht="11.25" customHeight="1" x14ac:dyDescent="0.2">
      <c r="E529" s="563"/>
      <c r="F529" s="563"/>
      <c r="G529" s="562"/>
      <c r="K529" s="562"/>
      <c r="L529" s="562"/>
      <c r="R529" s="557"/>
      <c r="S529" s="557"/>
      <c r="V529" s="562"/>
      <c r="X529" s="562"/>
      <c r="Y529" s="562"/>
    </row>
    <row r="530" spans="5:25" ht="11.25" customHeight="1" x14ac:dyDescent="0.2">
      <c r="E530" s="563"/>
      <c r="F530" s="563"/>
      <c r="G530" s="562"/>
      <c r="K530" s="562"/>
      <c r="L530" s="562"/>
      <c r="R530" s="557"/>
      <c r="S530" s="557"/>
      <c r="V530" s="562"/>
      <c r="X530" s="562"/>
      <c r="Y530" s="562"/>
    </row>
    <row r="531" spans="5:25" ht="11.25" customHeight="1" x14ac:dyDescent="0.2">
      <c r="E531" s="563"/>
      <c r="F531" s="563"/>
      <c r="G531" s="562"/>
      <c r="K531" s="562"/>
      <c r="L531" s="562"/>
      <c r="R531" s="557"/>
      <c r="S531" s="557"/>
      <c r="V531" s="562"/>
      <c r="X531" s="562"/>
      <c r="Y531" s="562"/>
    </row>
    <row r="532" spans="5:25" ht="11.25" customHeight="1" x14ac:dyDescent="0.2">
      <c r="E532" s="563"/>
      <c r="F532" s="563"/>
      <c r="G532" s="562"/>
      <c r="K532" s="562"/>
      <c r="L532" s="562"/>
      <c r="R532" s="557"/>
      <c r="S532" s="557"/>
      <c r="V532" s="562"/>
      <c r="X532" s="562"/>
      <c r="Y532" s="562"/>
    </row>
    <row r="533" spans="5:25" ht="11.25" customHeight="1" x14ac:dyDescent="0.2">
      <c r="E533" s="563"/>
      <c r="F533" s="563"/>
      <c r="G533" s="562"/>
      <c r="K533" s="562"/>
      <c r="L533" s="562"/>
      <c r="R533" s="557"/>
      <c r="S533" s="557"/>
      <c r="V533" s="562"/>
      <c r="X533" s="562"/>
      <c r="Y533" s="562"/>
    </row>
    <row r="534" spans="5:25" ht="11.25" customHeight="1" x14ac:dyDescent="0.2">
      <c r="E534" s="563"/>
      <c r="F534" s="563"/>
      <c r="G534" s="562"/>
      <c r="K534" s="562"/>
      <c r="L534" s="562"/>
      <c r="R534" s="557"/>
      <c r="S534" s="557"/>
      <c r="V534" s="562"/>
      <c r="X534" s="562"/>
      <c r="Y534" s="562"/>
    </row>
    <row r="535" spans="5:25" ht="11.25" customHeight="1" x14ac:dyDescent="0.2">
      <c r="E535" s="563"/>
      <c r="F535" s="563"/>
      <c r="G535" s="562"/>
      <c r="K535" s="562"/>
      <c r="L535" s="562"/>
      <c r="V535" s="562"/>
      <c r="X535" s="562"/>
      <c r="Y535" s="562"/>
    </row>
    <row r="536" spans="5:25" ht="11.25" customHeight="1" x14ac:dyDescent="0.2">
      <c r="E536" s="563"/>
      <c r="F536" s="563"/>
      <c r="G536" s="562"/>
      <c r="K536" s="562"/>
      <c r="L536" s="562"/>
      <c r="V536" s="562"/>
      <c r="X536" s="562"/>
      <c r="Y536" s="562"/>
    </row>
    <row r="537" spans="5:25" ht="11.25" customHeight="1" x14ac:dyDescent="0.2">
      <c r="E537" s="563"/>
      <c r="F537" s="563"/>
      <c r="G537" s="562"/>
      <c r="K537" s="562"/>
      <c r="L537" s="562"/>
      <c r="V537" s="562"/>
      <c r="X537" s="562"/>
      <c r="Y537" s="562"/>
    </row>
    <row r="538" spans="5:25" ht="11.25" customHeight="1" x14ac:dyDescent="0.2">
      <c r="E538" s="563"/>
      <c r="F538" s="563"/>
      <c r="G538" s="562"/>
      <c r="K538" s="562"/>
      <c r="L538" s="562"/>
      <c r="V538" s="562"/>
      <c r="X538" s="562"/>
      <c r="Y538" s="562"/>
    </row>
    <row r="539" spans="5:25" ht="11.25" customHeight="1" x14ac:dyDescent="0.2">
      <c r="E539" s="563"/>
      <c r="F539" s="563"/>
      <c r="G539" s="562"/>
      <c r="K539" s="562"/>
      <c r="L539" s="562"/>
      <c r="V539" s="562"/>
      <c r="X539" s="562"/>
      <c r="Y539" s="562"/>
    </row>
    <row r="540" spans="5:25" ht="11.25" customHeight="1" x14ac:dyDescent="0.2">
      <c r="E540" s="563"/>
      <c r="F540" s="563"/>
      <c r="G540" s="562"/>
      <c r="K540" s="562"/>
      <c r="L540" s="562"/>
      <c r="V540" s="562"/>
      <c r="X540" s="562"/>
      <c r="Y540" s="562"/>
    </row>
    <row r="541" spans="5:25" ht="11.25" customHeight="1" x14ac:dyDescent="0.2">
      <c r="E541" s="563"/>
      <c r="F541" s="563"/>
      <c r="G541" s="562"/>
      <c r="K541" s="562"/>
      <c r="L541" s="562"/>
      <c r="V541" s="562"/>
      <c r="X541" s="562"/>
      <c r="Y541" s="562"/>
    </row>
    <row r="542" spans="5:25" ht="11.25" customHeight="1" x14ac:dyDescent="0.2">
      <c r="E542" s="563"/>
      <c r="F542" s="563"/>
      <c r="G542" s="562"/>
      <c r="K542" s="562"/>
      <c r="L542" s="562"/>
      <c r="V542" s="562"/>
      <c r="X542" s="562"/>
      <c r="Y542" s="562"/>
    </row>
    <row r="543" spans="5:25" ht="11.25" customHeight="1" x14ac:dyDescent="0.2">
      <c r="E543" s="563"/>
      <c r="F543" s="563"/>
      <c r="G543" s="562"/>
      <c r="K543" s="562"/>
      <c r="L543" s="562"/>
      <c r="V543" s="562"/>
      <c r="X543" s="562"/>
      <c r="Y543" s="562"/>
    </row>
    <row r="544" spans="5:25" ht="11.25" customHeight="1" x14ac:dyDescent="0.2">
      <c r="E544" s="563"/>
      <c r="F544" s="563"/>
      <c r="G544" s="562"/>
      <c r="K544" s="562"/>
      <c r="L544" s="562"/>
      <c r="V544" s="562"/>
      <c r="X544" s="562"/>
      <c r="Y544" s="562"/>
    </row>
    <row r="545" spans="5:25" ht="11.25" customHeight="1" x14ac:dyDescent="0.2">
      <c r="E545" s="563"/>
      <c r="F545" s="563"/>
      <c r="G545" s="562"/>
      <c r="K545" s="562"/>
      <c r="L545" s="562"/>
      <c r="V545" s="562"/>
      <c r="X545" s="562"/>
      <c r="Y545" s="562"/>
    </row>
    <row r="546" spans="5:25" ht="11.25" customHeight="1" x14ac:dyDescent="0.2">
      <c r="E546" s="563"/>
      <c r="F546" s="563"/>
      <c r="G546" s="562"/>
      <c r="K546" s="562"/>
      <c r="L546" s="562"/>
      <c r="V546" s="562"/>
      <c r="X546" s="562"/>
      <c r="Y546" s="562"/>
    </row>
    <row r="547" spans="5:25" ht="11.25" customHeight="1" x14ac:dyDescent="0.2">
      <c r="E547" s="563"/>
      <c r="F547" s="563"/>
      <c r="G547" s="562"/>
      <c r="K547" s="562"/>
      <c r="L547" s="562"/>
      <c r="V547" s="562"/>
      <c r="X547" s="562"/>
      <c r="Y547" s="562"/>
    </row>
    <row r="548" spans="5:25" ht="11.25" customHeight="1" x14ac:dyDescent="0.2">
      <c r="E548" s="563"/>
      <c r="F548" s="563"/>
      <c r="G548" s="562"/>
      <c r="K548" s="562"/>
      <c r="L548" s="562"/>
      <c r="V548" s="562"/>
      <c r="X548" s="562"/>
      <c r="Y548" s="562"/>
    </row>
    <row r="549" spans="5:25" ht="11.25" customHeight="1" x14ac:dyDescent="0.2">
      <c r="E549" s="563"/>
      <c r="F549" s="563"/>
      <c r="G549" s="562"/>
      <c r="K549" s="562"/>
      <c r="L549" s="562"/>
      <c r="V549" s="562"/>
      <c r="X549" s="562"/>
      <c r="Y549" s="562"/>
    </row>
    <row r="550" spans="5:25" ht="11.25" customHeight="1" x14ac:dyDescent="0.2">
      <c r="E550" s="563"/>
      <c r="F550" s="563"/>
      <c r="G550" s="562"/>
      <c r="K550" s="562"/>
      <c r="L550" s="562"/>
      <c r="V550" s="562"/>
      <c r="X550" s="562"/>
      <c r="Y550" s="562"/>
    </row>
    <row r="551" spans="5:25" ht="11.25" customHeight="1" x14ac:dyDescent="0.2">
      <c r="E551" s="563"/>
      <c r="F551" s="563"/>
      <c r="G551" s="562"/>
      <c r="K551" s="562"/>
      <c r="L551" s="562"/>
      <c r="V551" s="562"/>
      <c r="X551" s="562"/>
      <c r="Y551" s="562"/>
    </row>
    <row r="552" spans="5:25" ht="11.25" customHeight="1" x14ac:dyDescent="0.2">
      <c r="E552" s="563"/>
      <c r="F552" s="563"/>
      <c r="G552" s="562"/>
      <c r="K552" s="562"/>
      <c r="L552" s="562"/>
      <c r="V552" s="562"/>
      <c r="X552" s="562"/>
      <c r="Y552" s="562"/>
    </row>
    <row r="553" spans="5:25" ht="11.25" customHeight="1" x14ac:dyDescent="0.2">
      <c r="E553" s="563"/>
      <c r="F553" s="563"/>
      <c r="G553" s="562"/>
      <c r="K553" s="562"/>
      <c r="L553" s="562"/>
      <c r="V553" s="562"/>
      <c r="X553" s="562"/>
      <c r="Y553" s="562"/>
    </row>
    <row r="554" spans="5:25" ht="11.25" customHeight="1" x14ac:dyDescent="0.2">
      <c r="E554" s="563"/>
      <c r="F554" s="563"/>
      <c r="G554" s="562"/>
      <c r="K554" s="562"/>
      <c r="L554" s="562"/>
      <c r="V554" s="562"/>
      <c r="X554" s="562"/>
      <c r="Y554" s="562"/>
    </row>
    <row r="555" spans="5:25" ht="11.25" customHeight="1" x14ac:dyDescent="0.2">
      <c r="E555" s="563"/>
      <c r="F555" s="563"/>
      <c r="G555" s="562"/>
      <c r="K555" s="562"/>
      <c r="L555" s="562"/>
      <c r="V555" s="562"/>
      <c r="X555" s="562"/>
      <c r="Y555" s="562"/>
    </row>
    <row r="556" spans="5:25" ht="11.25" customHeight="1" x14ac:dyDescent="0.2">
      <c r="E556" s="563"/>
      <c r="F556" s="563"/>
      <c r="G556" s="562"/>
      <c r="K556" s="562"/>
      <c r="L556" s="562"/>
      <c r="V556" s="562"/>
      <c r="X556" s="562"/>
      <c r="Y556" s="562"/>
    </row>
    <row r="557" spans="5:25" ht="11.25" customHeight="1" x14ac:dyDescent="0.2">
      <c r="E557" s="563"/>
      <c r="F557" s="563"/>
      <c r="G557" s="562"/>
      <c r="K557" s="562"/>
      <c r="L557" s="562"/>
      <c r="V557" s="562"/>
      <c r="X557" s="562"/>
      <c r="Y557" s="562"/>
    </row>
    <row r="558" spans="5:25" ht="11.25" customHeight="1" x14ac:dyDescent="0.2">
      <c r="E558" s="563"/>
      <c r="F558" s="563"/>
      <c r="G558" s="562"/>
      <c r="K558" s="562"/>
      <c r="L558" s="562"/>
      <c r="V558" s="562"/>
      <c r="X558" s="562"/>
      <c r="Y558" s="562"/>
    </row>
    <row r="559" spans="5:25" ht="11.25" customHeight="1" x14ac:dyDescent="0.2">
      <c r="E559" s="563"/>
      <c r="F559" s="563"/>
      <c r="G559" s="562"/>
      <c r="K559" s="562"/>
      <c r="L559" s="562"/>
      <c r="V559" s="562"/>
      <c r="X559" s="562"/>
      <c r="Y559" s="562"/>
    </row>
    <row r="560" spans="5:25" ht="11.25" customHeight="1" x14ac:dyDescent="0.2">
      <c r="E560" s="563"/>
      <c r="F560" s="563"/>
      <c r="G560" s="562"/>
      <c r="K560" s="562"/>
      <c r="L560" s="562"/>
      <c r="V560" s="562"/>
      <c r="X560" s="562"/>
      <c r="Y560" s="562"/>
    </row>
    <row r="561" spans="5:25" ht="11.25" customHeight="1" x14ac:dyDescent="0.2">
      <c r="E561" s="563"/>
      <c r="F561" s="563"/>
      <c r="G561" s="562"/>
      <c r="K561" s="562"/>
      <c r="L561" s="562"/>
      <c r="V561" s="562"/>
      <c r="X561" s="562"/>
      <c r="Y561" s="562"/>
    </row>
    <row r="562" spans="5:25" ht="11.25" customHeight="1" x14ac:dyDescent="0.2">
      <c r="E562" s="563"/>
      <c r="F562" s="563"/>
      <c r="G562" s="562"/>
      <c r="K562" s="562"/>
      <c r="L562" s="562"/>
      <c r="V562" s="562"/>
      <c r="X562" s="562"/>
      <c r="Y562" s="562"/>
    </row>
    <row r="563" spans="5:25" ht="11.25" customHeight="1" x14ac:dyDescent="0.2">
      <c r="E563" s="563"/>
      <c r="F563" s="563"/>
      <c r="G563" s="562"/>
      <c r="K563" s="562"/>
      <c r="L563" s="562"/>
      <c r="V563" s="562"/>
      <c r="X563" s="562"/>
      <c r="Y563" s="562"/>
    </row>
    <row r="564" spans="5:25" ht="11.25" customHeight="1" x14ac:dyDescent="0.2">
      <c r="E564" s="563"/>
      <c r="F564" s="563"/>
      <c r="G564" s="562"/>
      <c r="K564" s="562"/>
      <c r="L564" s="562"/>
      <c r="V564" s="562"/>
      <c r="X564" s="562"/>
      <c r="Y564" s="562"/>
    </row>
    <row r="565" spans="5:25" ht="11.25" customHeight="1" x14ac:dyDescent="0.2">
      <c r="E565" s="563"/>
      <c r="F565" s="563"/>
      <c r="G565" s="562"/>
      <c r="K565" s="562"/>
      <c r="L565" s="562"/>
      <c r="V565" s="562"/>
      <c r="X565" s="562"/>
      <c r="Y565" s="562"/>
    </row>
    <row r="566" spans="5:25" ht="11.25" customHeight="1" x14ac:dyDescent="0.2">
      <c r="E566" s="563"/>
      <c r="F566" s="563"/>
      <c r="G566" s="562"/>
      <c r="K566" s="562"/>
      <c r="L566" s="562"/>
      <c r="V566" s="562"/>
      <c r="X566" s="562"/>
      <c r="Y566" s="562"/>
    </row>
    <row r="567" spans="5:25" ht="11.25" customHeight="1" x14ac:dyDescent="0.2">
      <c r="E567" s="563"/>
      <c r="F567" s="563"/>
      <c r="G567" s="562"/>
      <c r="K567" s="562"/>
      <c r="L567" s="562"/>
      <c r="V567" s="562"/>
      <c r="X567" s="562"/>
      <c r="Y567" s="562"/>
    </row>
    <row r="568" spans="5:25" ht="11.25" customHeight="1" x14ac:dyDescent="0.2">
      <c r="E568" s="563"/>
      <c r="F568" s="563"/>
      <c r="G568" s="562"/>
      <c r="K568" s="562"/>
      <c r="L568" s="562"/>
      <c r="V568" s="562"/>
      <c r="X568" s="562"/>
      <c r="Y568" s="562"/>
    </row>
    <row r="569" spans="5:25" ht="11.25" customHeight="1" x14ac:dyDescent="0.2">
      <c r="E569" s="563"/>
      <c r="F569" s="563"/>
      <c r="G569" s="562"/>
      <c r="K569" s="562"/>
      <c r="L569" s="562"/>
      <c r="V569" s="562"/>
      <c r="X569" s="562"/>
      <c r="Y569" s="562"/>
    </row>
    <row r="570" spans="5:25" ht="11.25" customHeight="1" x14ac:dyDescent="0.2">
      <c r="E570" s="563"/>
      <c r="F570" s="563"/>
      <c r="G570" s="562"/>
      <c r="K570" s="562"/>
      <c r="L570" s="562"/>
      <c r="V570" s="562"/>
      <c r="X570" s="562"/>
      <c r="Y570" s="562"/>
    </row>
    <row r="571" spans="5:25" ht="11.25" customHeight="1" x14ac:dyDescent="0.2">
      <c r="E571" s="563"/>
      <c r="F571" s="563"/>
      <c r="G571" s="562"/>
      <c r="K571" s="562"/>
      <c r="L571" s="562"/>
      <c r="V571" s="562"/>
      <c r="X571" s="562"/>
      <c r="Y571" s="562"/>
    </row>
    <row r="572" spans="5:25" ht="11.25" customHeight="1" x14ac:dyDescent="0.2">
      <c r="E572" s="563"/>
      <c r="F572" s="563"/>
      <c r="G572" s="562"/>
      <c r="K572" s="562"/>
      <c r="L572" s="562"/>
      <c r="V572" s="562"/>
      <c r="X572" s="562"/>
      <c r="Y572" s="562"/>
    </row>
    <row r="573" spans="5:25" ht="11.25" customHeight="1" x14ac:dyDescent="0.2">
      <c r="E573" s="563"/>
      <c r="F573" s="563"/>
      <c r="G573" s="562"/>
      <c r="K573" s="562"/>
      <c r="L573" s="562"/>
      <c r="V573" s="562"/>
      <c r="X573" s="562"/>
      <c r="Y573" s="562"/>
    </row>
    <row r="574" spans="5:25" ht="11.25" customHeight="1" x14ac:dyDescent="0.2">
      <c r="E574" s="563"/>
      <c r="F574" s="563"/>
      <c r="G574" s="562"/>
      <c r="K574" s="562"/>
      <c r="L574" s="562"/>
      <c r="V574" s="562"/>
      <c r="X574" s="562"/>
      <c r="Y574" s="562"/>
    </row>
    <row r="575" spans="5:25" ht="11.25" customHeight="1" x14ac:dyDescent="0.2">
      <c r="E575" s="563"/>
      <c r="F575" s="563"/>
      <c r="G575" s="562"/>
      <c r="K575" s="562"/>
      <c r="L575" s="562"/>
      <c r="V575" s="562"/>
      <c r="X575" s="562"/>
      <c r="Y575" s="562"/>
    </row>
    <row r="576" spans="5:25" ht="11.25" customHeight="1" x14ac:dyDescent="0.2">
      <c r="E576" s="563"/>
      <c r="F576" s="563"/>
      <c r="G576" s="562"/>
      <c r="K576" s="562"/>
      <c r="L576" s="562"/>
      <c r="V576" s="562"/>
      <c r="X576" s="562"/>
      <c r="Y576" s="562"/>
    </row>
    <row r="577" spans="5:25" ht="11.25" customHeight="1" x14ac:dyDescent="0.2">
      <c r="E577" s="563"/>
      <c r="F577" s="563"/>
      <c r="G577" s="562"/>
      <c r="K577" s="562"/>
      <c r="L577" s="562"/>
      <c r="V577" s="562"/>
      <c r="X577" s="562"/>
      <c r="Y577" s="562"/>
    </row>
    <row r="578" spans="5:25" ht="11.25" customHeight="1" x14ac:dyDescent="0.2">
      <c r="E578" s="563"/>
      <c r="F578" s="563"/>
      <c r="G578" s="562"/>
      <c r="K578" s="562"/>
      <c r="L578" s="562"/>
      <c r="V578" s="562"/>
      <c r="X578" s="562"/>
      <c r="Y578" s="562"/>
    </row>
    <row r="579" spans="5:25" ht="11.25" customHeight="1" x14ac:dyDescent="0.2">
      <c r="E579" s="563"/>
      <c r="F579" s="563"/>
      <c r="G579" s="562"/>
      <c r="K579" s="562"/>
      <c r="L579" s="562"/>
      <c r="V579" s="562"/>
      <c r="X579" s="562"/>
      <c r="Y579" s="562"/>
    </row>
    <row r="580" spans="5:25" ht="11.25" customHeight="1" x14ac:dyDescent="0.2">
      <c r="E580" s="563"/>
      <c r="F580" s="563"/>
      <c r="G580" s="562"/>
      <c r="K580" s="562"/>
      <c r="L580" s="562"/>
      <c r="V580" s="562"/>
      <c r="X580" s="562"/>
      <c r="Y580" s="562"/>
    </row>
    <row r="581" spans="5:25" ht="11.25" customHeight="1" x14ac:dyDescent="0.2">
      <c r="E581" s="563"/>
      <c r="F581" s="563"/>
      <c r="G581" s="562"/>
      <c r="K581" s="562"/>
      <c r="L581" s="562"/>
      <c r="V581" s="562"/>
      <c r="X581" s="562"/>
      <c r="Y581" s="562"/>
    </row>
    <row r="582" spans="5:25" ht="11.25" customHeight="1" x14ac:dyDescent="0.2">
      <c r="E582" s="563"/>
      <c r="F582" s="563"/>
      <c r="G582" s="562"/>
      <c r="K582" s="562"/>
      <c r="L582" s="562"/>
      <c r="V582" s="562"/>
      <c r="X582" s="562"/>
      <c r="Y582" s="562"/>
    </row>
    <row r="583" spans="5:25" ht="11.25" customHeight="1" x14ac:dyDescent="0.2">
      <c r="E583" s="563"/>
      <c r="F583" s="563"/>
      <c r="G583" s="562"/>
      <c r="K583" s="562"/>
      <c r="L583" s="562"/>
      <c r="V583" s="562"/>
      <c r="X583" s="562"/>
      <c r="Y583" s="562"/>
    </row>
    <row r="584" spans="5:25" ht="11.25" customHeight="1" x14ac:dyDescent="0.2">
      <c r="E584" s="563"/>
      <c r="F584" s="563"/>
      <c r="G584" s="562"/>
      <c r="K584" s="562"/>
      <c r="L584" s="562"/>
      <c r="V584" s="562"/>
      <c r="X584" s="562"/>
      <c r="Y584" s="562"/>
    </row>
    <row r="585" spans="5:25" ht="11.25" customHeight="1" x14ac:dyDescent="0.2">
      <c r="E585" s="563"/>
      <c r="F585" s="563"/>
      <c r="G585" s="562"/>
      <c r="K585" s="562"/>
      <c r="L585" s="562"/>
      <c r="V585" s="562"/>
      <c r="X585" s="562"/>
      <c r="Y585" s="562"/>
    </row>
    <row r="586" spans="5:25" ht="11.25" customHeight="1" x14ac:dyDescent="0.2">
      <c r="E586" s="563"/>
      <c r="F586" s="563"/>
      <c r="G586" s="562"/>
      <c r="K586" s="562"/>
      <c r="L586" s="562"/>
      <c r="V586" s="562"/>
      <c r="X586" s="562"/>
      <c r="Y586" s="562"/>
    </row>
    <row r="587" spans="5:25" ht="11.25" customHeight="1" x14ac:dyDescent="0.2">
      <c r="E587" s="563"/>
      <c r="F587" s="563"/>
      <c r="G587" s="562"/>
      <c r="K587" s="562"/>
      <c r="L587" s="562"/>
      <c r="V587" s="562"/>
      <c r="X587" s="562"/>
      <c r="Y587" s="562"/>
    </row>
    <row r="588" spans="5:25" x14ac:dyDescent="0.2">
      <c r="E588" s="563"/>
      <c r="F588" s="563"/>
      <c r="G588" s="562"/>
      <c r="K588" s="562"/>
      <c r="L588" s="562"/>
      <c r="V588" s="562"/>
      <c r="X588" s="562"/>
      <c r="Y588" s="562"/>
    </row>
    <row r="589" spans="5:25" x14ac:dyDescent="0.2">
      <c r="E589" s="563"/>
      <c r="F589" s="563"/>
      <c r="G589" s="562"/>
      <c r="K589" s="562"/>
      <c r="L589" s="562"/>
      <c r="V589" s="562"/>
      <c r="X589" s="562"/>
      <c r="Y589" s="562"/>
    </row>
    <row r="590" spans="5:25" x14ac:dyDescent="0.2">
      <c r="E590" s="563"/>
      <c r="F590" s="563"/>
      <c r="G590" s="562"/>
      <c r="K590" s="562"/>
      <c r="L590" s="562"/>
      <c r="V590" s="562"/>
      <c r="X590" s="562"/>
      <c r="Y590" s="562"/>
    </row>
    <row r="591" spans="5:25" x14ac:dyDescent="0.2">
      <c r="V591" s="562"/>
      <c r="X591" s="562"/>
      <c r="Y591" s="562"/>
    </row>
    <row r="592" spans="5:25" x14ac:dyDescent="0.2">
      <c r="V592" s="562"/>
      <c r="X592" s="562"/>
      <c r="Y592" s="562"/>
    </row>
    <row r="593" spans="22:25" x14ac:dyDescent="0.2">
      <c r="V593" s="562"/>
      <c r="X593" s="562"/>
      <c r="Y593" s="562"/>
    </row>
    <row r="594" spans="22:25" x14ac:dyDescent="0.2">
      <c r="V594" s="562"/>
      <c r="X594" s="562"/>
      <c r="Y594" s="562"/>
    </row>
    <row r="595" spans="22:25" x14ac:dyDescent="0.2">
      <c r="V595" s="562"/>
      <c r="X595" s="562"/>
      <c r="Y595" s="562"/>
    </row>
    <row r="596" spans="22:25" x14ac:dyDescent="0.2">
      <c r="V596" s="562"/>
      <c r="X596" s="562"/>
      <c r="Y596" s="562"/>
    </row>
    <row r="597" spans="22:25" x14ac:dyDescent="0.2">
      <c r="V597" s="562"/>
      <c r="X597" s="562"/>
      <c r="Y597" s="562"/>
    </row>
    <row r="598" spans="22:25" x14ac:dyDescent="0.2">
      <c r="V598" s="562"/>
      <c r="X598" s="562"/>
      <c r="Y598" s="562"/>
    </row>
    <row r="599" spans="22:25" x14ac:dyDescent="0.2">
      <c r="V599" s="562"/>
      <c r="X599" s="562"/>
      <c r="Y599" s="562"/>
    </row>
    <row r="600" spans="22:25" x14ac:dyDescent="0.2">
      <c r="V600" s="562"/>
      <c r="X600" s="562"/>
      <c r="Y600" s="562"/>
    </row>
    <row r="601" spans="22:25" x14ac:dyDescent="0.2">
      <c r="V601" s="562"/>
      <c r="X601" s="562"/>
      <c r="Y601" s="562"/>
    </row>
    <row r="602" spans="22:25" x14ac:dyDescent="0.2">
      <c r="V602" s="562"/>
      <c r="X602" s="562"/>
      <c r="Y602" s="562"/>
    </row>
    <row r="603" spans="22:25" x14ac:dyDescent="0.2">
      <c r="V603" s="562"/>
      <c r="X603" s="562"/>
      <c r="Y603" s="562"/>
    </row>
    <row r="604" spans="22:25" x14ac:dyDescent="0.2">
      <c r="V604" s="562"/>
      <c r="X604" s="562"/>
      <c r="Y604" s="562"/>
    </row>
    <row r="605" spans="22:25" x14ac:dyDescent="0.2">
      <c r="V605" s="562"/>
      <c r="X605" s="562"/>
      <c r="Y605" s="562"/>
    </row>
    <row r="606" spans="22:25" x14ac:dyDescent="0.2">
      <c r="V606" s="562"/>
      <c r="X606" s="562"/>
      <c r="Y606" s="562"/>
    </row>
    <row r="607" spans="22:25" x14ac:dyDescent="0.2">
      <c r="V607" s="562"/>
      <c r="X607" s="562"/>
      <c r="Y607" s="562"/>
    </row>
    <row r="608" spans="22:25" x14ac:dyDescent="0.2">
      <c r="V608" s="562"/>
      <c r="X608" s="562"/>
      <c r="Y608" s="562"/>
    </row>
    <row r="609" spans="22:25" x14ac:dyDescent="0.2">
      <c r="V609" s="562"/>
      <c r="X609" s="562"/>
      <c r="Y609" s="562"/>
    </row>
    <row r="610" spans="22:25" x14ac:dyDescent="0.2">
      <c r="V610" s="562"/>
      <c r="X610" s="562"/>
      <c r="Y610" s="562"/>
    </row>
    <row r="611" spans="22:25" x14ac:dyDescent="0.2">
      <c r="V611" s="562"/>
      <c r="X611" s="562"/>
      <c r="Y611" s="562"/>
    </row>
    <row r="612" spans="22:25" x14ac:dyDescent="0.2">
      <c r="V612" s="562"/>
      <c r="X612" s="562"/>
      <c r="Y612" s="562"/>
    </row>
    <row r="613" spans="22:25" x14ac:dyDescent="0.2">
      <c r="V613" s="562"/>
      <c r="X613" s="562"/>
      <c r="Y613" s="562"/>
    </row>
    <row r="614" spans="22:25" x14ac:dyDescent="0.2">
      <c r="V614" s="562"/>
      <c r="X614" s="562"/>
      <c r="Y614" s="562"/>
    </row>
    <row r="615" spans="22:25" x14ac:dyDescent="0.2">
      <c r="V615" s="562"/>
      <c r="X615" s="562"/>
      <c r="Y615" s="562"/>
    </row>
    <row r="616" spans="22:25" x14ac:dyDescent="0.2">
      <c r="V616" s="562"/>
      <c r="X616" s="562"/>
      <c r="Y616" s="562"/>
    </row>
    <row r="617" spans="22:25" x14ac:dyDescent="0.2">
      <c r="V617" s="562"/>
      <c r="X617" s="562"/>
      <c r="Y617" s="562"/>
    </row>
    <row r="618" spans="22:25" x14ac:dyDescent="0.2">
      <c r="V618" s="562"/>
      <c r="X618" s="562"/>
      <c r="Y618" s="562"/>
    </row>
    <row r="619" spans="22:25" x14ac:dyDescent="0.2">
      <c r="V619" s="562"/>
      <c r="X619" s="562"/>
      <c r="Y619" s="562"/>
    </row>
    <row r="620" spans="22:25" x14ac:dyDescent="0.2">
      <c r="V620" s="562"/>
      <c r="X620" s="562"/>
      <c r="Y620" s="562"/>
    </row>
    <row r="621" spans="22:25" x14ac:dyDescent="0.2">
      <c r="V621" s="562"/>
      <c r="X621" s="562"/>
      <c r="Y621" s="562"/>
    </row>
    <row r="622" spans="22:25" x14ac:dyDescent="0.2">
      <c r="V622" s="562"/>
      <c r="X622" s="562"/>
      <c r="Y622" s="562"/>
    </row>
    <row r="623" spans="22:25" x14ac:dyDescent="0.2">
      <c r="V623" s="562"/>
      <c r="X623" s="562"/>
      <c r="Y623" s="562"/>
    </row>
    <row r="624" spans="22:25" x14ac:dyDescent="0.2">
      <c r="V624" s="562"/>
      <c r="X624" s="562"/>
      <c r="Y624" s="562"/>
    </row>
    <row r="625" spans="22:25" x14ac:dyDescent="0.2">
      <c r="V625" s="562"/>
      <c r="X625" s="562"/>
      <c r="Y625" s="562"/>
    </row>
    <row r="626" spans="22:25" x14ac:dyDescent="0.2">
      <c r="V626" s="562"/>
      <c r="X626" s="562"/>
      <c r="Y626" s="562"/>
    </row>
    <row r="627" spans="22:25" x14ac:dyDescent="0.2">
      <c r="V627" s="562"/>
      <c r="X627" s="562"/>
      <c r="Y627" s="562"/>
    </row>
    <row r="628" spans="22:25" x14ac:dyDescent="0.2">
      <c r="V628" s="562"/>
      <c r="X628" s="562"/>
      <c r="Y628" s="562"/>
    </row>
    <row r="629" spans="22:25" x14ac:dyDescent="0.2">
      <c r="V629" s="562"/>
      <c r="X629" s="562"/>
      <c r="Y629" s="562"/>
    </row>
    <row r="630" spans="22:25" x14ac:dyDescent="0.2">
      <c r="V630" s="562"/>
      <c r="X630" s="562"/>
      <c r="Y630" s="562"/>
    </row>
    <row r="631" spans="22:25" x14ac:dyDescent="0.2">
      <c r="V631" s="562"/>
      <c r="X631" s="562"/>
      <c r="Y631" s="562"/>
    </row>
    <row r="632" spans="22:25" x14ac:dyDescent="0.2">
      <c r="V632" s="562"/>
      <c r="X632" s="562"/>
      <c r="Y632" s="562"/>
    </row>
    <row r="633" spans="22:25" x14ac:dyDescent="0.2">
      <c r="V633" s="562"/>
      <c r="X633" s="562"/>
      <c r="Y633" s="562"/>
    </row>
    <row r="634" spans="22:25" x14ac:dyDescent="0.2">
      <c r="V634" s="562"/>
      <c r="X634" s="562"/>
      <c r="Y634" s="562"/>
    </row>
    <row r="635" spans="22:25" x14ac:dyDescent="0.2">
      <c r="V635" s="562"/>
      <c r="X635" s="562"/>
      <c r="Y635" s="562"/>
    </row>
    <row r="636" spans="22:25" x14ac:dyDescent="0.2">
      <c r="V636" s="562"/>
      <c r="X636" s="562"/>
      <c r="Y636" s="562"/>
    </row>
    <row r="637" spans="22:25" x14ac:dyDescent="0.2">
      <c r="V637" s="562"/>
      <c r="X637" s="562"/>
      <c r="Y637" s="562"/>
    </row>
    <row r="638" spans="22:25" x14ac:dyDescent="0.2">
      <c r="V638" s="562"/>
      <c r="X638" s="562"/>
      <c r="Y638" s="562"/>
    </row>
    <row r="639" spans="22:25" x14ac:dyDescent="0.2">
      <c r="V639" s="562"/>
      <c r="X639" s="562"/>
      <c r="Y639" s="562"/>
    </row>
    <row r="640" spans="22:25" x14ac:dyDescent="0.2">
      <c r="V640" s="562"/>
      <c r="X640" s="562"/>
      <c r="Y640" s="562"/>
    </row>
    <row r="641" spans="22:25" x14ac:dyDescent="0.2">
      <c r="V641" s="562"/>
      <c r="X641" s="562"/>
      <c r="Y641" s="562"/>
    </row>
    <row r="642" spans="22:25" x14ac:dyDescent="0.2">
      <c r="V642" s="562"/>
      <c r="X642" s="562"/>
      <c r="Y642" s="562"/>
    </row>
    <row r="643" spans="22:25" x14ac:dyDescent="0.2">
      <c r="V643" s="562"/>
      <c r="X643" s="562"/>
      <c r="Y643" s="562"/>
    </row>
    <row r="644" spans="22:25" x14ac:dyDescent="0.2">
      <c r="V644" s="562"/>
      <c r="X644" s="562"/>
      <c r="Y644" s="562"/>
    </row>
    <row r="645" spans="22:25" x14ac:dyDescent="0.2">
      <c r="V645" s="562"/>
      <c r="X645" s="562"/>
      <c r="Y645" s="562"/>
    </row>
    <row r="646" spans="22:25" x14ac:dyDescent="0.2">
      <c r="V646" s="562"/>
      <c r="X646" s="562"/>
      <c r="Y646" s="562"/>
    </row>
    <row r="647" spans="22:25" x14ac:dyDescent="0.2">
      <c r="V647" s="562"/>
      <c r="X647" s="562"/>
      <c r="Y647" s="562"/>
    </row>
    <row r="648" spans="22:25" x14ac:dyDescent="0.2">
      <c r="V648" s="562"/>
      <c r="X648" s="562"/>
      <c r="Y648" s="562"/>
    </row>
    <row r="649" spans="22:25" x14ac:dyDescent="0.2">
      <c r="V649" s="562"/>
      <c r="X649" s="562"/>
      <c r="Y649" s="562"/>
    </row>
    <row r="650" spans="22:25" x14ac:dyDescent="0.2">
      <c r="V650" s="562"/>
      <c r="X650" s="562"/>
      <c r="Y650" s="562"/>
    </row>
    <row r="651" spans="22:25" x14ac:dyDescent="0.2">
      <c r="V651" s="562"/>
      <c r="X651" s="562"/>
      <c r="Y651" s="562"/>
    </row>
    <row r="652" spans="22:25" x14ac:dyDescent="0.2">
      <c r="V652" s="562"/>
      <c r="X652" s="562"/>
      <c r="Y652" s="562"/>
    </row>
    <row r="653" spans="22:25" x14ac:dyDescent="0.2">
      <c r="V653" s="562"/>
      <c r="X653" s="562"/>
      <c r="Y653" s="562"/>
    </row>
    <row r="654" spans="22:25" x14ac:dyDescent="0.2">
      <c r="V654" s="562"/>
      <c r="X654" s="562"/>
      <c r="Y654" s="562"/>
    </row>
    <row r="655" spans="22:25" x14ac:dyDescent="0.2">
      <c r="V655" s="562"/>
      <c r="X655" s="562"/>
      <c r="Y655" s="562"/>
    </row>
    <row r="656" spans="22:25" x14ac:dyDescent="0.2">
      <c r="V656" s="562"/>
      <c r="X656" s="562"/>
      <c r="Y656" s="562"/>
    </row>
    <row r="657" spans="22:25" x14ac:dyDescent="0.2">
      <c r="V657" s="562"/>
      <c r="X657" s="562"/>
      <c r="Y657" s="562"/>
    </row>
    <row r="658" spans="22:25" x14ac:dyDescent="0.2">
      <c r="V658" s="562"/>
      <c r="X658" s="562"/>
      <c r="Y658" s="562"/>
    </row>
    <row r="659" spans="22:25" x14ac:dyDescent="0.2">
      <c r="V659" s="562"/>
      <c r="X659" s="562"/>
      <c r="Y659" s="562"/>
    </row>
    <row r="660" spans="22:25" x14ac:dyDescent="0.2">
      <c r="V660" s="562"/>
      <c r="X660" s="562"/>
      <c r="Y660" s="562"/>
    </row>
    <row r="661" spans="22:25" x14ac:dyDescent="0.2">
      <c r="V661" s="562"/>
      <c r="X661" s="562"/>
      <c r="Y661" s="562"/>
    </row>
    <row r="662" spans="22:25" x14ac:dyDescent="0.2">
      <c r="V662" s="562"/>
      <c r="X662" s="562"/>
      <c r="Y662" s="562"/>
    </row>
    <row r="663" spans="22:25" x14ac:dyDescent="0.2">
      <c r="V663" s="562"/>
      <c r="X663" s="562"/>
      <c r="Y663" s="562"/>
    </row>
    <row r="664" spans="22:25" x14ac:dyDescent="0.2">
      <c r="V664" s="562"/>
      <c r="X664" s="562"/>
      <c r="Y664" s="562"/>
    </row>
    <row r="665" spans="22:25" x14ac:dyDescent="0.2">
      <c r="V665" s="562"/>
      <c r="X665" s="562"/>
      <c r="Y665" s="562"/>
    </row>
    <row r="666" spans="22:25" x14ac:dyDescent="0.2">
      <c r="V666" s="562"/>
      <c r="X666" s="562"/>
      <c r="Y666" s="562"/>
    </row>
    <row r="667" spans="22:25" x14ac:dyDescent="0.2">
      <c r="V667" s="562"/>
      <c r="X667" s="562"/>
      <c r="Y667" s="562"/>
    </row>
    <row r="668" spans="22:25" x14ac:dyDescent="0.2">
      <c r="V668" s="562"/>
      <c r="X668" s="562"/>
      <c r="Y668" s="562"/>
    </row>
    <row r="669" spans="22:25" x14ac:dyDescent="0.2">
      <c r="V669" s="562"/>
      <c r="X669" s="562"/>
      <c r="Y669" s="562"/>
    </row>
    <row r="670" spans="22:25" x14ac:dyDescent="0.2">
      <c r="V670" s="562"/>
      <c r="X670" s="562"/>
      <c r="Y670" s="562"/>
    </row>
    <row r="671" spans="22:25" x14ac:dyDescent="0.2">
      <c r="V671" s="562"/>
      <c r="X671" s="562"/>
      <c r="Y671" s="562"/>
    </row>
    <row r="672" spans="22:25" x14ac:dyDescent="0.2">
      <c r="V672" s="562"/>
      <c r="X672" s="562"/>
      <c r="Y672" s="562"/>
    </row>
    <row r="673" spans="22:25" x14ac:dyDescent="0.2">
      <c r="V673" s="562"/>
      <c r="X673" s="562"/>
      <c r="Y673" s="562"/>
    </row>
    <row r="674" spans="22:25" x14ac:dyDescent="0.2">
      <c r="V674" s="562"/>
      <c r="X674" s="562"/>
      <c r="Y674" s="562"/>
    </row>
    <row r="675" spans="22:25" x14ac:dyDescent="0.2">
      <c r="V675" s="562"/>
      <c r="X675" s="562"/>
      <c r="Y675" s="562"/>
    </row>
    <row r="676" spans="22:25" x14ac:dyDescent="0.2">
      <c r="V676" s="562"/>
      <c r="X676" s="562"/>
      <c r="Y676" s="562"/>
    </row>
    <row r="677" spans="22:25" x14ac:dyDescent="0.2">
      <c r="V677" s="562"/>
      <c r="X677" s="562"/>
      <c r="Y677" s="562"/>
    </row>
    <row r="678" spans="22:25" x14ac:dyDescent="0.2">
      <c r="V678" s="562"/>
      <c r="X678" s="562"/>
      <c r="Y678" s="562"/>
    </row>
    <row r="679" spans="22:25" x14ac:dyDescent="0.2">
      <c r="V679" s="562"/>
      <c r="X679" s="562"/>
      <c r="Y679" s="562"/>
    </row>
    <row r="680" spans="22:25" x14ac:dyDescent="0.2">
      <c r="V680" s="562"/>
      <c r="X680" s="562"/>
      <c r="Y680" s="562"/>
    </row>
    <row r="681" spans="22:25" x14ac:dyDescent="0.2">
      <c r="V681" s="562"/>
      <c r="X681" s="562"/>
      <c r="Y681" s="562"/>
    </row>
    <row r="682" spans="22:25" x14ac:dyDescent="0.2">
      <c r="V682" s="562"/>
      <c r="X682" s="562"/>
      <c r="Y682" s="562"/>
    </row>
    <row r="683" spans="22:25" x14ac:dyDescent="0.2">
      <c r="V683" s="562"/>
      <c r="X683" s="562"/>
      <c r="Y683" s="562"/>
    </row>
    <row r="684" spans="22:25" x14ac:dyDescent="0.2">
      <c r="V684" s="562"/>
      <c r="X684" s="562"/>
      <c r="Y684" s="562"/>
    </row>
    <row r="685" spans="22:25" x14ac:dyDescent="0.2">
      <c r="V685" s="562"/>
      <c r="X685" s="562"/>
      <c r="Y685" s="562"/>
    </row>
    <row r="686" spans="22:25" x14ac:dyDescent="0.2">
      <c r="V686" s="562"/>
      <c r="X686" s="562"/>
      <c r="Y686" s="562"/>
    </row>
    <row r="687" spans="22:25" x14ac:dyDescent="0.2">
      <c r="V687" s="562"/>
      <c r="X687" s="562"/>
      <c r="Y687" s="562"/>
    </row>
    <row r="688" spans="22:25" x14ac:dyDescent="0.2">
      <c r="V688" s="562"/>
      <c r="X688" s="562"/>
      <c r="Y688" s="562"/>
    </row>
    <row r="689" spans="22:25" x14ac:dyDescent="0.2">
      <c r="V689" s="562"/>
      <c r="X689" s="562"/>
      <c r="Y689" s="562"/>
    </row>
    <row r="690" spans="22:25" x14ac:dyDescent="0.2">
      <c r="V690" s="562"/>
      <c r="X690" s="562"/>
      <c r="Y690" s="562"/>
    </row>
    <row r="691" spans="22:25" x14ac:dyDescent="0.2">
      <c r="V691" s="562"/>
      <c r="X691" s="562"/>
      <c r="Y691" s="562"/>
    </row>
    <row r="692" spans="22:25" x14ac:dyDescent="0.2">
      <c r="V692" s="562"/>
      <c r="X692" s="562"/>
      <c r="Y692" s="562"/>
    </row>
    <row r="693" spans="22:25" x14ac:dyDescent="0.2">
      <c r="V693" s="562"/>
      <c r="X693" s="562"/>
      <c r="Y693" s="562"/>
    </row>
    <row r="694" spans="22:25" x14ac:dyDescent="0.2">
      <c r="V694" s="562"/>
      <c r="X694" s="562"/>
      <c r="Y694" s="562"/>
    </row>
    <row r="695" spans="22:25" x14ac:dyDescent="0.2">
      <c r="V695" s="562"/>
      <c r="X695" s="562"/>
      <c r="Y695" s="562"/>
    </row>
    <row r="696" spans="22:25" x14ac:dyDescent="0.2">
      <c r="V696" s="562"/>
      <c r="X696" s="562"/>
      <c r="Y696" s="562"/>
    </row>
    <row r="697" spans="22:25" x14ac:dyDescent="0.2">
      <c r="V697" s="562"/>
      <c r="X697" s="562"/>
      <c r="Y697" s="562"/>
    </row>
    <row r="698" spans="22:25" x14ac:dyDescent="0.2">
      <c r="V698" s="562"/>
      <c r="X698" s="562"/>
      <c r="Y698" s="562"/>
    </row>
    <row r="699" spans="22:25" x14ac:dyDescent="0.2">
      <c r="V699" s="562"/>
      <c r="X699" s="562"/>
      <c r="Y699" s="562"/>
    </row>
    <row r="700" spans="22:25" x14ac:dyDescent="0.2">
      <c r="V700" s="562"/>
      <c r="X700" s="562"/>
      <c r="Y700" s="562"/>
    </row>
    <row r="701" spans="22:25" x14ac:dyDescent="0.2">
      <c r="V701" s="562"/>
      <c r="X701" s="562"/>
      <c r="Y701" s="562"/>
    </row>
    <row r="702" spans="22:25" x14ac:dyDescent="0.2">
      <c r="V702" s="562"/>
      <c r="X702" s="562"/>
      <c r="Y702" s="562"/>
    </row>
    <row r="703" spans="22:25" x14ac:dyDescent="0.2">
      <c r="V703" s="562"/>
      <c r="X703" s="562"/>
      <c r="Y703" s="562"/>
    </row>
    <row r="704" spans="22:25" x14ac:dyDescent="0.2">
      <c r="V704" s="562"/>
      <c r="X704" s="562"/>
      <c r="Y704" s="562"/>
    </row>
    <row r="705" spans="22:25" x14ac:dyDescent="0.2">
      <c r="V705" s="562"/>
      <c r="X705" s="562"/>
      <c r="Y705" s="562"/>
    </row>
    <row r="706" spans="22:25" x14ac:dyDescent="0.2">
      <c r="V706" s="562"/>
      <c r="X706" s="562"/>
      <c r="Y706" s="562"/>
    </row>
    <row r="707" spans="22:25" x14ac:dyDescent="0.2">
      <c r="V707" s="562"/>
      <c r="X707" s="562"/>
      <c r="Y707" s="562"/>
    </row>
    <row r="708" spans="22:25" x14ac:dyDescent="0.2">
      <c r="V708" s="562"/>
      <c r="X708" s="562"/>
      <c r="Y708" s="562"/>
    </row>
    <row r="709" spans="22:25" x14ac:dyDescent="0.2">
      <c r="V709" s="562"/>
      <c r="X709" s="562"/>
      <c r="Y709" s="562"/>
    </row>
    <row r="710" spans="22:25" x14ac:dyDescent="0.2">
      <c r="V710" s="562"/>
      <c r="X710" s="562"/>
      <c r="Y710" s="562"/>
    </row>
    <row r="711" spans="22:25" x14ac:dyDescent="0.2">
      <c r="V711" s="562"/>
      <c r="X711" s="562"/>
      <c r="Y711" s="562"/>
    </row>
    <row r="712" spans="22:25" x14ac:dyDescent="0.2">
      <c r="V712" s="562"/>
      <c r="X712" s="562"/>
      <c r="Y712" s="562"/>
    </row>
    <row r="713" spans="22:25" x14ac:dyDescent="0.2">
      <c r="V713" s="562"/>
      <c r="X713" s="562"/>
      <c r="Y713" s="562"/>
    </row>
    <row r="714" spans="22:25" x14ac:dyDescent="0.2">
      <c r="V714" s="562"/>
      <c r="X714" s="562"/>
      <c r="Y714" s="562"/>
    </row>
    <row r="715" spans="22:25" x14ac:dyDescent="0.2">
      <c r="V715" s="562"/>
      <c r="X715" s="562"/>
      <c r="Y715" s="562"/>
    </row>
    <row r="716" spans="22:25" x14ac:dyDescent="0.2">
      <c r="V716" s="562"/>
      <c r="X716" s="562"/>
      <c r="Y716" s="562"/>
    </row>
    <row r="717" spans="22:25" x14ac:dyDescent="0.2">
      <c r="V717" s="562"/>
      <c r="X717" s="562"/>
      <c r="Y717" s="562"/>
    </row>
    <row r="718" spans="22:25" x14ac:dyDescent="0.2">
      <c r="V718" s="562"/>
      <c r="X718" s="562"/>
      <c r="Y718" s="562"/>
    </row>
    <row r="719" spans="22:25" x14ac:dyDescent="0.2">
      <c r="V719" s="562"/>
      <c r="X719" s="562"/>
      <c r="Y719" s="562"/>
    </row>
    <row r="720" spans="22:25" x14ac:dyDescent="0.2">
      <c r="V720" s="562"/>
      <c r="X720" s="562"/>
      <c r="Y720" s="562"/>
    </row>
    <row r="721" spans="22:25" x14ac:dyDescent="0.2">
      <c r="V721" s="562"/>
      <c r="X721" s="562"/>
      <c r="Y721" s="562"/>
    </row>
    <row r="722" spans="22:25" x14ac:dyDescent="0.2">
      <c r="V722" s="562"/>
      <c r="X722" s="562"/>
      <c r="Y722" s="562"/>
    </row>
    <row r="723" spans="22:25" x14ac:dyDescent="0.2">
      <c r="V723" s="562"/>
      <c r="X723" s="562"/>
      <c r="Y723" s="562"/>
    </row>
    <row r="724" spans="22:25" x14ac:dyDescent="0.2">
      <c r="V724" s="562"/>
      <c r="X724" s="562"/>
      <c r="Y724" s="562"/>
    </row>
    <row r="725" spans="22:25" x14ac:dyDescent="0.2">
      <c r="V725" s="562"/>
      <c r="X725" s="562"/>
      <c r="Y725" s="562"/>
    </row>
    <row r="726" spans="22:25" x14ac:dyDescent="0.2">
      <c r="V726" s="562"/>
      <c r="X726" s="562"/>
      <c r="Y726" s="562"/>
    </row>
    <row r="727" spans="22:25" x14ac:dyDescent="0.2">
      <c r="V727" s="562"/>
      <c r="X727" s="562"/>
      <c r="Y727" s="562"/>
    </row>
    <row r="728" spans="22:25" x14ac:dyDescent="0.2">
      <c r="V728" s="562"/>
      <c r="X728" s="562"/>
      <c r="Y728" s="562"/>
    </row>
    <row r="729" spans="22:25" x14ac:dyDescent="0.2">
      <c r="V729" s="562"/>
      <c r="X729" s="562"/>
      <c r="Y729" s="562"/>
    </row>
    <row r="730" spans="22:25" x14ac:dyDescent="0.2">
      <c r="V730" s="562"/>
      <c r="X730" s="562"/>
      <c r="Y730" s="562"/>
    </row>
    <row r="731" spans="22:25" x14ac:dyDescent="0.2">
      <c r="V731" s="562"/>
      <c r="X731" s="562"/>
      <c r="Y731" s="562"/>
    </row>
    <row r="732" spans="22:25" x14ac:dyDescent="0.2">
      <c r="V732" s="562"/>
      <c r="X732" s="562"/>
      <c r="Y732" s="562"/>
    </row>
    <row r="733" spans="22:25" x14ac:dyDescent="0.2">
      <c r="V733" s="562"/>
      <c r="X733" s="562"/>
      <c r="Y733" s="562"/>
    </row>
    <row r="734" spans="22:25" x14ac:dyDescent="0.2">
      <c r="V734" s="562"/>
      <c r="X734" s="562"/>
      <c r="Y734" s="562"/>
    </row>
    <row r="735" spans="22:25" x14ac:dyDescent="0.2">
      <c r="V735" s="562"/>
      <c r="X735" s="562"/>
      <c r="Y735" s="562"/>
    </row>
    <row r="736" spans="22:25" x14ac:dyDescent="0.2">
      <c r="V736" s="562"/>
      <c r="X736" s="562"/>
      <c r="Y736" s="562"/>
    </row>
    <row r="737" spans="22:25" x14ac:dyDescent="0.2">
      <c r="V737" s="562"/>
      <c r="X737" s="562"/>
      <c r="Y737" s="562"/>
    </row>
    <row r="738" spans="22:25" x14ac:dyDescent="0.2">
      <c r="V738" s="562"/>
      <c r="X738" s="562"/>
      <c r="Y738" s="562"/>
    </row>
    <row r="739" spans="22:25" x14ac:dyDescent="0.2">
      <c r="V739" s="562"/>
      <c r="X739" s="562"/>
      <c r="Y739" s="562"/>
    </row>
    <row r="740" spans="22:25" x14ac:dyDescent="0.2">
      <c r="V740" s="562"/>
      <c r="X740" s="562"/>
      <c r="Y740" s="562"/>
    </row>
    <row r="741" spans="22:25" x14ac:dyDescent="0.2">
      <c r="V741" s="562"/>
      <c r="X741" s="562"/>
      <c r="Y741" s="562"/>
    </row>
    <row r="742" spans="22:25" x14ac:dyDescent="0.2">
      <c r="V742" s="562"/>
      <c r="X742" s="562"/>
      <c r="Y742" s="562"/>
    </row>
    <row r="743" spans="22:25" x14ac:dyDescent="0.2">
      <c r="V743" s="562"/>
      <c r="X743" s="562"/>
      <c r="Y743" s="562"/>
    </row>
    <row r="744" spans="22:25" x14ac:dyDescent="0.2">
      <c r="V744" s="562"/>
      <c r="X744" s="562"/>
      <c r="Y744" s="562"/>
    </row>
    <row r="745" spans="22:25" x14ac:dyDescent="0.2">
      <c r="V745" s="562"/>
      <c r="X745" s="562"/>
      <c r="Y745" s="562"/>
    </row>
    <row r="746" spans="22:25" x14ac:dyDescent="0.2">
      <c r="V746" s="562"/>
      <c r="X746" s="562"/>
      <c r="Y746" s="562"/>
    </row>
    <row r="747" spans="22:25" x14ac:dyDescent="0.2">
      <c r="V747" s="562"/>
      <c r="X747" s="562"/>
      <c r="Y747" s="562"/>
    </row>
    <row r="748" spans="22:25" x14ac:dyDescent="0.2">
      <c r="V748" s="562"/>
      <c r="X748" s="562"/>
      <c r="Y748" s="562"/>
    </row>
    <row r="749" spans="22:25" x14ac:dyDescent="0.2">
      <c r="V749" s="562"/>
      <c r="X749" s="562"/>
      <c r="Y749" s="562"/>
    </row>
    <row r="750" spans="22:25" x14ac:dyDescent="0.2">
      <c r="V750" s="562"/>
      <c r="X750" s="562"/>
      <c r="Y750" s="562"/>
    </row>
    <row r="751" spans="22:25" x14ac:dyDescent="0.2">
      <c r="V751" s="562"/>
      <c r="X751" s="562"/>
      <c r="Y751" s="562"/>
    </row>
    <row r="752" spans="22:25" x14ac:dyDescent="0.2">
      <c r="V752" s="562"/>
      <c r="X752" s="562"/>
      <c r="Y752" s="562"/>
    </row>
    <row r="753" spans="22:25" x14ac:dyDescent="0.2">
      <c r="V753" s="562"/>
      <c r="X753" s="562"/>
      <c r="Y753" s="562"/>
    </row>
    <row r="754" spans="22:25" x14ac:dyDescent="0.2">
      <c r="V754" s="562"/>
      <c r="X754" s="562"/>
      <c r="Y754" s="562"/>
    </row>
    <row r="755" spans="22:25" x14ac:dyDescent="0.2">
      <c r="V755" s="562"/>
      <c r="X755" s="562"/>
      <c r="Y755" s="562"/>
    </row>
    <row r="756" spans="22:25" x14ac:dyDescent="0.2">
      <c r="V756" s="562"/>
      <c r="X756" s="562"/>
      <c r="Y756" s="562"/>
    </row>
    <row r="757" spans="22:25" x14ac:dyDescent="0.2">
      <c r="V757" s="562"/>
      <c r="X757" s="562"/>
      <c r="Y757" s="562"/>
    </row>
    <row r="758" spans="22:25" x14ac:dyDescent="0.2">
      <c r="V758" s="562"/>
      <c r="X758" s="562"/>
      <c r="Y758" s="562"/>
    </row>
    <row r="759" spans="22:25" x14ac:dyDescent="0.2">
      <c r="V759" s="562"/>
      <c r="X759" s="562"/>
      <c r="Y759" s="562"/>
    </row>
    <row r="760" spans="22:25" x14ac:dyDescent="0.2">
      <c r="V760" s="562"/>
      <c r="X760" s="562"/>
      <c r="Y760" s="562"/>
    </row>
    <row r="761" spans="22:25" x14ac:dyDescent="0.2">
      <c r="V761" s="562"/>
      <c r="X761" s="562"/>
      <c r="Y761" s="562"/>
    </row>
    <row r="762" spans="22:25" x14ac:dyDescent="0.2">
      <c r="V762" s="562"/>
      <c r="X762" s="562"/>
      <c r="Y762" s="562"/>
    </row>
    <row r="763" spans="22:25" x14ac:dyDescent="0.2">
      <c r="V763" s="562"/>
      <c r="X763" s="562"/>
      <c r="Y763" s="562"/>
    </row>
    <row r="764" spans="22:25" x14ac:dyDescent="0.2">
      <c r="V764" s="562"/>
      <c r="X764" s="562"/>
      <c r="Y764" s="562"/>
    </row>
    <row r="765" spans="22:25" x14ac:dyDescent="0.2">
      <c r="V765" s="562"/>
      <c r="X765" s="562"/>
      <c r="Y765" s="562"/>
    </row>
    <row r="766" spans="22:25" x14ac:dyDescent="0.2">
      <c r="V766" s="562"/>
      <c r="X766" s="562"/>
      <c r="Y766" s="562"/>
    </row>
    <row r="767" spans="22:25" x14ac:dyDescent="0.2">
      <c r="V767" s="562"/>
      <c r="X767" s="562"/>
      <c r="Y767" s="562"/>
    </row>
    <row r="768" spans="22:25" x14ac:dyDescent="0.2">
      <c r="V768" s="562"/>
      <c r="X768" s="562"/>
      <c r="Y768" s="562"/>
    </row>
    <row r="769" spans="22:25" x14ac:dyDescent="0.2">
      <c r="V769" s="562"/>
      <c r="X769" s="562"/>
      <c r="Y769" s="562"/>
    </row>
    <row r="770" spans="22:25" x14ac:dyDescent="0.2">
      <c r="V770" s="562"/>
      <c r="X770" s="562"/>
      <c r="Y770" s="562"/>
    </row>
    <row r="771" spans="22:25" x14ac:dyDescent="0.2">
      <c r="V771" s="562"/>
      <c r="X771" s="562"/>
      <c r="Y771" s="562"/>
    </row>
    <row r="772" spans="22:25" x14ac:dyDescent="0.2">
      <c r="V772" s="562"/>
      <c r="X772" s="562"/>
      <c r="Y772" s="562"/>
    </row>
    <row r="773" spans="22:25" x14ac:dyDescent="0.2">
      <c r="V773" s="562"/>
      <c r="X773" s="562"/>
      <c r="Y773" s="562"/>
    </row>
    <row r="774" spans="22:25" x14ac:dyDescent="0.2">
      <c r="V774" s="562"/>
      <c r="X774" s="562"/>
      <c r="Y774" s="562"/>
    </row>
    <row r="775" spans="22:25" x14ac:dyDescent="0.2">
      <c r="V775" s="562"/>
      <c r="X775" s="562"/>
      <c r="Y775" s="562"/>
    </row>
    <row r="776" spans="22:25" x14ac:dyDescent="0.2">
      <c r="V776" s="562"/>
      <c r="X776" s="562"/>
      <c r="Y776" s="562"/>
    </row>
    <row r="777" spans="22:25" x14ac:dyDescent="0.2">
      <c r="V777" s="562"/>
      <c r="X777" s="562"/>
      <c r="Y777" s="562"/>
    </row>
    <row r="778" spans="22:25" x14ac:dyDescent="0.2">
      <c r="V778" s="562"/>
      <c r="X778" s="562"/>
      <c r="Y778" s="562"/>
    </row>
    <row r="779" spans="22:25" x14ac:dyDescent="0.2">
      <c r="V779" s="562"/>
      <c r="X779" s="562"/>
      <c r="Y779" s="562"/>
    </row>
    <row r="780" spans="22:25" x14ac:dyDescent="0.2">
      <c r="V780" s="562"/>
      <c r="X780" s="562"/>
      <c r="Y780" s="562"/>
    </row>
    <row r="781" spans="22:25" x14ac:dyDescent="0.2">
      <c r="V781" s="562"/>
      <c r="X781" s="562"/>
      <c r="Y781" s="562"/>
    </row>
    <row r="782" spans="22:25" x14ac:dyDescent="0.2">
      <c r="V782" s="562"/>
      <c r="X782" s="562"/>
      <c r="Y782" s="562"/>
    </row>
    <row r="783" spans="22:25" x14ac:dyDescent="0.2">
      <c r="V783" s="562"/>
      <c r="X783" s="562"/>
      <c r="Y783" s="562"/>
    </row>
    <row r="784" spans="22:25" x14ac:dyDescent="0.2">
      <c r="V784" s="562"/>
      <c r="X784" s="562"/>
      <c r="Y784" s="562"/>
    </row>
    <row r="785" spans="22:25" x14ac:dyDescent="0.2">
      <c r="V785" s="562"/>
      <c r="X785" s="562"/>
      <c r="Y785" s="562"/>
    </row>
    <row r="786" spans="22:25" x14ac:dyDescent="0.2">
      <c r="V786" s="562"/>
      <c r="X786" s="562"/>
      <c r="Y786" s="562"/>
    </row>
    <row r="787" spans="22:25" x14ac:dyDescent="0.2">
      <c r="V787" s="562"/>
      <c r="X787" s="562"/>
      <c r="Y787" s="562"/>
    </row>
    <row r="788" spans="22:25" x14ac:dyDescent="0.2">
      <c r="V788" s="562"/>
      <c r="X788" s="562"/>
      <c r="Y788" s="562"/>
    </row>
    <row r="789" spans="22:25" x14ac:dyDescent="0.2">
      <c r="V789" s="562"/>
      <c r="X789" s="562"/>
      <c r="Y789" s="562"/>
    </row>
    <row r="790" spans="22:25" x14ac:dyDescent="0.2">
      <c r="V790" s="562"/>
      <c r="X790" s="562"/>
      <c r="Y790" s="562"/>
    </row>
    <row r="791" spans="22:25" x14ac:dyDescent="0.2">
      <c r="V791" s="562"/>
      <c r="X791" s="562"/>
      <c r="Y791" s="562"/>
    </row>
    <row r="792" spans="22:25" x14ac:dyDescent="0.2">
      <c r="V792" s="562"/>
      <c r="X792" s="562"/>
      <c r="Y792" s="562"/>
    </row>
    <row r="793" spans="22:25" x14ac:dyDescent="0.2">
      <c r="V793" s="562"/>
      <c r="X793" s="562"/>
      <c r="Y793" s="562"/>
    </row>
    <row r="794" spans="22:25" x14ac:dyDescent="0.2">
      <c r="V794" s="562"/>
      <c r="X794" s="562"/>
      <c r="Y794" s="562"/>
    </row>
    <row r="795" spans="22:25" x14ac:dyDescent="0.2">
      <c r="V795" s="562"/>
      <c r="X795" s="562"/>
      <c r="Y795" s="562"/>
    </row>
    <row r="796" spans="22:25" x14ac:dyDescent="0.2">
      <c r="V796" s="562"/>
      <c r="X796" s="562"/>
      <c r="Y796" s="562"/>
    </row>
    <row r="797" spans="22:25" x14ac:dyDescent="0.2">
      <c r="V797" s="562"/>
      <c r="X797" s="562"/>
      <c r="Y797" s="562"/>
    </row>
    <row r="798" spans="22:25" x14ac:dyDescent="0.2">
      <c r="V798" s="562"/>
      <c r="X798" s="562"/>
      <c r="Y798" s="562"/>
    </row>
    <row r="799" spans="22:25" x14ac:dyDescent="0.2">
      <c r="V799" s="562"/>
      <c r="X799" s="562"/>
      <c r="Y799" s="562"/>
    </row>
    <row r="800" spans="22:25" x14ac:dyDescent="0.2">
      <c r="V800" s="562"/>
      <c r="X800" s="562"/>
      <c r="Y800" s="562"/>
    </row>
    <row r="801" spans="22:25" x14ac:dyDescent="0.2">
      <c r="V801" s="562"/>
      <c r="X801" s="562"/>
      <c r="Y801" s="562"/>
    </row>
    <row r="802" spans="22:25" x14ac:dyDescent="0.2">
      <c r="V802" s="562"/>
      <c r="X802" s="562"/>
      <c r="Y802" s="562"/>
    </row>
    <row r="803" spans="22:25" x14ac:dyDescent="0.2">
      <c r="V803" s="562"/>
      <c r="X803" s="562"/>
      <c r="Y803" s="562"/>
    </row>
    <row r="804" spans="22:25" x14ac:dyDescent="0.2">
      <c r="V804" s="562"/>
      <c r="X804" s="562"/>
      <c r="Y804" s="562"/>
    </row>
    <row r="805" spans="22:25" x14ac:dyDescent="0.2">
      <c r="V805" s="562"/>
      <c r="X805" s="562"/>
      <c r="Y805" s="562"/>
    </row>
    <row r="806" spans="22:25" x14ac:dyDescent="0.2">
      <c r="V806" s="562"/>
      <c r="X806" s="562"/>
      <c r="Y806" s="562"/>
    </row>
    <row r="807" spans="22:25" x14ac:dyDescent="0.2">
      <c r="V807" s="562"/>
      <c r="X807" s="562"/>
      <c r="Y807" s="562"/>
    </row>
    <row r="808" spans="22:25" x14ac:dyDescent="0.2">
      <c r="V808" s="562"/>
      <c r="X808" s="562"/>
      <c r="Y808" s="562"/>
    </row>
    <row r="809" spans="22:25" x14ac:dyDescent="0.2">
      <c r="V809" s="562"/>
      <c r="X809" s="562"/>
      <c r="Y809" s="562"/>
    </row>
    <row r="810" spans="22:25" x14ac:dyDescent="0.2">
      <c r="V810" s="562"/>
      <c r="X810" s="562"/>
      <c r="Y810" s="562"/>
    </row>
    <row r="811" spans="22:25" x14ac:dyDescent="0.2">
      <c r="V811" s="562"/>
      <c r="X811" s="562"/>
      <c r="Y811" s="562"/>
    </row>
    <row r="812" spans="22:25" x14ac:dyDescent="0.2">
      <c r="V812" s="562"/>
      <c r="X812" s="562"/>
      <c r="Y812" s="562"/>
    </row>
    <row r="813" spans="22:25" x14ac:dyDescent="0.2">
      <c r="V813" s="562"/>
      <c r="X813" s="562"/>
      <c r="Y813" s="562"/>
    </row>
    <row r="814" spans="22:25" x14ac:dyDescent="0.2">
      <c r="V814" s="562"/>
      <c r="X814" s="562"/>
      <c r="Y814" s="562"/>
    </row>
    <row r="815" spans="22:25" x14ac:dyDescent="0.2">
      <c r="V815" s="562"/>
      <c r="X815" s="562"/>
      <c r="Y815" s="562"/>
    </row>
    <row r="816" spans="22:25" x14ac:dyDescent="0.2">
      <c r="V816" s="562"/>
      <c r="X816" s="562"/>
      <c r="Y816" s="562"/>
    </row>
    <row r="817" spans="22:25" x14ac:dyDescent="0.2">
      <c r="V817" s="562"/>
      <c r="X817" s="562"/>
      <c r="Y817" s="562"/>
    </row>
    <row r="818" spans="22:25" x14ac:dyDescent="0.2">
      <c r="V818" s="562"/>
      <c r="X818" s="562"/>
      <c r="Y818" s="562"/>
    </row>
    <row r="819" spans="22:25" x14ac:dyDescent="0.2">
      <c r="V819" s="562"/>
      <c r="X819" s="562"/>
      <c r="Y819" s="562"/>
    </row>
    <row r="820" spans="22:25" x14ac:dyDescent="0.2">
      <c r="V820" s="562"/>
      <c r="X820" s="562"/>
      <c r="Y820" s="562"/>
    </row>
    <row r="821" spans="22:25" x14ac:dyDescent="0.2">
      <c r="V821" s="562"/>
      <c r="X821" s="562"/>
      <c r="Y821" s="562"/>
    </row>
    <row r="822" spans="22:25" x14ac:dyDescent="0.2">
      <c r="V822" s="562"/>
      <c r="X822" s="562"/>
      <c r="Y822" s="562"/>
    </row>
    <row r="823" spans="22:25" x14ac:dyDescent="0.2">
      <c r="V823" s="562"/>
      <c r="X823" s="562"/>
      <c r="Y823" s="562"/>
    </row>
    <row r="824" spans="22:25" x14ac:dyDescent="0.2">
      <c r="V824" s="562"/>
      <c r="X824" s="562"/>
      <c r="Y824" s="562"/>
    </row>
    <row r="825" spans="22:25" x14ac:dyDescent="0.2">
      <c r="V825" s="562"/>
      <c r="X825" s="562"/>
      <c r="Y825" s="562"/>
    </row>
    <row r="826" spans="22:25" x14ac:dyDescent="0.2">
      <c r="V826" s="562"/>
      <c r="X826" s="562"/>
      <c r="Y826" s="562"/>
    </row>
    <row r="827" spans="22:25" x14ac:dyDescent="0.2">
      <c r="V827" s="562"/>
      <c r="X827" s="562"/>
      <c r="Y827" s="562"/>
    </row>
    <row r="828" spans="22:25" x14ac:dyDescent="0.2">
      <c r="V828" s="562"/>
      <c r="X828" s="562"/>
      <c r="Y828" s="562"/>
    </row>
    <row r="829" spans="22:25" x14ac:dyDescent="0.2">
      <c r="V829" s="562"/>
      <c r="X829" s="562"/>
      <c r="Y829" s="562"/>
    </row>
    <row r="830" spans="22:25" x14ac:dyDescent="0.2">
      <c r="V830" s="562"/>
      <c r="X830" s="562"/>
      <c r="Y830" s="562"/>
    </row>
    <row r="831" spans="22:25" x14ac:dyDescent="0.2">
      <c r="V831" s="562"/>
      <c r="X831" s="562"/>
      <c r="Y831" s="562"/>
    </row>
    <row r="832" spans="22:25" x14ac:dyDescent="0.2">
      <c r="V832" s="562"/>
      <c r="X832" s="562"/>
      <c r="Y832" s="562"/>
    </row>
    <row r="833" spans="22:25" x14ac:dyDescent="0.2">
      <c r="V833" s="562"/>
      <c r="X833" s="562"/>
      <c r="Y833" s="562"/>
    </row>
    <row r="834" spans="22:25" x14ac:dyDescent="0.2">
      <c r="V834" s="562"/>
      <c r="X834" s="562"/>
      <c r="Y834" s="562"/>
    </row>
    <row r="835" spans="22:25" x14ac:dyDescent="0.2">
      <c r="V835" s="562"/>
      <c r="X835" s="562"/>
      <c r="Y835" s="562"/>
    </row>
    <row r="836" spans="22:25" x14ac:dyDescent="0.2">
      <c r="V836" s="562"/>
      <c r="X836" s="562"/>
      <c r="Y836" s="562"/>
    </row>
    <row r="837" spans="22:25" x14ac:dyDescent="0.2">
      <c r="V837" s="562"/>
      <c r="X837" s="562"/>
      <c r="Y837" s="562"/>
    </row>
    <row r="838" spans="22:25" x14ac:dyDescent="0.2">
      <c r="V838" s="562"/>
      <c r="X838" s="562"/>
      <c r="Y838" s="562"/>
    </row>
    <row r="839" spans="22:25" x14ac:dyDescent="0.2">
      <c r="V839" s="562"/>
      <c r="X839" s="562"/>
      <c r="Y839" s="562"/>
    </row>
    <row r="840" spans="22:25" x14ac:dyDescent="0.2">
      <c r="V840" s="562"/>
      <c r="X840" s="562"/>
      <c r="Y840" s="562"/>
    </row>
    <row r="841" spans="22:25" x14ac:dyDescent="0.2">
      <c r="V841" s="562"/>
      <c r="X841" s="562"/>
      <c r="Y841" s="562"/>
    </row>
    <row r="842" spans="22:25" x14ac:dyDescent="0.2">
      <c r="V842" s="562"/>
      <c r="X842" s="562"/>
      <c r="Y842" s="562"/>
    </row>
    <row r="843" spans="22:25" x14ac:dyDescent="0.2">
      <c r="V843" s="562"/>
      <c r="X843" s="562"/>
      <c r="Y843" s="562"/>
    </row>
    <row r="844" spans="22:25" x14ac:dyDescent="0.2">
      <c r="V844" s="562"/>
      <c r="X844" s="562"/>
      <c r="Y844" s="562"/>
    </row>
    <row r="845" spans="22:25" x14ac:dyDescent="0.2">
      <c r="V845" s="562"/>
      <c r="X845" s="562"/>
      <c r="Y845" s="562"/>
    </row>
    <row r="846" spans="22:25" x14ac:dyDescent="0.2">
      <c r="V846" s="562"/>
      <c r="X846" s="562"/>
      <c r="Y846" s="562"/>
    </row>
    <row r="847" spans="22:25" x14ac:dyDescent="0.2">
      <c r="V847" s="562"/>
      <c r="X847" s="562"/>
      <c r="Y847" s="562"/>
    </row>
    <row r="848" spans="22:25" x14ac:dyDescent="0.2">
      <c r="V848" s="562"/>
      <c r="X848" s="562"/>
      <c r="Y848" s="562"/>
    </row>
    <row r="849" spans="22:25" x14ac:dyDescent="0.2">
      <c r="V849" s="562"/>
      <c r="X849" s="562"/>
      <c r="Y849" s="562"/>
    </row>
    <row r="850" spans="22:25" x14ac:dyDescent="0.2">
      <c r="V850" s="562"/>
      <c r="X850" s="562"/>
      <c r="Y850" s="562"/>
    </row>
    <row r="851" spans="22:25" x14ac:dyDescent="0.2">
      <c r="V851" s="562"/>
      <c r="X851" s="562"/>
      <c r="Y851" s="562"/>
    </row>
    <row r="852" spans="22:25" x14ac:dyDescent="0.2">
      <c r="V852" s="562"/>
      <c r="X852" s="562"/>
      <c r="Y852" s="562"/>
    </row>
    <row r="853" spans="22:25" x14ac:dyDescent="0.2">
      <c r="V853" s="562"/>
      <c r="X853" s="562"/>
      <c r="Y853" s="562"/>
    </row>
    <row r="854" spans="22:25" x14ac:dyDescent="0.2">
      <c r="V854" s="562"/>
      <c r="X854" s="562"/>
      <c r="Y854" s="562"/>
    </row>
    <row r="855" spans="22:25" x14ac:dyDescent="0.2">
      <c r="V855" s="562"/>
      <c r="X855" s="562"/>
      <c r="Y855" s="562"/>
    </row>
    <row r="856" spans="22:25" x14ac:dyDescent="0.2">
      <c r="V856" s="562"/>
      <c r="X856" s="562"/>
      <c r="Y856" s="562"/>
    </row>
    <row r="857" spans="22:25" x14ac:dyDescent="0.2">
      <c r="V857" s="562"/>
      <c r="X857" s="562"/>
      <c r="Y857" s="562"/>
    </row>
    <row r="858" spans="22:25" x14ac:dyDescent="0.2">
      <c r="V858" s="562"/>
      <c r="X858" s="562"/>
      <c r="Y858" s="562"/>
    </row>
    <row r="859" spans="22:25" x14ac:dyDescent="0.2">
      <c r="V859" s="562"/>
      <c r="X859" s="562"/>
      <c r="Y859" s="562"/>
    </row>
    <row r="860" spans="22:25" x14ac:dyDescent="0.2">
      <c r="V860" s="562"/>
      <c r="X860" s="562"/>
      <c r="Y860" s="562"/>
    </row>
    <row r="861" spans="22:25" x14ac:dyDescent="0.2">
      <c r="V861" s="562"/>
      <c r="X861" s="562"/>
      <c r="Y861" s="562"/>
    </row>
    <row r="862" spans="22:25" x14ac:dyDescent="0.2">
      <c r="V862" s="562"/>
      <c r="X862" s="562"/>
      <c r="Y862" s="562"/>
    </row>
    <row r="863" spans="22:25" x14ac:dyDescent="0.2">
      <c r="V863" s="562"/>
      <c r="X863" s="562"/>
      <c r="Y863" s="562"/>
    </row>
    <row r="864" spans="22:25" x14ac:dyDescent="0.2">
      <c r="V864" s="562"/>
      <c r="X864" s="562"/>
      <c r="Y864" s="562"/>
    </row>
    <row r="865" spans="22:25" x14ac:dyDescent="0.2">
      <c r="V865" s="562"/>
      <c r="X865" s="562"/>
      <c r="Y865" s="562"/>
    </row>
    <row r="866" spans="22:25" x14ac:dyDescent="0.2">
      <c r="V866" s="562"/>
      <c r="X866" s="562"/>
      <c r="Y866" s="562"/>
    </row>
    <row r="867" spans="22:25" x14ac:dyDescent="0.2">
      <c r="V867" s="562"/>
      <c r="X867" s="562"/>
      <c r="Y867" s="562"/>
    </row>
    <row r="868" spans="22:25" x14ac:dyDescent="0.2">
      <c r="V868" s="562"/>
      <c r="X868" s="562"/>
      <c r="Y868" s="562"/>
    </row>
    <row r="869" spans="22:25" x14ac:dyDescent="0.2">
      <c r="V869" s="562"/>
      <c r="X869" s="562"/>
      <c r="Y869" s="562"/>
    </row>
    <row r="870" spans="22:25" x14ac:dyDescent="0.2">
      <c r="V870" s="562"/>
      <c r="X870" s="562"/>
      <c r="Y870" s="562"/>
    </row>
    <row r="871" spans="22:25" x14ac:dyDescent="0.2">
      <c r="V871" s="562"/>
      <c r="X871" s="562"/>
      <c r="Y871" s="562"/>
    </row>
    <row r="872" spans="22:25" x14ac:dyDescent="0.2">
      <c r="V872" s="562"/>
      <c r="X872" s="562"/>
      <c r="Y872" s="562"/>
    </row>
    <row r="873" spans="22:25" x14ac:dyDescent="0.2">
      <c r="V873" s="562"/>
      <c r="X873" s="562"/>
      <c r="Y873" s="562"/>
    </row>
    <row r="874" spans="22:25" x14ac:dyDescent="0.2">
      <c r="V874" s="562"/>
      <c r="X874" s="562"/>
      <c r="Y874" s="562"/>
    </row>
    <row r="875" spans="22:25" x14ac:dyDescent="0.2">
      <c r="V875" s="562"/>
      <c r="X875" s="562"/>
      <c r="Y875" s="562"/>
    </row>
    <row r="876" spans="22:25" x14ac:dyDescent="0.2">
      <c r="V876" s="562"/>
      <c r="X876" s="562"/>
      <c r="Y876" s="562"/>
    </row>
    <row r="877" spans="22:25" x14ac:dyDescent="0.2">
      <c r="V877" s="562"/>
      <c r="X877" s="562"/>
      <c r="Y877" s="562"/>
    </row>
    <row r="878" spans="22:25" x14ac:dyDescent="0.2">
      <c r="V878" s="562"/>
      <c r="X878" s="562"/>
      <c r="Y878" s="562"/>
    </row>
    <row r="879" spans="22:25" x14ac:dyDescent="0.2">
      <c r="V879" s="562"/>
      <c r="X879" s="562"/>
      <c r="Y879" s="562"/>
    </row>
    <row r="880" spans="22:25" x14ac:dyDescent="0.2">
      <c r="V880" s="562"/>
      <c r="X880" s="562"/>
      <c r="Y880" s="562"/>
    </row>
    <row r="881" spans="22:25" x14ac:dyDescent="0.2">
      <c r="V881" s="562"/>
      <c r="X881" s="562"/>
      <c r="Y881" s="562"/>
    </row>
    <row r="882" spans="22:25" x14ac:dyDescent="0.2">
      <c r="V882" s="562"/>
      <c r="X882" s="562"/>
      <c r="Y882" s="562"/>
    </row>
    <row r="883" spans="22:25" x14ac:dyDescent="0.2">
      <c r="V883" s="562"/>
      <c r="X883" s="562"/>
      <c r="Y883" s="562"/>
    </row>
    <row r="884" spans="22:25" x14ac:dyDescent="0.2">
      <c r="V884" s="562"/>
      <c r="X884" s="562"/>
      <c r="Y884" s="562"/>
    </row>
    <row r="885" spans="22:25" x14ac:dyDescent="0.2">
      <c r="V885" s="562"/>
      <c r="X885" s="562"/>
      <c r="Y885" s="562"/>
    </row>
    <row r="886" spans="22:25" x14ac:dyDescent="0.2">
      <c r="V886" s="562"/>
      <c r="X886" s="562"/>
      <c r="Y886" s="562"/>
    </row>
    <row r="887" spans="22:25" x14ac:dyDescent="0.2">
      <c r="V887" s="562"/>
      <c r="X887" s="562"/>
      <c r="Y887" s="562"/>
    </row>
    <row r="888" spans="22:25" x14ac:dyDescent="0.2">
      <c r="V888" s="562"/>
      <c r="X888" s="562"/>
      <c r="Y888" s="562"/>
    </row>
    <row r="889" spans="22:25" x14ac:dyDescent="0.2">
      <c r="V889" s="562"/>
      <c r="X889" s="562"/>
      <c r="Y889" s="562"/>
    </row>
    <row r="890" spans="22:25" x14ac:dyDescent="0.2">
      <c r="V890" s="562"/>
      <c r="X890" s="562"/>
      <c r="Y890" s="562"/>
    </row>
    <row r="891" spans="22:25" x14ac:dyDescent="0.2">
      <c r="V891" s="562"/>
      <c r="X891" s="562"/>
      <c r="Y891" s="562"/>
    </row>
    <row r="892" spans="22:25" x14ac:dyDescent="0.2">
      <c r="V892" s="562"/>
      <c r="X892" s="562"/>
      <c r="Y892" s="562"/>
    </row>
    <row r="893" spans="22:25" x14ac:dyDescent="0.2">
      <c r="V893" s="562"/>
      <c r="X893" s="562"/>
      <c r="Y893" s="562"/>
    </row>
    <row r="894" spans="22:25" x14ac:dyDescent="0.2">
      <c r="V894" s="562"/>
      <c r="X894" s="562"/>
      <c r="Y894" s="562"/>
    </row>
    <row r="895" spans="22:25" x14ac:dyDescent="0.2">
      <c r="V895" s="562"/>
      <c r="X895" s="562"/>
      <c r="Y895" s="562"/>
    </row>
    <row r="896" spans="22:25" x14ac:dyDescent="0.2">
      <c r="V896" s="562"/>
      <c r="X896" s="562"/>
      <c r="Y896" s="562"/>
    </row>
    <row r="897" spans="22:25" x14ac:dyDescent="0.2">
      <c r="V897" s="562"/>
      <c r="X897" s="562"/>
      <c r="Y897" s="562"/>
    </row>
    <row r="898" spans="22:25" x14ac:dyDescent="0.2">
      <c r="V898" s="562"/>
      <c r="X898" s="562"/>
      <c r="Y898" s="562"/>
    </row>
    <row r="899" spans="22:25" x14ac:dyDescent="0.2">
      <c r="V899" s="562"/>
      <c r="X899" s="562"/>
      <c r="Y899" s="562"/>
    </row>
    <row r="900" spans="22:25" x14ac:dyDescent="0.2">
      <c r="V900" s="562"/>
      <c r="X900" s="562"/>
      <c r="Y900" s="562"/>
    </row>
    <row r="901" spans="22:25" x14ac:dyDescent="0.2">
      <c r="V901" s="562"/>
      <c r="X901" s="562"/>
      <c r="Y901" s="562"/>
    </row>
    <row r="902" spans="22:25" x14ac:dyDescent="0.2">
      <c r="V902" s="562"/>
      <c r="X902" s="562"/>
      <c r="Y902" s="562"/>
    </row>
    <row r="903" spans="22:25" x14ac:dyDescent="0.2">
      <c r="V903" s="562"/>
      <c r="X903" s="562"/>
      <c r="Y903" s="562"/>
    </row>
    <row r="904" spans="22:25" x14ac:dyDescent="0.2">
      <c r="V904" s="562"/>
      <c r="X904" s="562"/>
      <c r="Y904" s="562"/>
    </row>
    <row r="905" spans="22:25" x14ac:dyDescent="0.2">
      <c r="V905" s="562"/>
      <c r="X905" s="562"/>
      <c r="Y905" s="562"/>
    </row>
    <row r="906" spans="22:25" x14ac:dyDescent="0.2">
      <c r="V906" s="562"/>
      <c r="X906" s="562"/>
      <c r="Y906" s="562"/>
    </row>
    <row r="907" spans="22:25" x14ac:dyDescent="0.2">
      <c r="V907" s="562"/>
      <c r="X907" s="562"/>
      <c r="Y907" s="562"/>
    </row>
    <row r="908" spans="22:25" x14ac:dyDescent="0.2">
      <c r="V908" s="562"/>
      <c r="X908" s="562"/>
      <c r="Y908" s="562"/>
    </row>
    <row r="909" spans="22:25" x14ac:dyDescent="0.2">
      <c r="V909" s="562"/>
      <c r="X909" s="562"/>
      <c r="Y909" s="562"/>
    </row>
    <row r="910" spans="22:25" x14ac:dyDescent="0.2">
      <c r="V910" s="562"/>
      <c r="X910" s="562"/>
      <c r="Y910" s="562"/>
    </row>
    <row r="911" spans="22:25" x14ac:dyDescent="0.2">
      <c r="V911" s="562"/>
      <c r="X911" s="562"/>
      <c r="Y911" s="562"/>
    </row>
    <row r="912" spans="22:25" x14ac:dyDescent="0.2">
      <c r="V912" s="562"/>
      <c r="X912" s="562"/>
      <c r="Y912" s="562"/>
    </row>
    <row r="913" spans="22:25" x14ac:dyDescent="0.2">
      <c r="V913" s="562"/>
      <c r="X913" s="562"/>
      <c r="Y913" s="562"/>
    </row>
    <row r="914" spans="22:25" x14ac:dyDescent="0.2">
      <c r="V914" s="562"/>
      <c r="X914" s="562"/>
      <c r="Y914" s="562"/>
    </row>
    <row r="915" spans="22:25" x14ac:dyDescent="0.2">
      <c r="V915" s="562"/>
      <c r="X915" s="562"/>
      <c r="Y915" s="562"/>
    </row>
    <row r="916" spans="22:25" x14ac:dyDescent="0.2">
      <c r="V916" s="562"/>
      <c r="X916" s="562"/>
      <c r="Y916" s="562"/>
    </row>
    <row r="917" spans="22:25" x14ac:dyDescent="0.2">
      <c r="V917" s="562"/>
      <c r="X917" s="562"/>
      <c r="Y917" s="562"/>
    </row>
    <row r="918" spans="22:25" x14ac:dyDescent="0.2">
      <c r="V918" s="562"/>
      <c r="X918" s="562"/>
      <c r="Y918" s="562"/>
    </row>
    <row r="919" spans="22:25" x14ac:dyDescent="0.2">
      <c r="V919" s="562"/>
      <c r="X919" s="562"/>
      <c r="Y919" s="562"/>
    </row>
    <row r="920" spans="22:25" x14ac:dyDescent="0.2">
      <c r="V920" s="562"/>
      <c r="X920" s="562"/>
      <c r="Y920" s="562"/>
    </row>
    <row r="921" spans="22:25" x14ac:dyDescent="0.2">
      <c r="V921" s="562"/>
      <c r="X921" s="562"/>
      <c r="Y921" s="562"/>
    </row>
    <row r="922" spans="22:25" x14ac:dyDescent="0.2">
      <c r="V922" s="562"/>
      <c r="X922" s="562"/>
      <c r="Y922" s="562"/>
    </row>
    <row r="923" spans="22:25" x14ac:dyDescent="0.2">
      <c r="V923" s="562"/>
      <c r="X923" s="562"/>
      <c r="Y923" s="562"/>
    </row>
    <row r="924" spans="22:25" x14ac:dyDescent="0.2">
      <c r="V924" s="562"/>
      <c r="X924" s="562"/>
      <c r="Y924" s="562"/>
    </row>
    <row r="925" spans="22:25" x14ac:dyDescent="0.2">
      <c r="V925" s="562"/>
      <c r="X925" s="562"/>
      <c r="Y925" s="562"/>
    </row>
    <row r="926" spans="22:25" x14ac:dyDescent="0.2">
      <c r="V926" s="562"/>
      <c r="X926" s="562"/>
      <c r="Y926" s="562"/>
    </row>
    <row r="927" spans="22:25" x14ac:dyDescent="0.2">
      <c r="V927" s="562"/>
      <c r="X927" s="562"/>
      <c r="Y927" s="562"/>
    </row>
    <row r="928" spans="22:25" x14ac:dyDescent="0.2">
      <c r="V928" s="562"/>
      <c r="X928" s="562"/>
      <c r="Y928" s="562"/>
    </row>
    <row r="929" spans="22:25" x14ac:dyDescent="0.2">
      <c r="V929" s="562"/>
      <c r="X929" s="562"/>
      <c r="Y929" s="562"/>
    </row>
    <row r="930" spans="22:25" x14ac:dyDescent="0.2">
      <c r="V930" s="562"/>
      <c r="X930" s="562"/>
      <c r="Y930" s="562"/>
    </row>
    <row r="931" spans="22:25" x14ac:dyDescent="0.2">
      <c r="V931" s="562"/>
      <c r="X931" s="562"/>
      <c r="Y931" s="562"/>
    </row>
    <row r="932" spans="22:25" x14ac:dyDescent="0.2">
      <c r="V932" s="562"/>
      <c r="X932" s="562"/>
      <c r="Y932" s="562"/>
    </row>
    <row r="933" spans="22:25" x14ac:dyDescent="0.2">
      <c r="V933" s="562"/>
      <c r="X933" s="562"/>
      <c r="Y933" s="562"/>
    </row>
    <row r="934" spans="22:25" x14ac:dyDescent="0.2">
      <c r="V934" s="562"/>
      <c r="X934" s="562"/>
      <c r="Y934" s="562"/>
    </row>
    <row r="935" spans="22:25" x14ac:dyDescent="0.2">
      <c r="V935" s="562"/>
      <c r="X935" s="562"/>
      <c r="Y935" s="562"/>
    </row>
    <row r="936" spans="22:25" x14ac:dyDescent="0.2">
      <c r="V936" s="562"/>
      <c r="X936" s="562"/>
      <c r="Y936" s="562"/>
    </row>
    <row r="937" spans="22:25" x14ac:dyDescent="0.2">
      <c r="V937" s="562"/>
      <c r="X937" s="562"/>
      <c r="Y937" s="562"/>
    </row>
    <row r="938" spans="22:25" x14ac:dyDescent="0.2">
      <c r="V938" s="562"/>
      <c r="X938" s="562"/>
      <c r="Y938" s="562"/>
    </row>
    <row r="939" spans="22:25" x14ac:dyDescent="0.2">
      <c r="V939" s="562"/>
      <c r="X939" s="562"/>
      <c r="Y939" s="562"/>
    </row>
    <row r="940" spans="22:25" x14ac:dyDescent="0.2">
      <c r="V940" s="562"/>
      <c r="X940" s="562"/>
      <c r="Y940" s="562"/>
    </row>
    <row r="941" spans="22:25" x14ac:dyDescent="0.2">
      <c r="V941" s="562"/>
      <c r="X941" s="562"/>
      <c r="Y941" s="562"/>
    </row>
    <row r="942" spans="22:25" x14ac:dyDescent="0.2">
      <c r="V942" s="562"/>
      <c r="X942" s="562"/>
      <c r="Y942" s="562"/>
    </row>
    <row r="943" spans="22:25" x14ac:dyDescent="0.2">
      <c r="V943" s="562"/>
      <c r="X943" s="562"/>
      <c r="Y943" s="562"/>
    </row>
    <row r="944" spans="22:25" x14ac:dyDescent="0.2">
      <c r="V944" s="562"/>
      <c r="X944" s="562"/>
      <c r="Y944" s="562"/>
    </row>
    <row r="945" spans="22:25" x14ac:dyDescent="0.2">
      <c r="V945" s="562"/>
      <c r="X945" s="562"/>
      <c r="Y945" s="562"/>
    </row>
    <row r="946" spans="22:25" x14ac:dyDescent="0.2">
      <c r="V946" s="562"/>
      <c r="X946" s="562"/>
      <c r="Y946" s="562"/>
    </row>
    <row r="947" spans="22:25" x14ac:dyDescent="0.2">
      <c r="V947" s="562"/>
      <c r="X947" s="562"/>
      <c r="Y947" s="562"/>
    </row>
    <row r="948" spans="22:25" x14ac:dyDescent="0.2">
      <c r="V948" s="562"/>
      <c r="X948" s="562"/>
      <c r="Y948" s="562"/>
    </row>
    <row r="949" spans="22:25" x14ac:dyDescent="0.2">
      <c r="V949" s="562"/>
      <c r="X949" s="562"/>
      <c r="Y949" s="562"/>
    </row>
    <row r="950" spans="22:25" x14ac:dyDescent="0.2">
      <c r="V950" s="562"/>
      <c r="X950" s="562"/>
      <c r="Y950" s="562"/>
    </row>
    <row r="951" spans="22:25" x14ac:dyDescent="0.2">
      <c r="V951" s="562"/>
      <c r="X951" s="562"/>
      <c r="Y951" s="562"/>
    </row>
    <row r="952" spans="22:25" x14ac:dyDescent="0.2">
      <c r="V952" s="562"/>
      <c r="X952" s="562"/>
      <c r="Y952" s="562"/>
    </row>
    <row r="953" spans="22:25" x14ac:dyDescent="0.2">
      <c r="V953" s="562"/>
      <c r="X953" s="562"/>
      <c r="Y953" s="562"/>
    </row>
    <row r="954" spans="22:25" x14ac:dyDescent="0.2">
      <c r="V954" s="562"/>
      <c r="X954" s="562"/>
      <c r="Y954" s="562"/>
    </row>
    <row r="955" spans="22:25" x14ac:dyDescent="0.2">
      <c r="V955" s="562"/>
      <c r="X955" s="562"/>
      <c r="Y955" s="562"/>
    </row>
    <row r="956" spans="22:25" x14ac:dyDescent="0.2">
      <c r="V956" s="562"/>
      <c r="X956" s="562"/>
      <c r="Y956" s="562"/>
    </row>
    <row r="957" spans="22:25" x14ac:dyDescent="0.2">
      <c r="V957" s="562"/>
      <c r="X957" s="562"/>
      <c r="Y957" s="562"/>
    </row>
    <row r="958" spans="22:25" x14ac:dyDescent="0.2">
      <c r="V958" s="562"/>
      <c r="X958" s="562"/>
      <c r="Y958" s="562"/>
    </row>
    <row r="959" spans="22:25" x14ac:dyDescent="0.2">
      <c r="V959" s="562"/>
      <c r="X959" s="562"/>
      <c r="Y959" s="562"/>
    </row>
    <row r="960" spans="22:25" x14ac:dyDescent="0.2">
      <c r="V960" s="562"/>
      <c r="X960" s="562"/>
      <c r="Y960" s="562"/>
    </row>
    <row r="961" spans="22:25" x14ac:dyDescent="0.2">
      <c r="V961" s="562"/>
      <c r="X961" s="562"/>
      <c r="Y961" s="562"/>
    </row>
    <row r="962" spans="22:25" x14ac:dyDescent="0.2">
      <c r="V962" s="562"/>
      <c r="X962" s="562"/>
      <c r="Y962" s="562"/>
    </row>
    <row r="963" spans="22:25" x14ac:dyDescent="0.2">
      <c r="V963" s="562"/>
      <c r="X963" s="562"/>
      <c r="Y963" s="562"/>
    </row>
    <row r="964" spans="22:25" x14ac:dyDescent="0.2">
      <c r="V964" s="562"/>
      <c r="X964" s="562"/>
      <c r="Y964" s="562"/>
    </row>
    <row r="965" spans="22:25" x14ac:dyDescent="0.2">
      <c r="V965" s="562"/>
      <c r="X965" s="562"/>
      <c r="Y965" s="562"/>
    </row>
    <row r="966" spans="22:25" x14ac:dyDescent="0.2">
      <c r="V966" s="562"/>
      <c r="X966" s="562"/>
      <c r="Y966" s="562"/>
    </row>
    <row r="967" spans="22:25" x14ac:dyDescent="0.2">
      <c r="V967" s="562"/>
      <c r="X967" s="562"/>
      <c r="Y967" s="562"/>
    </row>
    <row r="968" spans="22:25" x14ac:dyDescent="0.2">
      <c r="V968" s="562"/>
      <c r="X968" s="562"/>
      <c r="Y968" s="562"/>
    </row>
    <row r="969" spans="22:25" x14ac:dyDescent="0.2">
      <c r="V969" s="562"/>
      <c r="X969" s="562"/>
      <c r="Y969" s="562"/>
    </row>
    <row r="970" spans="22:25" x14ac:dyDescent="0.2">
      <c r="V970" s="562"/>
      <c r="X970" s="562"/>
      <c r="Y970" s="562"/>
    </row>
    <row r="971" spans="22:25" x14ac:dyDescent="0.2">
      <c r="V971" s="562"/>
      <c r="X971" s="562"/>
      <c r="Y971" s="562"/>
    </row>
    <row r="972" spans="22:25" x14ac:dyDescent="0.2">
      <c r="V972" s="562"/>
      <c r="X972" s="562"/>
      <c r="Y972" s="562"/>
    </row>
    <row r="973" spans="22:25" x14ac:dyDescent="0.2">
      <c r="V973" s="562"/>
      <c r="X973" s="562"/>
      <c r="Y973" s="562"/>
    </row>
    <row r="974" spans="22:25" x14ac:dyDescent="0.2">
      <c r="V974" s="562"/>
      <c r="X974" s="562"/>
      <c r="Y974" s="562"/>
    </row>
    <row r="975" spans="22:25" x14ac:dyDescent="0.2">
      <c r="V975" s="562"/>
      <c r="X975" s="562"/>
      <c r="Y975" s="562"/>
    </row>
    <row r="976" spans="22:25" x14ac:dyDescent="0.2">
      <c r="V976" s="562"/>
      <c r="X976" s="562"/>
      <c r="Y976" s="562"/>
    </row>
    <row r="977" spans="22:25" x14ac:dyDescent="0.2">
      <c r="V977" s="562"/>
      <c r="X977" s="562"/>
      <c r="Y977" s="562"/>
    </row>
    <row r="978" spans="22:25" x14ac:dyDescent="0.2">
      <c r="V978" s="562"/>
      <c r="X978" s="562"/>
      <c r="Y978" s="562"/>
    </row>
    <row r="979" spans="22:25" x14ac:dyDescent="0.2">
      <c r="V979" s="562"/>
      <c r="X979" s="562"/>
      <c r="Y979" s="562"/>
    </row>
    <row r="980" spans="22:25" x14ac:dyDescent="0.2">
      <c r="V980" s="562"/>
      <c r="X980" s="562"/>
      <c r="Y980" s="562"/>
    </row>
    <row r="981" spans="22:25" x14ac:dyDescent="0.2">
      <c r="V981" s="562"/>
      <c r="X981" s="562"/>
      <c r="Y981" s="562"/>
    </row>
    <row r="982" spans="22:25" x14ac:dyDescent="0.2">
      <c r="V982" s="562"/>
      <c r="X982" s="562"/>
      <c r="Y982" s="562"/>
    </row>
    <row r="983" spans="22:25" x14ac:dyDescent="0.2">
      <c r="V983" s="562"/>
      <c r="X983" s="562"/>
      <c r="Y983" s="562"/>
    </row>
    <row r="984" spans="22:25" x14ac:dyDescent="0.2">
      <c r="V984" s="562"/>
      <c r="X984" s="562"/>
      <c r="Y984" s="562"/>
    </row>
    <row r="985" spans="22:25" x14ac:dyDescent="0.2">
      <c r="V985" s="562"/>
      <c r="X985" s="562"/>
      <c r="Y985" s="562"/>
    </row>
    <row r="986" spans="22:25" x14ac:dyDescent="0.2">
      <c r="V986" s="562"/>
      <c r="X986" s="562"/>
      <c r="Y986" s="562"/>
    </row>
    <row r="987" spans="22:25" x14ac:dyDescent="0.2">
      <c r="V987" s="562"/>
      <c r="X987" s="562"/>
      <c r="Y987" s="562"/>
    </row>
    <row r="988" spans="22:25" x14ac:dyDescent="0.2">
      <c r="V988" s="562"/>
      <c r="X988" s="562"/>
      <c r="Y988" s="562"/>
    </row>
    <row r="989" spans="22:25" x14ac:dyDescent="0.2">
      <c r="V989" s="562"/>
      <c r="X989" s="562"/>
      <c r="Y989" s="562"/>
    </row>
    <row r="990" spans="22:25" x14ac:dyDescent="0.2">
      <c r="V990" s="562"/>
      <c r="X990" s="562"/>
      <c r="Y990" s="562"/>
    </row>
    <row r="991" spans="22:25" x14ac:dyDescent="0.2">
      <c r="V991" s="562"/>
      <c r="X991" s="562"/>
      <c r="Y991" s="562"/>
    </row>
    <row r="992" spans="22:25" x14ac:dyDescent="0.2">
      <c r="V992" s="562"/>
      <c r="X992" s="562"/>
      <c r="Y992" s="562"/>
    </row>
    <row r="993" spans="22:25" x14ac:dyDescent="0.2">
      <c r="V993" s="562"/>
      <c r="X993" s="562"/>
      <c r="Y993" s="562"/>
    </row>
    <row r="994" spans="22:25" x14ac:dyDescent="0.2">
      <c r="V994" s="562"/>
      <c r="X994" s="562"/>
      <c r="Y994" s="562"/>
    </row>
    <row r="995" spans="22:25" x14ac:dyDescent="0.2">
      <c r="V995" s="562"/>
      <c r="X995" s="562"/>
      <c r="Y995" s="562"/>
    </row>
    <row r="996" spans="22:25" x14ac:dyDescent="0.2">
      <c r="V996" s="562"/>
      <c r="X996" s="562"/>
      <c r="Y996" s="562"/>
    </row>
    <row r="997" spans="22:25" x14ac:dyDescent="0.2">
      <c r="V997" s="562"/>
      <c r="X997" s="562"/>
      <c r="Y997" s="562"/>
    </row>
    <row r="998" spans="22:25" x14ac:dyDescent="0.2">
      <c r="V998" s="562"/>
      <c r="X998" s="562"/>
      <c r="Y998" s="562"/>
    </row>
    <row r="999" spans="22:25" x14ac:dyDescent="0.2">
      <c r="V999" s="562"/>
      <c r="X999" s="562"/>
      <c r="Y999" s="562"/>
    </row>
    <row r="1000" spans="22:25" x14ac:dyDescent="0.2">
      <c r="V1000" s="562"/>
      <c r="X1000" s="562"/>
      <c r="Y1000" s="562"/>
    </row>
    <row r="1001" spans="22:25" x14ac:dyDescent="0.2">
      <c r="V1001" s="562"/>
      <c r="X1001" s="562"/>
      <c r="Y1001" s="562"/>
    </row>
    <row r="1002" spans="22:25" x14ac:dyDescent="0.2">
      <c r="V1002" s="562"/>
      <c r="X1002" s="562"/>
      <c r="Y1002" s="562"/>
    </row>
    <row r="1003" spans="22:25" x14ac:dyDescent="0.2">
      <c r="V1003" s="562"/>
      <c r="X1003" s="562"/>
      <c r="Y1003" s="562"/>
    </row>
    <row r="1004" spans="22:25" x14ac:dyDescent="0.2">
      <c r="V1004" s="562"/>
      <c r="X1004" s="562"/>
      <c r="Y1004" s="562"/>
    </row>
    <row r="1005" spans="22:25" x14ac:dyDescent="0.2">
      <c r="V1005" s="562"/>
      <c r="X1005" s="562"/>
      <c r="Y1005" s="562"/>
    </row>
    <row r="1006" spans="22:25" x14ac:dyDescent="0.2">
      <c r="V1006" s="562"/>
      <c r="X1006" s="562"/>
      <c r="Y1006" s="562"/>
    </row>
    <row r="1007" spans="22:25" x14ac:dyDescent="0.2">
      <c r="V1007" s="562"/>
      <c r="X1007" s="562"/>
      <c r="Y1007" s="562"/>
    </row>
    <row r="1008" spans="22:25" x14ac:dyDescent="0.2">
      <c r="V1008" s="562"/>
      <c r="X1008" s="562"/>
      <c r="Y1008" s="562"/>
    </row>
    <row r="1009" spans="22:25" x14ac:dyDescent="0.2">
      <c r="V1009" s="562"/>
      <c r="X1009" s="562"/>
      <c r="Y1009" s="562"/>
    </row>
    <row r="1010" spans="22:25" x14ac:dyDescent="0.2">
      <c r="V1010" s="562"/>
      <c r="X1010" s="562"/>
      <c r="Y1010" s="562"/>
    </row>
    <row r="1011" spans="22:25" x14ac:dyDescent="0.2">
      <c r="V1011" s="562"/>
      <c r="X1011" s="562"/>
      <c r="Y1011" s="562"/>
    </row>
    <row r="1012" spans="22:25" x14ac:dyDescent="0.2">
      <c r="V1012" s="562"/>
      <c r="X1012" s="562"/>
      <c r="Y1012" s="562"/>
    </row>
    <row r="1013" spans="22:25" x14ac:dyDescent="0.2">
      <c r="V1013" s="562"/>
      <c r="X1013" s="562"/>
      <c r="Y1013" s="562"/>
    </row>
    <row r="1014" spans="22:25" x14ac:dyDescent="0.2">
      <c r="V1014" s="562"/>
      <c r="X1014" s="562"/>
      <c r="Y1014" s="562"/>
    </row>
    <row r="1015" spans="22:25" x14ac:dyDescent="0.2">
      <c r="V1015" s="562"/>
      <c r="X1015" s="562"/>
      <c r="Y1015" s="562"/>
    </row>
    <row r="1016" spans="22:25" x14ac:dyDescent="0.2">
      <c r="V1016" s="562"/>
      <c r="X1016" s="562"/>
      <c r="Y1016" s="562"/>
    </row>
    <row r="1017" spans="22:25" x14ac:dyDescent="0.2">
      <c r="V1017" s="562"/>
      <c r="X1017" s="562"/>
      <c r="Y1017" s="562"/>
    </row>
    <row r="1018" spans="22:25" x14ac:dyDescent="0.2">
      <c r="V1018" s="562"/>
      <c r="X1018" s="562"/>
      <c r="Y1018" s="562"/>
    </row>
    <row r="1019" spans="22:25" x14ac:dyDescent="0.2">
      <c r="V1019" s="562"/>
      <c r="X1019" s="562"/>
      <c r="Y1019" s="562"/>
    </row>
    <row r="1020" spans="22:25" x14ac:dyDescent="0.2">
      <c r="V1020" s="562"/>
      <c r="X1020" s="562"/>
      <c r="Y1020" s="562"/>
    </row>
    <row r="1021" spans="22:25" x14ac:dyDescent="0.2">
      <c r="V1021" s="562"/>
      <c r="X1021" s="562"/>
      <c r="Y1021" s="562"/>
    </row>
    <row r="1022" spans="22:25" x14ac:dyDescent="0.2">
      <c r="V1022" s="562"/>
      <c r="X1022" s="562"/>
      <c r="Y1022" s="562"/>
    </row>
    <row r="1023" spans="22:25" x14ac:dyDescent="0.2">
      <c r="V1023" s="562"/>
      <c r="X1023" s="562"/>
      <c r="Y1023" s="562"/>
    </row>
    <row r="1024" spans="22:25" x14ac:dyDescent="0.2">
      <c r="V1024" s="562"/>
      <c r="X1024" s="562"/>
      <c r="Y1024" s="562"/>
    </row>
    <row r="1025" spans="22:25" x14ac:dyDescent="0.2">
      <c r="V1025" s="562"/>
      <c r="X1025" s="562"/>
      <c r="Y1025" s="562"/>
    </row>
    <row r="1026" spans="22:25" x14ac:dyDescent="0.2">
      <c r="V1026" s="562"/>
      <c r="X1026" s="562"/>
      <c r="Y1026" s="562"/>
    </row>
    <row r="1027" spans="22:25" x14ac:dyDescent="0.2">
      <c r="V1027" s="562"/>
      <c r="X1027" s="562"/>
      <c r="Y1027" s="562"/>
    </row>
    <row r="1028" spans="22:25" x14ac:dyDescent="0.2">
      <c r="V1028" s="562"/>
      <c r="X1028" s="562"/>
      <c r="Y1028" s="562"/>
    </row>
    <row r="1029" spans="22:25" x14ac:dyDescent="0.2">
      <c r="V1029" s="562"/>
      <c r="X1029" s="562"/>
      <c r="Y1029" s="562"/>
    </row>
    <row r="1030" spans="22:25" x14ac:dyDescent="0.2">
      <c r="V1030" s="562"/>
      <c r="X1030" s="562"/>
      <c r="Y1030" s="562"/>
    </row>
    <row r="1031" spans="22:25" x14ac:dyDescent="0.2">
      <c r="V1031" s="562"/>
      <c r="X1031" s="562"/>
      <c r="Y1031" s="562"/>
    </row>
    <row r="1032" spans="22:25" x14ac:dyDescent="0.2">
      <c r="V1032" s="562"/>
      <c r="X1032" s="562"/>
      <c r="Y1032" s="562"/>
    </row>
    <row r="1033" spans="22:25" x14ac:dyDescent="0.2">
      <c r="V1033" s="562"/>
      <c r="X1033" s="562"/>
      <c r="Y1033" s="562"/>
    </row>
    <row r="1034" spans="22:25" x14ac:dyDescent="0.2">
      <c r="V1034" s="562"/>
      <c r="X1034" s="562"/>
      <c r="Y1034" s="562"/>
    </row>
    <row r="1035" spans="22:25" x14ac:dyDescent="0.2">
      <c r="V1035" s="562"/>
      <c r="X1035" s="562"/>
      <c r="Y1035" s="562"/>
    </row>
    <row r="1036" spans="22:25" x14ac:dyDescent="0.2">
      <c r="V1036" s="562"/>
      <c r="X1036" s="562"/>
      <c r="Y1036" s="562"/>
    </row>
    <row r="1037" spans="22:25" x14ac:dyDescent="0.2">
      <c r="V1037" s="562"/>
      <c r="X1037" s="562"/>
      <c r="Y1037" s="562"/>
    </row>
    <row r="1038" spans="22:25" x14ac:dyDescent="0.2">
      <c r="V1038" s="562"/>
      <c r="X1038" s="562"/>
      <c r="Y1038" s="562"/>
    </row>
    <row r="1039" spans="22:25" x14ac:dyDescent="0.2">
      <c r="V1039" s="562"/>
      <c r="X1039" s="562"/>
      <c r="Y1039" s="562"/>
    </row>
    <row r="1040" spans="22:25" x14ac:dyDescent="0.2">
      <c r="V1040" s="562"/>
      <c r="X1040" s="562"/>
      <c r="Y1040" s="562"/>
    </row>
    <row r="1041" spans="22:25" x14ac:dyDescent="0.2">
      <c r="V1041" s="562"/>
      <c r="X1041" s="562"/>
      <c r="Y1041" s="562"/>
    </row>
    <row r="1042" spans="22:25" x14ac:dyDescent="0.2">
      <c r="V1042" s="562"/>
      <c r="X1042" s="562"/>
      <c r="Y1042" s="562"/>
    </row>
    <row r="1043" spans="22:25" x14ac:dyDescent="0.2">
      <c r="V1043" s="562"/>
      <c r="X1043" s="562"/>
      <c r="Y1043" s="562"/>
    </row>
    <row r="1044" spans="22:25" x14ac:dyDescent="0.2">
      <c r="V1044" s="562"/>
      <c r="X1044" s="562"/>
      <c r="Y1044" s="562"/>
    </row>
    <row r="1045" spans="22:25" x14ac:dyDescent="0.2">
      <c r="V1045" s="562"/>
      <c r="X1045" s="562"/>
      <c r="Y1045" s="562"/>
    </row>
    <row r="1046" spans="22:25" x14ac:dyDescent="0.2">
      <c r="V1046" s="562"/>
      <c r="X1046" s="562"/>
      <c r="Y1046" s="562"/>
    </row>
    <row r="1047" spans="22:25" x14ac:dyDescent="0.2">
      <c r="V1047" s="562"/>
      <c r="X1047" s="562"/>
      <c r="Y1047" s="562"/>
    </row>
    <row r="1048" spans="22:25" x14ac:dyDescent="0.2">
      <c r="V1048" s="562"/>
      <c r="X1048" s="562"/>
      <c r="Y1048" s="562"/>
    </row>
    <row r="1049" spans="22:25" x14ac:dyDescent="0.2">
      <c r="V1049" s="562"/>
      <c r="X1049" s="562"/>
      <c r="Y1049" s="562"/>
    </row>
    <row r="1050" spans="22:25" x14ac:dyDescent="0.2">
      <c r="V1050" s="562"/>
      <c r="X1050" s="562"/>
      <c r="Y1050" s="562"/>
    </row>
    <row r="1051" spans="22:25" x14ac:dyDescent="0.2">
      <c r="V1051" s="562"/>
      <c r="X1051" s="562"/>
      <c r="Y1051" s="562"/>
    </row>
    <row r="1052" spans="22:25" x14ac:dyDescent="0.2">
      <c r="V1052" s="562"/>
      <c r="X1052" s="562"/>
      <c r="Y1052" s="562"/>
    </row>
    <row r="1053" spans="22:25" x14ac:dyDescent="0.2">
      <c r="V1053" s="562"/>
      <c r="X1053" s="562"/>
      <c r="Y1053" s="562"/>
    </row>
    <row r="1054" spans="22:25" x14ac:dyDescent="0.2">
      <c r="V1054" s="562"/>
      <c r="X1054" s="562"/>
      <c r="Y1054" s="562"/>
    </row>
    <row r="1055" spans="22:25" x14ac:dyDescent="0.2">
      <c r="V1055" s="562"/>
      <c r="X1055" s="562"/>
      <c r="Y1055" s="562"/>
    </row>
    <row r="1056" spans="22:25" x14ac:dyDescent="0.2">
      <c r="V1056" s="562"/>
      <c r="X1056" s="562"/>
      <c r="Y1056" s="562"/>
    </row>
    <row r="1057" spans="22:25" x14ac:dyDescent="0.2">
      <c r="V1057" s="562"/>
      <c r="X1057" s="562"/>
      <c r="Y1057" s="562"/>
    </row>
    <row r="1058" spans="22:25" x14ac:dyDescent="0.2">
      <c r="V1058" s="562"/>
      <c r="X1058" s="562"/>
      <c r="Y1058" s="562"/>
    </row>
    <row r="1059" spans="22:25" x14ac:dyDescent="0.2">
      <c r="V1059" s="562"/>
      <c r="X1059" s="562"/>
      <c r="Y1059" s="562"/>
    </row>
    <row r="1060" spans="22:25" x14ac:dyDescent="0.2">
      <c r="V1060" s="562"/>
      <c r="X1060" s="562"/>
      <c r="Y1060" s="562"/>
    </row>
    <row r="1061" spans="22:25" x14ac:dyDescent="0.2">
      <c r="V1061" s="562"/>
      <c r="X1061" s="562"/>
      <c r="Y1061" s="562"/>
    </row>
    <row r="1062" spans="22:25" x14ac:dyDescent="0.2">
      <c r="V1062" s="562"/>
      <c r="X1062" s="562"/>
      <c r="Y1062" s="562"/>
    </row>
    <row r="1063" spans="22:25" x14ac:dyDescent="0.2">
      <c r="V1063" s="562"/>
      <c r="X1063" s="562"/>
      <c r="Y1063" s="562"/>
    </row>
    <row r="1064" spans="22:25" x14ac:dyDescent="0.2">
      <c r="V1064" s="562"/>
      <c r="X1064" s="562"/>
      <c r="Y1064" s="562"/>
    </row>
    <row r="1065" spans="22:25" x14ac:dyDescent="0.2">
      <c r="V1065" s="562"/>
      <c r="X1065" s="562"/>
      <c r="Y1065" s="562"/>
    </row>
    <row r="1066" spans="22:25" x14ac:dyDescent="0.2">
      <c r="V1066" s="562"/>
      <c r="X1066" s="562"/>
      <c r="Y1066" s="562"/>
    </row>
    <row r="1067" spans="22:25" x14ac:dyDescent="0.2">
      <c r="V1067" s="562"/>
      <c r="X1067" s="562"/>
      <c r="Y1067" s="562"/>
    </row>
    <row r="1068" spans="22:25" x14ac:dyDescent="0.2">
      <c r="V1068" s="562"/>
      <c r="X1068" s="562"/>
      <c r="Y1068" s="562"/>
    </row>
    <row r="1069" spans="22:25" x14ac:dyDescent="0.2">
      <c r="V1069" s="562"/>
      <c r="X1069" s="562"/>
      <c r="Y1069" s="562"/>
    </row>
    <row r="1070" spans="22:25" x14ac:dyDescent="0.2">
      <c r="V1070" s="562"/>
      <c r="X1070" s="562"/>
      <c r="Y1070" s="562"/>
    </row>
    <row r="1071" spans="22:25" x14ac:dyDescent="0.2">
      <c r="V1071" s="562"/>
      <c r="X1071" s="562"/>
      <c r="Y1071" s="562"/>
    </row>
    <row r="1072" spans="22:25" x14ac:dyDescent="0.2">
      <c r="V1072" s="562"/>
      <c r="X1072" s="562"/>
      <c r="Y1072" s="562"/>
    </row>
    <row r="1073" spans="22:25" x14ac:dyDescent="0.2">
      <c r="V1073" s="562"/>
      <c r="X1073" s="562"/>
      <c r="Y1073" s="562"/>
    </row>
    <row r="1074" spans="22:25" x14ac:dyDescent="0.2">
      <c r="V1074" s="562"/>
      <c r="X1074" s="562"/>
      <c r="Y1074" s="562"/>
    </row>
    <row r="1075" spans="22:25" x14ac:dyDescent="0.2">
      <c r="V1075" s="562"/>
      <c r="X1075" s="562"/>
      <c r="Y1075" s="562"/>
    </row>
    <row r="1076" spans="22:25" x14ac:dyDescent="0.2">
      <c r="V1076" s="562"/>
      <c r="X1076" s="562"/>
      <c r="Y1076" s="562"/>
    </row>
    <row r="1077" spans="22:25" x14ac:dyDescent="0.2">
      <c r="V1077" s="562"/>
      <c r="X1077" s="562"/>
      <c r="Y1077" s="562"/>
    </row>
    <row r="1078" spans="22:25" x14ac:dyDescent="0.2">
      <c r="V1078" s="562"/>
      <c r="X1078" s="562"/>
      <c r="Y1078" s="562"/>
    </row>
    <row r="1079" spans="22:25" x14ac:dyDescent="0.2">
      <c r="V1079" s="562"/>
      <c r="X1079" s="562"/>
      <c r="Y1079" s="562"/>
    </row>
    <row r="1080" spans="22:25" x14ac:dyDescent="0.2">
      <c r="V1080" s="562"/>
      <c r="X1080" s="562"/>
      <c r="Y1080" s="562"/>
    </row>
    <row r="1081" spans="22:25" x14ac:dyDescent="0.2">
      <c r="V1081" s="562"/>
      <c r="X1081" s="562"/>
      <c r="Y1081" s="562"/>
    </row>
    <row r="1082" spans="22:25" x14ac:dyDescent="0.2">
      <c r="V1082" s="562"/>
      <c r="X1082" s="562"/>
      <c r="Y1082" s="562"/>
    </row>
    <row r="1083" spans="22:25" x14ac:dyDescent="0.2">
      <c r="V1083" s="562"/>
      <c r="X1083" s="562"/>
      <c r="Y1083" s="562"/>
    </row>
    <row r="1084" spans="22:25" x14ac:dyDescent="0.2">
      <c r="V1084" s="562"/>
      <c r="X1084" s="562"/>
      <c r="Y1084" s="562"/>
    </row>
    <row r="1085" spans="22:25" x14ac:dyDescent="0.2">
      <c r="V1085" s="562"/>
      <c r="X1085" s="562"/>
      <c r="Y1085" s="562"/>
    </row>
    <row r="1086" spans="22:25" x14ac:dyDescent="0.2">
      <c r="V1086" s="562"/>
      <c r="X1086" s="562"/>
      <c r="Y1086" s="562"/>
    </row>
    <row r="1087" spans="22:25" x14ac:dyDescent="0.2">
      <c r="V1087" s="562"/>
      <c r="X1087" s="562"/>
      <c r="Y1087" s="562"/>
    </row>
    <row r="1088" spans="22:25" x14ac:dyDescent="0.2">
      <c r="V1088" s="562"/>
      <c r="X1088" s="562"/>
      <c r="Y1088" s="562"/>
    </row>
    <row r="1089" spans="22:25" x14ac:dyDescent="0.2">
      <c r="V1089" s="562"/>
      <c r="X1089" s="562"/>
      <c r="Y1089" s="562"/>
    </row>
    <row r="1090" spans="22:25" x14ac:dyDescent="0.2">
      <c r="V1090" s="562"/>
      <c r="X1090" s="562"/>
      <c r="Y1090" s="562"/>
    </row>
    <row r="1091" spans="22:25" x14ac:dyDescent="0.2">
      <c r="V1091" s="562"/>
      <c r="X1091" s="562"/>
      <c r="Y1091" s="562"/>
    </row>
    <row r="1092" spans="22:25" x14ac:dyDescent="0.2">
      <c r="V1092" s="562"/>
      <c r="X1092" s="562"/>
      <c r="Y1092" s="562"/>
    </row>
    <row r="1093" spans="22:25" x14ac:dyDescent="0.2">
      <c r="V1093" s="562"/>
      <c r="X1093" s="562"/>
      <c r="Y1093" s="562"/>
    </row>
    <row r="1094" spans="22:25" x14ac:dyDescent="0.2">
      <c r="V1094" s="562"/>
      <c r="X1094" s="562"/>
      <c r="Y1094" s="562"/>
    </row>
    <row r="1095" spans="22:25" x14ac:dyDescent="0.2">
      <c r="V1095" s="562"/>
      <c r="X1095" s="562"/>
      <c r="Y1095" s="562"/>
    </row>
    <row r="1096" spans="22:25" x14ac:dyDescent="0.2">
      <c r="V1096" s="562"/>
      <c r="X1096" s="562"/>
      <c r="Y1096" s="562"/>
    </row>
    <row r="1097" spans="22:25" x14ac:dyDescent="0.2">
      <c r="V1097" s="562"/>
      <c r="X1097" s="562"/>
      <c r="Y1097" s="562"/>
    </row>
    <row r="1098" spans="22:25" x14ac:dyDescent="0.2">
      <c r="V1098" s="562"/>
      <c r="X1098" s="562"/>
      <c r="Y1098" s="562"/>
    </row>
    <row r="1099" spans="22:25" x14ac:dyDescent="0.2">
      <c r="V1099" s="562"/>
      <c r="X1099" s="562"/>
      <c r="Y1099" s="562"/>
    </row>
    <row r="1100" spans="22:25" x14ac:dyDescent="0.2">
      <c r="V1100" s="562"/>
      <c r="X1100" s="562"/>
      <c r="Y1100" s="562"/>
    </row>
    <row r="1101" spans="22:25" x14ac:dyDescent="0.2">
      <c r="V1101" s="562"/>
      <c r="X1101" s="562"/>
      <c r="Y1101" s="562"/>
    </row>
    <row r="1102" spans="22:25" x14ac:dyDescent="0.2">
      <c r="V1102" s="562"/>
      <c r="X1102" s="562"/>
      <c r="Y1102" s="562"/>
    </row>
    <row r="1103" spans="22:25" x14ac:dyDescent="0.2">
      <c r="V1103" s="562"/>
      <c r="X1103" s="562"/>
      <c r="Y1103" s="562"/>
    </row>
    <row r="1104" spans="22:25" x14ac:dyDescent="0.2">
      <c r="V1104" s="562"/>
      <c r="X1104" s="562"/>
      <c r="Y1104" s="562"/>
    </row>
    <row r="1105" spans="22:25" x14ac:dyDescent="0.2">
      <c r="V1105" s="562"/>
      <c r="X1105" s="562"/>
      <c r="Y1105" s="562"/>
    </row>
    <row r="1106" spans="22:25" x14ac:dyDescent="0.2">
      <c r="V1106" s="562"/>
      <c r="X1106" s="562"/>
      <c r="Y1106" s="562"/>
    </row>
    <row r="1107" spans="22:25" x14ac:dyDescent="0.2">
      <c r="V1107" s="562"/>
      <c r="X1107" s="562"/>
      <c r="Y1107" s="562"/>
    </row>
    <row r="1108" spans="22:25" x14ac:dyDescent="0.2">
      <c r="V1108" s="562"/>
      <c r="X1108" s="562"/>
      <c r="Y1108" s="562"/>
    </row>
    <row r="1109" spans="22:25" x14ac:dyDescent="0.2">
      <c r="V1109" s="562"/>
      <c r="X1109" s="562"/>
      <c r="Y1109" s="562"/>
    </row>
    <row r="1110" spans="22:25" x14ac:dyDescent="0.2">
      <c r="V1110" s="562"/>
      <c r="X1110" s="562"/>
      <c r="Y1110" s="562"/>
    </row>
    <row r="1111" spans="22:25" x14ac:dyDescent="0.2">
      <c r="V1111" s="562"/>
      <c r="X1111" s="562"/>
      <c r="Y1111" s="562"/>
    </row>
    <row r="1112" spans="22:25" x14ac:dyDescent="0.2">
      <c r="V1112" s="562"/>
      <c r="X1112" s="562"/>
      <c r="Y1112" s="562"/>
    </row>
    <row r="1113" spans="22:25" x14ac:dyDescent="0.2">
      <c r="V1113" s="562"/>
      <c r="X1113" s="562"/>
      <c r="Y1113" s="562"/>
    </row>
    <row r="1114" spans="22:25" x14ac:dyDescent="0.2">
      <c r="V1114" s="562"/>
      <c r="X1114" s="562"/>
      <c r="Y1114" s="562"/>
    </row>
    <row r="1115" spans="22:25" x14ac:dyDescent="0.2">
      <c r="V1115" s="562"/>
      <c r="X1115" s="562"/>
      <c r="Y1115" s="562"/>
    </row>
    <row r="1116" spans="22:25" x14ac:dyDescent="0.2">
      <c r="V1116" s="562"/>
      <c r="X1116" s="562"/>
      <c r="Y1116" s="562"/>
    </row>
    <row r="1117" spans="22:25" x14ac:dyDescent="0.2">
      <c r="V1117" s="562"/>
      <c r="X1117" s="562"/>
      <c r="Y1117" s="562"/>
    </row>
    <row r="1118" spans="22:25" x14ac:dyDescent="0.2">
      <c r="V1118" s="562"/>
      <c r="X1118" s="562"/>
      <c r="Y1118" s="562"/>
    </row>
    <row r="1119" spans="22:25" x14ac:dyDescent="0.2">
      <c r="V1119" s="562"/>
      <c r="X1119" s="562"/>
      <c r="Y1119" s="562"/>
    </row>
    <row r="1120" spans="22:25" x14ac:dyDescent="0.2">
      <c r="V1120" s="562"/>
      <c r="X1120" s="562"/>
      <c r="Y1120" s="562"/>
    </row>
    <row r="1121" spans="22:25" x14ac:dyDescent="0.2">
      <c r="V1121" s="562"/>
      <c r="X1121" s="562"/>
      <c r="Y1121" s="562"/>
    </row>
    <row r="1122" spans="22:25" x14ac:dyDescent="0.2">
      <c r="V1122" s="562"/>
      <c r="X1122" s="562"/>
      <c r="Y1122" s="562"/>
    </row>
    <row r="1123" spans="22:25" x14ac:dyDescent="0.2">
      <c r="V1123" s="562"/>
      <c r="X1123" s="562"/>
      <c r="Y1123" s="562"/>
    </row>
    <row r="1124" spans="22:25" x14ac:dyDescent="0.2">
      <c r="V1124" s="562"/>
      <c r="X1124" s="562"/>
      <c r="Y1124" s="562"/>
    </row>
    <row r="1125" spans="22:25" x14ac:dyDescent="0.2">
      <c r="V1125" s="562"/>
      <c r="X1125" s="562"/>
      <c r="Y1125" s="562"/>
    </row>
    <row r="1126" spans="22:25" x14ac:dyDescent="0.2">
      <c r="V1126" s="562"/>
      <c r="X1126" s="562"/>
      <c r="Y1126" s="562"/>
    </row>
    <row r="1127" spans="22:25" x14ac:dyDescent="0.2">
      <c r="V1127" s="562"/>
      <c r="X1127" s="562"/>
      <c r="Y1127" s="562"/>
    </row>
    <row r="1128" spans="22:25" x14ac:dyDescent="0.2">
      <c r="V1128" s="562"/>
      <c r="X1128" s="562"/>
      <c r="Y1128" s="562"/>
    </row>
    <row r="1129" spans="22:25" x14ac:dyDescent="0.2">
      <c r="V1129" s="562"/>
      <c r="X1129" s="562"/>
      <c r="Y1129" s="562"/>
    </row>
    <row r="1130" spans="22:25" x14ac:dyDescent="0.2">
      <c r="V1130" s="562"/>
      <c r="X1130" s="562"/>
      <c r="Y1130" s="562"/>
    </row>
    <row r="1131" spans="22:25" x14ac:dyDescent="0.2">
      <c r="V1131" s="562"/>
      <c r="X1131" s="562"/>
      <c r="Y1131" s="562"/>
    </row>
    <row r="1132" spans="22:25" x14ac:dyDescent="0.2">
      <c r="V1132" s="562"/>
      <c r="X1132" s="562"/>
      <c r="Y1132" s="562"/>
    </row>
    <row r="1133" spans="22:25" x14ac:dyDescent="0.2">
      <c r="V1133" s="562"/>
      <c r="X1133" s="562"/>
      <c r="Y1133" s="562"/>
    </row>
    <row r="1134" spans="22:25" x14ac:dyDescent="0.2">
      <c r="V1134" s="562"/>
      <c r="X1134" s="562"/>
      <c r="Y1134" s="562"/>
    </row>
    <row r="1135" spans="22:25" x14ac:dyDescent="0.2">
      <c r="V1135" s="562"/>
      <c r="X1135" s="562"/>
      <c r="Y1135" s="562"/>
    </row>
    <row r="1136" spans="22:25" x14ac:dyDescent="0.2">
      <c r="V1136" s="562"/>
      <c r="X1136" s="562"/>
      <c r="Y1136" s="562"/>
    </row>
    <row r="1137" spans="22:25" x14ac:dyDescent="0.2">
      <c r="V1137" s="562"/>
      <c r="X1137" s="562"/>
      <c r="Y1137" s="562"/>
    </row>
    <row r="1138" spans="22:25" x14ac:dyDescent="0.2">
      <c r="V1138" s="562"/>
      <c r="X1138" s="562"/>
      <c r="Y1138" s="562"/>
    </row>
    <row r="1139" spans="22:25" x14ac:dyDescent="0.2">
      <c r="V1139" s="562"/>
      <c r="X1139" s="562"/>
      <c r="Y1139" s="562"/>
    </row>
    <row r="1140" spans="22:25" x14ac:dyDescent="0.2">
      <c r="V1140" s="562"/>
      <c r="X1140" s="562"/>
      <c r="Y1140" s="562"/>
    </row>
    <row r="1141" spans="22:25" x14ac:dyDescent="0.2">
      <c r="V1141" s="562"/>
      <c r="X1141" s="562"/>
      <c r="Y1141" s="562"/>
    </row>
    <row r="1142" spans="22:25" x14ac:dyDescent="0.2">
      <c r="V1142" s="562"/>
      <c r="X1142" s="562"/>
      <c r="Y1142" s="562"/>
    </row>
    <row r="1143" spans="22:25" x14ac:dyDescent="0.2">
      <c r="V1143" s="562"/>
      <c r="X1143" s="562"/>
      <c r="Y1143" s="562"/>
    </row>
    <row r="1144" spans="22:25" x14ac:dyDescent="0.2">
      <c r="V1144" s="562"/>
      <c r="X1144" s="562"/>
      <c r="Y1144" s="562"/>
    </row>
    <row r="1145" spans="22:25" x14ac:dyDescent="0.2">
      <c r="V1145" s="562"/>
      <c r="X1145" s="562"/>
      <c r="Y1145" s="562"/>
    </row>
    <row r="1146" spans="22:25" x14ac:dyDescent="0.2">
      <c r="V1146" s="562"/>
      <c r="X1146" s="562"/>
      <c r="Y1146" s="562"/>
    </row>
    <row r="1147" spans="22:25" x14ac:dyDescent="0.2">
      <c r="V1147" s="562"/>
      <c r="X1147" s="562"/>
      <c r="Y1147" s="562"/>
    </row>
    <row r="1148" spans="22:25" x14ac:dyDescent="0.2">
      <c r="V1148" s="562"/>
      <c r="X1148" s="562"/>
      <c r="Y1148" s="562"/>
    </row>
    <row r="1149" spans="22:25" x14ac:dyDescent="0.2">
      <c r="V1149" s="562"/>
      <c r="X1149" s="562"/>
      <c r="Y1149" s="562"/>
    </row>
    <row r="1150" spans="22:25" x14ac:dyDescent="0.2">
      <c r="V1150" s="562"/>
      <c r="X1150" s="562"/>
      <c r="Y1150" s="562"/>
    </row>
    <row r="1151" spans="22:25" x14ac:dyDescent="0.2">
      <c r="V1151" s="562"/>
      <c r="X1151" s="562"/>
      <c r="Y1151" s="562"/>
    </row>
    <row r="1152" spans="22:25" x14ac:dyDescent="0.2">
      <c r="V1152" s="562"/>
      <c r="X1152" s="562"/>
      <c r="Y1152" s="562"/>
    </row>
    <row r="1153" spans="22:25" x14ac:dyDescent="0.2">
      <c r="V1153" s="562"/>
      <c r="X1153" s="562"/>
      <c r="Y1153" s="562"/>
    </row>
    <row r="1154" spans="22:25" x14ac:dyDescent="0.2">
      <c r="V1154" s="562"/>
      <c r="X1154" s="562"/>
      <c r="Y1154" s="562"/>
    </row>
    <row r="1155" spans="22:25" x14ac:dyDescent="0.2">
      <c r="V1155" s="562"/>
      <c r="X1155" s="562"/>
      <c r="Y1155" s="562"/>
    </row>
    <row r="1156" spans="22:25" x14ac:dyDescent="0.2">
      <c r="V1156" s="562"/>
      <c r="X1156" s="562"/>
      <c r="Y1156" s="562"/>
    </row>
    <row r="1157" spans="22:25" x14ac:dyDescent="0.2">
      <c r="V1157" s="562"/>
      <c r="X1157" s="562"/>
      <c r="Y1157" s="562"/>
    </row>
    <row r="1158" spans="22:25" x14ac:dyDescent="0.2">
      <c r="V1158" s="562"/>
      <c r="X1158" s="562"/>
      <c r="Y1158" s="562"/>
    </row>
    <row r="1159" spans="22:25" x14ac:dyDescent="0.2">
      <c r="V1159" s="562"/>
      <c r="X1159" s="562"/>
      <c r="Y1159" s="562"/>
    </row>
    <row r="1160" spans="22:25" x14ac:dyDescent="0.2">
      <c r="V1160" s="562"/>
      <c r="X1160" s="562"/>
      <c r="Y1160" s="562"/>
    </row>
    <row r="1161" spans="22:25" x14ac:dyDescent="0.2">
      <c r="V1161" s="562"/>
      <c r="X1161" s="562"/>
      <c r="Y1161" s="562"/>
    </row>
    <row r="1162" spans="22:25" x14ac:dyDescent="0.2">
      <c r="V1162" s="562"/>
      <c r="X1162" s="562"/>
      <c r="Y1162" s="562"/>
    </row>
    <row r="1163" spans="22:25" x14ac:dyDescent="0.2">
      <c r="V1163" s="562"/>
      <c r="X1163" s="562"/>
      <c r="Y1163" s="562"/>
    </row>
    <row r="1164" spans="22:25" x14ac:dyDescent="0.2">
      <c r="V1164" s="562"/>
      <c r="X1164" s="562"/>
      <c r="Y1164" s="562"/>
    </row>
    <row r="1165" spans="22:25" x14ac:dyDescent="0.2">
      <c r="V1165" s="562"/>
      <c r="X1165" s="562"/>
      <c r="Y1165" s="562"/>
    </row>
    <row r="1166" spans="22:25" x14ac:dyDescent="0.2">
      <c r="V1166" s="562"/>
      <c r="X1166" s="562"/>
      <c r="Y1166" s="562"/>
    </row>
    <row r="1167" spans="22:25" x14ac:dyDescent="0.2">
      <c r="V1167" s="562"/>
      <c r="X1167" s="562"/>
      <c r="Y1167" s="562"/>
    </row>
    <row r="1168" spans="22:25" x14ac:dyDescent="0.2">
      <c r="V1168" s="562"/>
      <c r="X1168" s="562"/>
      <c r="Y1168" s="562"/>
    </row>
    <row r="1169" spans="22:25" x14ac:dyDescent="0.2">
      <c r="V1169" s="562"/>
      <c r="X1169" s="562"/>
      <c r="Y1169" s="562"/>
    </row>
    <row r="1170" spans="22:25" x14ac:dyDescent="0.2">
      <c r="V1170" s="562"/>
      <c r="X1170" s="562"/>
      <c r="Y1170" s="562"/>
    </row>
    <row r="1171" spans="22:25" x14ac:dyDescent="0.2">
      <c r="V1171" s="562"/>
      <c r="X1171" s="562"/>
      <c r="Y1171" s="562"/>
    </row>
    <row r="1172" spans="22:25" x14ac:dyDescent="0.2">
      <c r="V1172" s="562"/>
      <c r="X1172" s="562"/>
      <c r="Y1172" s="562"/>
    </row>
    <row r="1173" spans="22:25" x14ac:dyDescent="0.2">
      <c r="V1173" s="562"/>
      <c r="X1173" s="562"/>
      <c r="Y1173" s="562"/>
    </row>
    <row r="1174" spans="22:25" x14ac:dyDescent="0.2">
      <c r="V1174" s="562"/>
      <c r="X1174" s="562"/>
      <c r="Y1174" s="562"/>
    </row>
    <row r="1175" spans="22:25" x14ac:dyDescent="0.2">
      <c r="V1175" s="562"/>
      <c r="X1175" s="562"/>
      <c r="Y1175" s="562"/>
    </row>
    <row r="1176" spans="22:25" x14ac:dyDescent="0.2">
      <c r="V1176" s="562"/>
      <c r="X1176" s="562"/>
      <c r="Y1176" s="562"/>
    </row>
    <row r="1177" spans="22:25" x14ac:dyDescent="0.2">
      <c r="V1177" s="562"/>
      <c r="X1177" s="562"/>
      <c r="Y1177" s="562"/>
    </row>
    <row r="1178" spans="22:25" x14ac:dyDescent="0.2">
      <c r="V1178" s="562"/>
      <c r="X1178" s="562"/>
      <c r="Y1178" s="562"/>
    </row>
    <row r="1179" spans="22:25" x14ac:dyDescent="0.2">
      <c r="V1179" s="562"/>
      <c r="X1179" s="562"/>
      <c r="Y1179" s="562"/>
    </row>
    <row r="1180" spans="22:25" x14ac:dyDescent="0.2">
      <c r="V1180" s="562"/>
      <c r="X1180" s="562"/>
      <c r="Y1180" s="562"/>
    </row>
    <row r="1181" spans="22:25" x14ac:dyDescent="0.2">
      <c r="V1181" s="562"/>
      <c r="X1181" s="562"/>
      <c r="Y1181" s="562"/>
    </row>
    <row r="1182" spans="22:25" x14ac:dyDescent="0.2">
      <c r="V1182" s="562"/>
      <c r="X1182" s="562"/>
      <c r="Y1182" s="562"/>
    </row>
    <row r="1183" spans="22:25" x14ac:dyDescent="0.2">
      <c r="V1183" s="562"/>
      <c r="X1183" s="562"/>
      <c r="Y1183" s="562"/>
    </row>
    <row r="1184" spans="22:25" x14ac:dyDescent="0.2">
      <c r="V1184" s="562"/>
      <c r="X1184" s="562"/>
      <c r="Y1184" s="562"/>
    </row>
    <row r="1185" spans="22:25" x14ac:dyDescent="0.2">
      <c r="V1185" s="562"/>
      <c r="X1185" s="562"/>
      <c r="Y1185" s="562"/>
    </row>
    <row r="1186" spans="22:25" x14ac:dyDescent="0.2">
      <c r="V1186" s="562"/>
      <c r="X1186" s="562"/>
      <c r="Y1186" s="562"/>
    </row>
    <row r="1187" spans="22:25" x14ac:dyDescent="0.2">
      <c r="V1187" s="562"/>
      <c r="X1187" s="562"/>
      <c r="Y1187" s="562"/>
    </row>
    <row r="1188" spans="22:25" x14ac:dyDescent="0.2">
      <c r="V1188" s="562"/>
      <c r="X1188" s="562"/>
      <c r="Y1188" s="562"/>
    </row>
    <row r="1189" spans="22:25" x14ac:dyDescent="0.2">
      <c r="V1189" s="562"/>
      <c r="X1189" s="562"/>
      <c r="Y1189" s="562"/>
    </row>
    <row r="1190" spans="22:25" x14ac:dyDescent="0.2">
      <c r="V1190" s="562"/>
      <c r="X1190" s="562"/>
      <c r="Y1190" s="562"/>
    </row>
    <row r="1191" spans="22:25" x14ac:dyDescent="0.2">
      <c r="V1191" s="562"/>
      <c r="X1191" s="562"/>
      <c r="Y1191" s="562"/>
    </row>
    <row r="1192" spans="22:25" x14ac:dyDescent="0.2">
      <c r="V1192" s="562"/>
      <c r="X1192" s="562"/>
      <c r="Y1192" s="562"/>
    </row>
    <row r="1193" spans="22:25" x14ac:dyDescent="0.2">
      <c r="V1193" s="562"/>
      <c r="X1193" s="562"/>
      <c r="Y1193" s="562"/>
    </row>
    <row r="1194" spans="22:25" x14ac:dyDescent="0.2">
      <c r="V1194" s="562"/>
      <c r="X1194" s="562"/>
      <c r="Y1194" s="562"/>
    </row>
    <row r="1195" spans="22:25" x14ac:dyDescent="0.2">
      <c r="V1195" s="562"/>
      <c r="X1195" s="562"/>
      <c r="Y1195" s="562"/>
    </row>
    <row r="1196" spans="22:25" x14ac:dyDescent="0.2">
      <c r="V1196" s="562"/>
      <c r="X1196" s="562"/>
      <c r="Y1196" s="562"/>
    </row>
    <row r="1197" spans="22:25" x14ac:dyDescent="0.2">
      <c r="V1197" s="562"/>
      <c r="X1197" s="562"/>
      <c r="Y1197" s="562"/>
    </row>
    <row r="1198" spans="22:25" x14ac:dyDescent="0.2">
      <c r="V1198" s="562"/>
      <c r="X1198" s="562"/>
      <c r="Y1198" s="562"/>
    </row>
    <row r="1199" spans="22:25" x14ac:dyDescent="0.2">
      <c r="V1199" s="562"/>
      <c r="X1199" s="562"/>
      <c r="Y1199" s="562"/>
    </row>
    <row r="1200" spans="22:25" x14ac:dyDescent="0.2">
      <c r="V1200" s="562"/>
      <c r="X1200" s="562"/>
      <c r="Y1200" s="562"/>
    </row>
    <row r="1201" spans="22:25" x14ac:dyDescent="0.2">
      <c r="V1201" s="562"/>
      <c r="X1201" s="562"/>
      <c r="Y1201" s="562"/>
    </row>
    <row r="1202" spans="22:25" x14ac:dyDescent="0.2">
      <c r="V1202" s="562"/>
      <c r="X1202" s="562"/>
      <c r="Y1202" s="562"/>
    </row>
    <row r="1203" spans="22:25" x14ac:dyDescent="0.2">
      <c r="V1203" s="562"/>
      <c r="X1203" s="562"/>
      <c r="Y1203" s="562"/>
    </row>
    <row r="1204" spans="22:25" x14ac:dyDescent="0.2">
      <c r="V1204" s="562"/>
      <c r="X1204" s="562"/>
      <c r="Y1204" s="562"/>
    </row>
    <row r="1205" spans="22:25" x14ac:dyDescent="0.2">
      <c r="V1205" s="562"/>
      <c r="X1205" s="562"/>
      <c r="Y1205" s="562"/>
    </row>
    <row r="1206" spans="22:25" x14ac:dyDescent="0.2">
      <c r="V1206" s="562"/>
      <c r="X1206" s="562"/>
      <c r="Y1206" s="562"/>
    </row>
    <row r="1207" spans="22:25" x14ac:dyDescent="0.2">
      <c r="V1207" s="562"/>
      <c r="X1207" s="562"/>
      <c r="Y1207" s="562"/>
    </row>
    <row r="1208" spans="22:25" x14ac:dyDescent="0.2">
      <c r="V1208" s="562"/>
      <c r="X1208" s="562"/>
      <c r="Y1208" s="562"/>
    </row>
    <row r="1209" spans="22:25" x14ac:dyDescent="0.2">
      <c r="V1209" s="562"/>
      <c r="X1209" s="562"/>
      <c r="Y1209" s="562"/>
    </row>
    <row r="1210" spans="22:25" x14ac:dyDescent="0.2">
      <c r="V1210" s="562"/>
      <c r="X1210" s="562"/>
      <c r="Y1210" s="562"/>
    </row>
    <row r="1211" spans="22:25" x14ac:dyDescent="0.2">
      <c r="V1211" s="562"/>
      <c r="X1211" s="562"/>
      <c r="Y1211" s="562"/>
    </row>
    <row r="1212" spans="22:25" x14ac:dyDescent="0.2">
      <c r="V1212" s="562"/>
      <c r="X1212" s="562"/>
      <c r="Y1212" s="562"/>
    </row>
    <row r="1213" spans="22:25" x14ac:dyDescent="0.2">
      <c r="V1213" s="562"/>
      <c r="X1213" s="562"/>
      <c r="Y1213" s="562"/>
    </row>
    <row r="1214" spans="22:25" x14ac:dyDescent="0.2">
      <c r="V1214" s="562"/>
      <c r="X1214" s="562"/>
      <c r="Y1214" s="562"/>
    </row>
    <row r="1215" spans="22:25" x14ac:dyDescent="0.2">
      <c r="V1215" s="562"/>
      <c r="X1215" s="562"/>
      <c r="Y1215" s="562"/>
    </row>
    <row r="1216" spans="22:25" x14ac:dyDescent="0.2">
      <c r="V1216" s="562"/>
      <c r="X1216" s="562"/>
      <c r="Y1216" s="562"/>
    </row>
    <row r="1217" spans="22:25" x14ac:dyDescent="0.2">
      <c r="V1217" s="562"/>
      <c r="X1217" s="562"/>
      <c r="Y1217" s="562"/>
    </row>
    <row r="1218" spans="22:25" x14ac:dyDescent="0.2">
      <c r="V1218" s="562"/>
      <c r="X1218" s="562"/>
      <c r="Y1218" s="562"/>
    </row>
    <row r="1219" spans="22:25" x14ac:dyDescent="0.2">
      <c r="V1219" s="562"/>
      <c r="X1219" s="562"/>
      <c r="Y1219" s="562"/>
    </row>
    <row r="1220" spans="22:25" x14ac:dyDescent="0.2">
      <c r="V1220" s="562"/>
      <c r="X1220" s="562"/>
      <c r="Y1220" s="562"/>
    </row>
    <row r="1221" spans="22:25" x14ac:dyDescent="0.2">
      <c r="V1221" s="562"/>
      <c r="X1221" s="562"/>
      <c r="Y1221" s="562"/>
    </row>
    <row r="1222" spans="22:25" x14ac:dyDescent="0.2">
      <c r="V1222" s="562"/>
      <c r="X1222" s="562"/>
      <c r="Y1222" s="562"/>
    </row>
    <row r="1223" spans="22:25" x14ac:dyDescent="0.2">
      <c r="V1223" s="562"/>
      <c r="X1223" s="562"/>
      <c r="Y1223" s="562"/>
    </row>
    <row r="1224" spans="22:25" x14ac:dyDescent="0.2">
      <c r="V1224" s="562"/>
      <c r="X1224" s="562"/>
      <c r="Y1224" s="562"/>
    </row>
    <row r="1225" spans="22:25" x14ac:dyDescent="0.2">
      <c r="V1225" s="562"/>
      <c r="X1225" s="562"/>
      <c r="Y1225" s="562"/>
    </row>
    <row r="1226" spans="22:25" x14ac:dyDescent="0.2">
      <c r="V1226" s="562"/>
      <c r="X1226" s="562"/>
      <c r="Y1226" s="562"/>
    </row>
    <row r="1227" spans="22:25" x14ac:dyDescent="0.2">
      <c r="V1227" s="562"/>
      <c r="X1227" s="562"/>
      <c r="Y1227" s="562"/>
    </row>
    <row r="1228" spans="22:25" x14ac:dyDescent="0.2">
      <c r="V1228" s="562"/>
      <c r="X1228" s="562"/>
      <c r="Y1228" s="562"/>
    </row>
    <row r="1229" spans="22:25" x14ac:dyDescent="0.2">
      <c r="V1229" s="562"/>
      <c r="X1229" s="562"/>
      <c r="Y1229" s="562"/>
    </row>
    <row r="1230" spans="22:25" x14ac:dyDescent="0.2">
      <c r="V1230" s="562"/>
      <c r="X1230" s="562"/>
      <c r="Y1230" s="562"/>
    </row>
    <row r="1231" spans="22:25" x14ac:dyDescent="0.2">
      <c r="V1231" s="562"/>
      <c r="X1231" s="562"/>
      <c r="Y1231" s="562"/>
    </row>
    <row r="1232" spans="22:25" x14ac:dyDescent="0.2">
      <c r="V1232" s="562"/>
      <c r="X1232" s="562"/>
      <c r="Y1232" s="562"/>
    </row>
    <row r="1233" spans="22:25" x14ac:dyDescent="0.2">
      <c r="V1233" s="562"/>
      <c r="X1233" s="562"/>
      <c r="Y1233" s="562"/>
    </row>
    <row r="1234" spans="22:25" x14ac:dyDescent="0.2">
      <c r="V1234" s="562"/>
      <c r="X1234" s="562"/>
      <c r="Y1234" s="562"/>
    </row>
    <row r="1235" spans="22:25" x14ac:dyDescent="0.2">
      <c r="V1235" s="562"/>
      <c r="X1235" s="562"/>
      <c r="Y1235" s="562"/>
    </row>
    <row r="1236" spans="22:25" x14ac:dyDescent="0.2">
      <c r="V1236" s="562"/>
      <c r="X1236" s="562"/>
      <c r="Y1236" s="562"/>
    </row>
    <row r="1237" spans="22:25" x14ac:dyDescent="0.2">
      <c r="V1237" s="562"/>
      <c r="X1237" s="562"/>
      <c r="Y1237" s="562"/>
    </row>
    <row r="1238" spans="22:25" x14ac:dyDescent="0.2">
      <c r="V1238" s="562"/>
      <c r="X1238" s="562"/>
      <c r="Y1238" s="562"/>
    </row>
    <row r="1239" spans="22:25" x14ac:dyDescent="0.2">
      <c r="V1239" s="562"/>
      <c r="X1239" s="562"/>
      <c r="Y1239" s="562"/>
    </row>
    <row r="1240" spans="22:25" x14ac:dyDescent="0.2">
      <c r="V1240" s="562"/>
      <c r="X1240" s="562"/>
      <c r="Y1240" s="562"/>
    </row>
    <row r="1241" spans="22:25" x14ac:dyDescent="0.2">
      <c r="V1241" s="562"/>
      <c r="X1241" s="562"/>
      <c r="Y1241" s="562"/>
    </row>
    <row r="1242" spans="22:25" x14ac:dyDescent="0.2">
      <c r="V1242" s="562"/>
      <c r="X1242" s="562"/>
      <c r="Y1242" s="562"/>
    </row>
    <row r="1243" spans="22:25" x14ac:dyDescent="0.2">
      <c r="V1243" s="562"/>
      <c r="X1243" s="562"/>
      <c r="Y1243" s="562"/>
    </row>
    <row r="1244" spans="22:25" x14ac:dyDescent="0.2">
      <c r="V1244" s="562"/>
      <c r="X1244" s="562"/>
      <c r="Y1244" s="562"/>
    </row>
    <row r="1245" spans="22:25" x14ac:dyDescent="0.2">
      <c r="V1245" s="562"/>
      <c r="X1245" s="562"/>
      <c r="Y1245" s="562"/>
    </row>
    <row r="1246" spans="22:25" x14ac:dyDescent="0.2">
      <c r="V1246" s="562"/>
      <c r="X1246" s="562"/>
      <c r="Y1246" s="562"/>
    </row>
    <row r="1247" spans="22:25" x14ac:dyDescent="0.2">
      <c r="V1247" s="562"/>
      <c r="X1247" s="562"/>
      <c r="Y1247" s="562"/>
    </row>
    <row r="1248" spans="22:25" x14ac:dyDescent="0.2">
      <c r="V1248" s="562"/>
      <c r="X1248" s="562"/>
      <c r="Y1248" s="562"/>
    </row>
    <row r="1249" spans="22:25" x14ac:dyDescent="0.2">
      <c r="V1249" s="562"/>
      <c r="X1249" s="562"/>
      <c r="Y1249" s="562"/>
    </row>
    <row r="1250" spans="22:25" x14ac:dyDescent="0.2">
      <c r="V1250" s="562"/>
      <c r="X1250" s="562"/>
      <c r="Y1250" s="562"/>
    </row>
    <row r="1251" spans="22:25" x14ac:dyDescent="0.2">
      <c r="V1251" s="562"/>
      <c r="X1251" s="562"/>
      <c r="Y1251" s="562"/>
    </row>
    <row r="1252" spans="22:25" x14ac:dyDescent="0.2">
      <c r="V1252" s="562"/>
      <c r="X1252" s="562"/>
      <c r="Y1252" s="562"/>
    </row>
    <row r="1253" spans="22:25" x14ac:dyDescent="0.2">
      <c r="V1253" s="562"/>
      <c r="X1253" s="562"/>
      <c r="Y1253" s="562"/>
    </row>
    <row r="1254" spans="22:25" x14ac:dyDescent="0.2">
      <c r="V1254" s="562"/>
      <c r="X1254" s="562"/>
      <c r="Y1254" s="562"/>
    </row>
    <row r="1255" spans="22:25" x14ac:dyDescent="0.2">
      <c r="V1255" s="562"/>
      <c r="X1255" s="562"/>
      <c r="Y1255" s="562"/>
    </row>
    <row r="1256" spans="22:25" x14ac:dyDescent="0.2">
      <c r="V1256" s="562"/>
      <c r="X1256" s="562"/>
      <c r="Y1256" s="562"/>
    </row>
    <row r="1257" spans="22:25" x14ac:dyDescent="0.2">
      <c r="V1257" s="562"/>
      <c r="X1257" s="562"/>
      <c r="Y1257" s="562"/>
    </row>
    <row r="1258" spans="22:25" x14ac:dyDescent="0.2">
      <c r="V1258" s="562"/>
      <c r="X1258" s="562"/>
      <c r="Y1258" s="562"/>
    </row>
    <row r="1259" spans="22:25" x14ac:dyDescent="0.2">
      <c r="V1259" s="562"/>
      <c r="X1259" s="562"/>
      <c r="Y1259" s="562"/>
    </row>
    <row r="1260" spans="22:25" x14ac:dyDescent="0.2">
      <c r="V1260" s="562"/>
      <c r="X1260" s="562"/>
      <c r="Y1260" s="562"/>
    </row>
    <row r="1261" spans="22:25" x14ac:dyDescent="0.2">
      <c r="V1261" s="562"/>
      <c r="X1261" s="562"/>
      <c r="Y1261" s="562"/>
    </row>
    <row r="1262" spans="22:25" x14ac:dyDescent="0.2">
      <c r="V1262" s="562"/>
      <c r="X1262" s="562"/>
      <c r="Y1262" s="562"/>
    </row>
    <row r="1263" spans="22:25" x14ac:dyDescent="0.2">
      <c r="V1263" s="562"/>
      <c r="X1263" s="562"/>
      <c r="Y1263" s="562"/>
    </row>
    <row r="1264" spans="22:25" x14ac:dyDescent="0.2">
      <c r="V1264" s="562"/>
      <c r="X1264" s="562"/>
      <c r="Y1264" s="562"/>
    </row>
    <row r="1265" spans="22:25" x14ac:dyDescent="0.2">
      <c r="V1265" s="562"/>
      <c r="X1265" s="562"/>
      <c r="Y1265" s="562"/>
    </row>
    <row r="1266" spans="22:25" x14ac:dyDescent="0.2">
      <c r="V1266" s="562"/>
      <c r="X1266" s="562"/>
      <c r="Y1266" s="562"/>
    </row>
    <row r="1267" spans="22:25" x14ac:dyDescent="0.2">
      <c r="V1267" s="562"/>
      <c r="X1267" s="562"/>
      <c r="Y1267" s="562"/>
    </row>
    <row r="1268" spans="22:25" x14ac:dyDescent="0.2">
      <c r="V1268" s="562"/>
      <c r="X1268" s="562"/>
      <c r="Y1268" s="562"/>
    </row>
    <row r="1269" spans="22:25" x14ac:dyDescent="0.2">
      <c r="V1269" s="562"/>
      <c r="X1269" s="562"/>
      <c r="Y1269" s="562"/>
    </row>
    <row r="1270" spans="22:25" x14ac:dyDescent="0.2">
      <c r="V1270" s="562"/>
      <c r="X1270" s="562"/>
      <c r="Y1270" s="562"/>
    </row>
    <row r="1271" spans="22:25" x14ac:dyDescent="0.2">
      <c r="V1271" s="562"/>
      <c r="X1271" s="562"/>
      <c r="Y1271" s="562"/>
    </row>
    <row r="1272" spans="22:25" x14ac:dyDescent="0.2">
      <c r="V1272" s="562"/>
      <c r="X1272" s="562"/>
      <c r="Y1272" s="562"/>
    </row>
    <row r="1273" spans="22:25" x14ac:dyDescent="0.2">
      <c r="V1273" s="562"/>
      <c r="X1273" s="562"/>
      <c r="Y1273" s="562"/>
    </row>
    <row r="1274" spans="22:25" x14ac:dyDescent="0.2">
      <c r="V1274" s="562"/>
      <c r="X1274" s="562"/>
      <c r="Y1274" s="562"/>
    </row>
    <row r="1275" spans="22:25" x14ac:dyDescent="0.2">
      <c r="V1275" s="562"/>
      <c r="X1275" s="562"/>
      <c r="Y1275" s="562"/>
    </row>
    <row r="1276" spans="22:25" x14ac:dyDescent="0.2">
      <c r="V1276" s="562"/>
      <c r="X1276" s="562"/>
      <c r="Y1276" s="562"/>
    </row>
    <row r="1277" spans="22:25" x14ac:dyDescent="0.2">
      <c r="V1277" s="562"/>
      <c r="X1277" s="562"/>
      <c r="Y1277" s="562"/>
    </row>
    <row r="1278" spans="22:25" x14ac:dyDescent="0.2">
      <c r="V1278" s="562"/>
      <c r="X1278" s="562"/>
      <c r="Y1278" s="562"/>
    </row>
    <row r="1279" spans="22:25" x14ac:dyDescent="0.2">
      <c r="V1279" s="562"/>
      <c r="X1279" s="562"/>
      <c r="Y1279" s="562"/>
    </row>
    <row r="1280" spans="22:25" x14ac:dyDescent="0.2">
      <c r="V1280" s="562"/>
      <c r="X1280" s="562"/>
      <c r="Y1280" s="562"/>
    </row>
    <row r="1281" spans="22:25" x14ac:dyDescent="0.2">
      <c r="V1281" s="562"/>
      <c r="X1281" s="562"/>
      <c r="Y1281" s="562"/>
    </row>
    <row r="1282" spans="22:25" x14ac:dyDescent="0.2">
      <c r="V1282" s="562"/>
      <c r="X1282" s="562"/>
      <c r="Y1282" s="562"/>
    </row>
    <row r="1283" spans="22:25" x14ac:dyDescent="0.2">
      <c r="V1283" s="562"/>
      <c r="X1283" s="562"/>
      <c r="Y1283" s="562"/>
    </row>
    <row r="1284" spans="22:25" x14ac:dyDescent="0.2">
      <c r="V1284" s="562"/>
      <c r="X1284" s="562"/>
      <c r="Y1284" s="562"/>
    </row>
    <row r="1285" spans="22:25" x14ac:dyDescent="0.2">
      <c r="V1285" s="562"/>
      <c r="X1285" s="562"/>
      <c r="Y1285" s="562"/>
    </row>
    <row r="1286" spans="22:25" x14ac:dyDescent="0.2">
      <c r="V1286" s="562"/>
      <c r="X1286" s="562"/>
      <c r="Y1286" s="562"/>
    </row>
    <row r="1287" spans="22:25" x14ac:dyDescent="0.2">
      <c r="V1287" s="562"/>
      <c r="X1287" s="562"/>
      <c r="Y1287" s="562"/>
    </row>
    <row r="1288" spans="22:25" x14ac:dyDescent="0.2">
      <c r="V1288" s="562"/>
      <c r="X1288" s="562"/>
      <c r="Y1288" s="562"/>
    </row>
    <row r="1289" spans="22:25" x14ac:dyDescent="0.2">
      <c r="V1289" s="562"/>
      <c r="X1289" s="562"/>
      <c r="Y1289" s="562"/>
    </row>
    <row r="1290" spans="22:25" x14ac:dyDescent="0.2">
      <c r="V1290" s="562"/>
      <c r="X1290" s="562"/>
      <c r="Y1290" s="562"/>
    </row>
    <row r="1291" spans="22:25" x14ac:dyDescent="0.2">
      <c r="V1291" s="562"/>
      <c r="X1291" s="562"/>
      <c r="Y1291" s="562"/>
    </row>
    <row r="1292" spans="22:25" x14ac:dyDescent="0.2">
      <c r="V1292" s="562"/>
      <c r="X1292" s="562"/>
      <c r="Y1292" s="562"/>
    </row>
    <row r="1293" spans="22:25" x14ac:dyDescent="0.2">
      <c r="V1293" s="562"/>
      <c r="X1293" s="562"/>
      <c r="Y1293" s="562"/>
    </row>
    <row r="1294" spans="22:25" x14ac:dyDescent="0.2">
      <c r="V1294" s="562"/>
      <c r="X1294" s="562"/>
      <c r="Y1294" s="562"/>
    </row>
    <row r="1295" spans="22:25" x14ac:dyDescent="0.2">
      <c r="V1295" s="562"/>
      <c r="X1295" s="562"/>
      <c r="Y1295" s="562"/>
    </row>
    <row r="1296" spans="22:25" x14ac:dyDescent="0.2">
      <c r="V1296" s="562"/>
      <c r="X1296" s="562"/>
      <c r="Y1296" s="562"/>
    </row>
    <row r="1297" spans="22:25" x14ac:dyDescent="0.2">
      <c r="V1297" s="562"/>
      <c r="X1297" s="562"/>
      <c r="Y1297" s="562"/>
    </row>
    <row r="1298" spans="22:25" x14ac:dyDescent="0.2">
      <c r="V1298" s="562"/>
      <c r="X1298" s="562"/>
      <c r="Y1298" s="562"/>
    </row>
    <row r="1299" spans="22:25" x14ac:dyDescent="0.2">
      <c r="V1299" s="562"/>
      <c r="X1299" s="562"/>
      <c r="Y1299" s="562"/>
    </row>
    <row r="1300" spans="22:25" x14ac:dyDescent="0.2">
      <c r="V1300" s="562"/>
      <c r="X1300" s="562"/>
      <c r="Y1300" s="562"/>
    </row>
    <row r="1301" spans="22:25" x14ac:dyDescent="0.2">
      <c r="V1301" s="562"/>
      <c r="X1301" s="562"/>
      <c r="Y1301" s="562"/>
    </row>
    <row r="1302" spans="22:25" x14ac:dyDescent="0.2">
      <c r="V1302" s="562"/>
      <c r="X1302" s="562"/>
      <c r="Y1302" s="562"/>
    </row>
    <row r="1303" spans="22:25" x14ac:dyDescent="0.2">
      <c r="V1303" s="562"/>
      <c r="X1303" s="562"/>
      <c r="Y1303" s="562"/>
    </row>
    <row r="1304" spans="22:25" x14ac:dyDescent="0.2">
      <c r="V1304" s="562"/>
      <c r="X1304" s="562"/>
      <c r="Y1304" s="562"/>
    </row>
    <row r="1305" spans="22:25" x14ac:dyDescent="0.2">
      <c r="V1305" s="562"/>
      <c r="X1305" s="562"/>
      <c r="Y1305" s="562"/>
    </row>
    <row r="1306" spans="22:25" x14ac:dyDescent="0.2">
      <c r="V1306" s="562"/>
      <c r="X1306" s="562"/>
      <c r="Y1306" s="562"/>
    </row>
    <row r="1307" spans="22:25" x14ac:dyDescent="0.2">
      <c r="V1307" s="562"/>
      <c r="X1307" s="562"/>
      <c r="Y1307" s="562"/>
    </row>
    <row r="1308" spans="22:25" x14ac:dyDescent="0.2">
      <c r="V1308" s="562"/>
      <c r="X1308" s="562"/>
      <c r="Y1308" s="562"/>
    </row>
    <row r="1309" spans="22:25" x14ac:dyDescent="0.2">
      <c r="V1309" s="562"/>
      <c r="X1309" s="562"/>
      <c r="Y1309" s="562"/>
    </row>
    <row r="1310" spans="22:25" x14ac:dyDescent="0.2">
      <c r="V1310" s="562"/>
      <c r="X1310" s="562"/>
      <c r="Y1310" s="562"/>
    </row>
    <row r="1311" spans="22:25" x14ac:dyDescent="0.2">
      <c r="V1311" s="562"/>
      <c r="X1311" s="562"/>
      <c r="Y1311" s="562"/>
    </row>
    <row r="1312" spans="22:25" x14ac:dyDescent="0.2">
      <c r="V1312" s="562"/>
      <c r="X1312" s="562"/>
      <c r="Y1312" s="562"/>
    </row>
    <row r="1313" spans="22:25" x14ac:dyDescent="0.2">
      <c r="V1313" s="562"/>
      <c r="X1313" s="562"/>
      <c r="Y1313" s="562"/>
    </row>
    <row r="1314" spans="22:25" x14ac:dyDescent="0.2">
      <c r="V1314" s="562"/>
      <c r="X1314" s="562"/>
      <c r="Y1314" s="562"/>
    </row>
    <row r="1315" spans="22:25" x14ac:dyDescent="0.2">
      <c r="V1315" s="562"/>
      <c r="X1315" s="562"/>
      <c r="Y1315" s="562"/>
    </row>
    <row r="1316" spans="22:25" x14ac:dyDescent="0.2">
      <c r="V1316" s="562"/>
      <c r="X1316" s="562"/>
      <c r="Y1316" s="562"/>
    </row>
    <row r="1317" spans="22:25" x14ac:dyDescent="0.2">
      <c r="V1317" s="562"/>
      <c r="X1317" s="562"/>
      <c r="Y1317" s="562"/>
    </row>
    <row r="1318" spans="22:25" x14ac:dyDescent="0.2">
      <c r="V1318" s="562"/>
      <c r="X1318" s="562"/>
      <c r="Y1318" s="562"/>
    </row>
    <row r="1319" spans="22:25" x14ac:dyDescent="0.2">
      <c r="V1319" s="562"/>
      <c r="X1319" s="562"/>
      <c r="Y1319" s="562"/>
    </row>
    <row r="1320" spans="22:25" x14ac:dyDescent="0.2">
      <c r="V1320" s="562"/>
      <c r="X1320" s="562"/>
      <c r="Y1320" s="562"/>
    </row>
    <row r="1321" spans="22:25" x14ac:dyDescent="0.2">
      <c r="V1321" s="562"/>
      <c r="X1321" s="562"/>
      <c r="Y1321" s="562"/>
    </row>
    <row r="1322" spans="22:25" x14ac:dyDescent="0.2">
      <c r="V1322" s="562"/>
      <c r="X1322" s="562"/>
      <c r="Y1322" s="562"/>
    </row>
    <row r="1323" spans="22:25" x14ac:dyDescent="0.2">
      <c r="V1323" s="562"/>
      <c r="X1323" s="562"/>
      <c r="Y1323" s="562"/>
    </row>
    <row r="1324" spans="22:25" x14ac:dyDescent="0.2">
      <c r="V1324" s="562"/>
      <c r="X1324" s="562"/>
      <c r="Y1324" s="562"/>
    </row>
    <row r="1325" spans="22:25" x14ac:dyDescent="0.2">
      <c r="V1325" s="562"/>
      <c r="X1325" s="562"/>
      <c r="Y1325" s="562"/>
    </row>
    <row r="1326" spans="22:25" x14ac:dyDescent="0.2">
      <c r="V1326" s="562"/>
      <c r="X1326" s="562"/>
      <c r="Y1326" s="562"/>
    </row>
    <row r="1327" spans="22:25" x14ac:dyDescent="0.2">
      <c r="V1327" s="562"/>
      <c r="X1327" s="562"/>
      <c r="Y1327" s="562"/>
    </row>
    <row r="1328" spans="22:25" x14ac:dyDescent="0.2">
      <c r="V1328" s="562"/>
      <c r="X1328" s="562"/>
      <c r="Y1328" s="562"/>
    </row>
    <row r="1329" spans="22:25" x14ac:dyDescent="0.2">
      <c r="V1329" s="562"/>
      <c r="X1329" s="562"/>
      <c r="Y1329" s="562"/>
    </row>
    <row r="1330" spans="22:25" x14ac:dyDescent="0.2">
      <c r="V1330" s="562"/>
      <c r="X1330" s="562"/>
      <c r="Y1330" s="562"/>
    </row>
    <row r="1331" spans="22:25" x14ac:dyDescent="0.2">
      <c r="V1331" s="562"/>
      <c r="X1331" s="562"/>
      <c r="Y1331" s="562"/>
    </row>
    <row r="1332" spans="22:25" x14ac:dyDescent="0.2">
      <c r="V1332" s="562"/>
      <c r="X1332" s="562"/>
      <c r="Y1332" s="562"/>
    </row>
    <row r="1333" spans="22:25" x14ac:dyDescent="0.2">
      <c r="V1333" s="562"/>
      <c r="X1333" s="562"/>
      <c r="Y1333" s="562"/>
    </row>
    <row r="1334" spans="22:25" x14ac:dyDescent="0.2">
      <c r="V1334" s="562"/>
      <c r="X1334" s="562"/>
      <c r="Y1334" s="562"/>
    </row>
    <row r="1335" spans="22:25" x14ac:dyDescent="0.2">
      <c r="V1335" s="562"/>
      <c r="X1335" s="562"/>
      <c r="Y1335" s="562"/>
    </row>
    <row r="1336" spans="22:25" x14ac:dyDescent="0.2">
      <c r="V1336" s="562"/>
      <c r="X1336" s="562"/>
      <c r="Y1336" s="562"/>
    </row>
    <row r="1337" spans="22:25" x14ac:dyDescent="0.2">
      <c r="V1337" s="562"/>
      <c r="X1337" s="562"/>
      <c r="Y1337" s="562"/>
    </row>
    <row r="1338" spans="22:25" x14ac:dyDescent="0.2">
      <c r="V1338" s="562"/>
      <c r="X1338" s="562"/>
      <c r="Y1338" s="562"/>
    </row>
    <row r="1339" spans="22:25" x14ac:dyDescent="0.2">
      <c r="V1339" s="562"/>
      <c r="X1339" s="562"/>
      <c r="Y1339" s="562"/>
    </row>
    <row r="1340" spans="22:25" x14ac:dyDescent="0.2">
      <c r="V1340" s="562"/>
      <c r="X1340" s="562"/>
      <c r="Y1340" s="562"/>
    </row>
    <row r="1341" spans="22:25" x14ac:dyDescent="0.2">
      <c r="V1341" s="562"/>
      <c r="X1341" s="562"/>
      <c r="Y1341" s="562"/>
    </row>
    <row r="1342" spans="22:25" x14ac:dyDescent="0.2">
      <c r="V1342" s="562"/>
      <c r="X1342" s="562"/>
      <c r="Y1342" s="562"/>
    </row>
    <row r="1343" spans="22:25" x14ac:dyDescent="0.2">
      <c r="V1343" s="562"/>
      <c r="X1343" s="562"/>
      <c r="Y1343" s="562"/>
    </row>
    <row r="1344" spans="22:25" x14ac:dyDescent="0.2">
      <c r="V1344" s="562"/>
      <c r="X1344" s="562"/>
      <c r="Y1344" s="562"/>
    </row>
    <row r="1345" spans="22:25" x14ac:dyDescent="0.2">
      <c r="V1345" s="562"/>
      <c r="X1345" s="562"/>
      <c r="Y1345" s="562"/>
    </row>
    <row r="1346" spans="22:25" x14ac:dyDescent="0.2">
      <c r="V1346" s="562"/>
      <c r="X1346" s="562"/>
      <c r="Y1346" s="562"/>
    </row>
    <row r="1347" spans="22:25" x14ac:dyDescent="0.2">
      <c r="V1347" s="562"/>
      <c r="X1347" s="562"/>
      <c r="Y1347" s="562"/>
    </row>
    <row r="1348" spans="22:25" x14ac:dyDescent="0.2">
      <c r="V1348" s="562"/>
      <c r="X1348" s="562"/>
      <c r="Y1348" s="562"/>
    </row>
    <row r="1349" spans="22:25" x14ac:dyDescent="0.2">
      <c r="V1349" s="562"/>
      <c r="X1349" s="562"/>
      <c r="Y1349" s="562"/>
    </row>
    <row r="1350" spans="22:25" x14ac:dyDescent="0.2">
      <c r="V1350" s="562"/>
      <c r="X1350" s="562"/>
      <c r="Y1350" s="562"/>
    </row>
    <row r="1351" spans="22:25" x14ac:dyDescent="0.2">
      <c r="V1351" s="562"/>
      <c r="X1351" s="562"/>
      <c r="Y1351" s="562"/>
    </row>
    <row r="1352" spans="22:25" x14ac:dyDescent="0.2">
      <c r="V1352" s="562"/>
      <c r="X1352" s="562"/>
      <c r="Y1352" s="562"/>
    </row>
    <row r="1353" spans="22:25" x14ac:dyDescent="0.2">
      <c r="V1353" s="562"/>
      <c r="X1353" s="562"/>
      <c r="Y1353" s="562"/>
    </row>
    <row r="1354" spans="22:25" x14ac:dyDescent="0.2">
      <c r="V1354" s="562"/>
      <c r="X1354" s="562"/>
      <c r="Y1354" s="562"/>
    </row>
    <row r="1355" spans="22:25" x14ac:dyDescent="0.2">
      <c r="V1355" s="562"/>
      <c r="X1355" s="562"/>
      <c r="Y1355" s="562"/>
    </row>
    <row r="1356" spans="22:25" x14ac:dyDescent="0.2">
      <c r="V1356" s="562"/>
      <c r="X1356" s="562"/>
      <c r="Y1356" s="562"/>
    </row>
    <row r="1357" spans="22:25" x14ac:dyDescent="0.2">
      <c r="V1357" s="562"/>
      <c r="X1357" s="562"/>
      <c r="Y1357" s="562"/>
    </row>
    <row r="1358" spans="22:25" x14ac:dyDescent="0.2">
      <c r="V1358" s="562"/>
      <c r="X1358" s="562"/>
      <c r="Y1358" s="562"/>
    </row>
    <row r="1359" spans="22:25" x14ac:dyDescent="0.2">
      <c r="V1359" s="562"/>
      <c r="X1359" s="562"/>
      <c r="Y1359" s="562"/>
    </row>
    <row r="1360" spans="22:25" x14ac:dyDescent="0.2">
      <c r="V1360" s="562"/>
      <c r="X1360" s="562"/>
      <c r="Y1360" s="562"/>
    </row>
    <row r="1361" spans="22:25" x14ac:dyDescent="0.2">
      <c r="V1361" s="562"/>
      <c r="X1361" s="562"/>
      <c r="Y1361" s="562"/>
    </row>
    <row r="1362" spans="22:25" x14ac:dyDescent="0.2">
      <c r="V1362" s="562"/>
      <c r="X1362" s="562"/>
      <c r="Y1362" s="562"/>
    </row>
    <row r="1363" spans="22:25" x14ac:dyDescent="0.2">
      <c r="V1363" s="562"/>
      <c r="X1363" s="562"/>
      <c r="Y1363" s="562"/>
    </row>
    <row r="1364" spans="22:25" x14ac:dyDescent="0.2">
      <c r="V1364" s="562"/>
      <c r="X1364" s="562"/>
      <c r="Y1364" s="562"/>
    </row>
    <row r="1365" spans="22:25" x14ac:dyDescent="0.2">
      <c r="V1365" s="562"/>
      <c r="X1365" s="562"/>
      <c r="Y1365" s="562"/>
    </row>
    <row r="1366" spans="22:25" x14ac:dyDescent="0.2">
      <c r="V1366" s="562"/>
      <c r="X1366" s="562"/>
      <c r="Y1366" s="562"/>
    </row>
    <row r="1367" spans="22:25" x14ac:dyDescent="0.2">
      <c r="V1367" s="562"/>
      <c r="X1367" s="562"/>
      <c r="Y1367" s="562"/>
    </row>
    <row r="1368" spans="22:25" x14ac:dyDescent="0.2">
      <c r="V1368" s="562"/>
      <c r="X1368" s="562"/>
      <c r="Y1368" s="562"/>
    </row>
    <row r="1369" spans="22:25" x14ac:dyDescent="0.2">
      <c r="V1369" s="562"/>
      <c r="X1369" s="562"/>
      <c r="Y1369" s="562"/>
    </row>
    <row r="1370" spans="22:25" x14ac:dyDescent="0.2">
      <c r="V1370" s="562"/>
      <c r="X1370" s="562"/>
      <c r="Y1370" s="562"/>
    </row>
    <row r="1371" spans="22:25" x14ac:dyDescent="0.2">
      <c r="V1371" s="562"/>
      <c r="X1371" s="562"/>
      <c r="Y1371" s="562"/>
    </row>
    <row r="1372" spans="22:25" x14ac:dyDescent="0.2">
      <c r="V1372" s="562"/>
      <c r="X1372" s="562"/>
      <c r="Y1372" s="562"/>
    </row>
    <row r="1373" spans="22:25" x14ac:dyDescent="0.2">
      <c r="V1373" s="562"/>
      <c r="X1373" s="562"/>
      <c r="Y1373" s="562"/>
    </row>
    <row r="1374" spans="22:25" x14ac:dyDescent="0.2">
      <c r="V1374" s="562"/>
      <c r="X1374" s="562"/>
      <c r="Y1374" s="562"/>
    </row>
    <row r="1375" spans="22:25" x14ac:dyDescent="0.2">
      <c r="V1375" s="562"/>
      <c r="X1375" s="562"/>
      <c r="Y1375" s="562"/>
    </row>
    <row r="1376" spans="22:25" x14ac:dyDescent="0.2">
      <c r="V1376" s="562"/>
      <c r="X1376" s="562"/>
      <c r="Y1376" s="562"/>
    </row>
    <row r="1377" spans="22:25" x14ac:dyDescent="0.2">
      <c r="V1377" s="562"/>
      <c r="X1377" s="562"/>
      <c r="Y1377" s="562"/>
    </row>
    <row r="1378" spans="22:25" x14ac:dyDescent="0.2">
      <c r="V1378" s="562"/>
      <c r="X1378" s="562"/>
      <c r="Y1378" s="562"/>
    </row>
    <row r="1379" spans="22:25" x14ac:dyDescent="0.2">
      <c r="V1379" s="562"/>
      <c r="X1379" s="562"/>
      <c r="Y1379" s="562"/>
    </row>
    <row r="1380" spans="22:25" x14ac:dyDescent="0.2">
      <c r="V1380" s="562"/>
      <c r="X1380" s="562"/>
      <c r="Y1380" s="562"/>
    </row>
    <row r="1381" spans="22:25" x14ac:dyDescent="0.2">
      <c r="V1381" s="562"/>
      <c r="X1381" s="562"/>
      <c r="Y1381" s="562"/>
    </row>
    <row r="1382" spans="22:25" x14ac:dyDescent="0.2">
      <c r="V1382" s="562"/>
      <c r="X1382" s="562"/>
      <c r="Y1382" s="562"/>
    </row>
    <row r="1383" spans="22:25" x14ac:dyDescent="0.2">
      <c r="V1383" s="562"/>
      <c r="X1383" s="562"/>
      <c r="Y1383" s="562"/>
    </row>
    <row r="1384" spans="22:25" x14ac:dyDescent="0.2">
      <c r="V1384" s="562"/>
      <c r="X1384" s="562"/>
      <c r="Y1384" s="562"/>
    </row>
    <row r="1385" spans="22:25" x14ac:dyDescent="0.2">
      <c r="V1385" s="562"/>
      <c r="X1385" s="562"/>
      <c r="Y1385" s="562"/>
    </row>
    <row r="1386" spans="22:25" x14ac:dyDescent="0.2">
      <c r="V1386" s="562"/>
      <c r="X1386" s="562"/>
      <c r="Y1386" s="562"/>
    </row>
    <row r="1387" spans="22:25" x14ac:dyDescent="0.2">
      <c r="V1387" s="562"/>
      <c r="X1387" s="562"/>
      <c r="Y1387" s="562"/>
    </row>
    <row r="1388" spans="22:25" x14ac:dyDescent="0.2">
      <c r="V1388" s="562"/>
      <c r="X1388" s="562"/>
      <c r="Y1388" s="562"/>
    </row>
    <row r="1389" spans="22:25" x14ac:dyDescent="0.2">
      <c r="V1389" s="562"/>
      <c r="X1389" s="562"/>
      <c r="Y1389" s="562"/>
    </row>
    <row r="1390" spans="22:25" x14ac:dyDescent="0.2">
      <c r="V1390" s="562"/>
      <c r="X1390" s="562"/>
      <c r="Y1390" s="562"/>
    </row>
    <row r="1391" spans="22:25" x14ac:dyDescent="0.2">
      <c r="V1391" s="562"/>
      <c r="X1391" s="562"/>
      <c r="Y1391" s="562"/>
    </row>
    <row r="1392" spans="22:25" x14ac:dyDescent="0.2">
      <c r="V1392" s="562"/>
      <c r="X1392" s="562"/>
      <c r="Y1392" s="562"/>
    </row>
    <row r="1393" spans="22:25" x14ac:dyDescent="0.2">
      <c r="V1393" s="562"/>
      <c r="X1393" s="562"/>
      <c r="Y1393" s="562"/>
    </row>
    <row r="1394" spans="22:25" x14ac:dyDescent="0.2">
      <c r="V1394" s="562"/>
      <c r="X1394" s="562"/>
      <c r="Y1394" s="562"/>
    </row>
    <row r="1395" spans="22:25" x14ac:dyDescent="0.2">
      <c r="V1395" s="562"/>
      <c r="X1395" s="562"/>
      <c r="Y1395" s="562"/>
    </row>
    <row r="1396" spans="22:25" x14ac:dyDescent="0.2">
      <c r="V1396" s="562"/>
      <c r="X1396" s="562"/>
      <c r="Y1396" s="562"/>
    </row>
    <row r="1397" spans="22:25" x14ac:dyDescent="0.2">
      <c r="V1397" s="562"/>
      <c r="X1397" s="562"/>
      <c r="Y1397" s="562"/>
    </row>
    <row r="1398" spans="22:25" x14ac:dyDescent="0.2">
      <c r="V1398" s="562"/>
      <c r="X1398" s="562"/>
      <c r="Y1398" s="562"/>
    </row>
    <row r="1399" spans="22:25" x14ac:dyDescent="0.2">
      <c r="V1399" s="562"/>
      <c r="X1399" s="562"/>
      <c r="Y1399" s="562"/>
    </row>
    <row r="1400" spans="22:25" x14ac:dyDescent="0.2">
      <c r="V1400" s="562"/>
      <c r="X1400" s="562"/>
      <c r="Y1400" s="562"/>
    </row>
    <row r="1401" spans="22:25" x14ac:dyDescent="0.2">
      <c r="V1401" s="562"/>
      <c r="X1401" s="562"/>
      <c r="Y1401" s="562"/>
    </row>
    <row r="1402" spans="22:25" x14ac:dyDescent="0.2">
      <c r="V1402" s="562"/>
      <c r="X1402" s="562"/>
      <c r="Y1402" s="562"/>
    </row>
    <row r="1403" spans="22:25" x14ac:dyDescent="0.2">
      <c r="V1403" s="562"/>
      <c r="X1403" s="562"/>
      <c r="Y1403" s="562"/>
    </row>
    <row r="1404" spans="22:25" x14ac:dyDescent="0.2">
      <c r="V1404" s="562"/>
      <c r="X1404" s="562"/>
      <c r="Y1404" s="562"/>
    </row>
    <row r="1405" spans="22:25" x14ac:dyDescent="0.2">
      <c r="V1405" s="562"/>
      <c r="X1405" s="562"/>
      <c r="Y1405" s="562"/>
    </row>
    <row r="1406" spans="22:25" x14ac:dyDescent="0.2">
      <c r="V1406" s="562"/>
      <c r="X1406" s="562"/>
      <c r="Y1406" s="562"/>
    </row>
    <row r="1407" spans="22:25" x14ac:dyDescent="0.2">
      <c r="V1407" s="562"/>
      <c r="X1407" s="562"/>
      <c r="Y1407" s="562"/>
    </row>
    <row r="1408" spans="22:25" x14ac:dyDescent="0.2">
      <c r="V1408" s="562"/>
      <c r="X1408" s="562"/>
      <c r="Y1408" s="562"/>
    </row>
    <row r="1409" spans="22:25" x14ac:dyDescent="0.2">
      <c r="V1409" s="562"/>
      <c r="X1409" s="562"/>
      <c r="Y1409" s="562"/>
    </row>
    <row r="1410" spans="22:25" x14ac:dyDescent="0.2">
      <c r="V1410" s="562"/>
      <c r="X1410" s="562"/>
      <c r="Y1410" s="562"/>
    </row>
    <row r="1411" spans="22:25" x14ac:dyDescent="0.2">
      <c r="V1411" s="562"/>
      <c r="X1411" s="562"/>
      <c r="Y1411" s="562"/>
    </row>
    <row r="1412" spans="22:25" x14ac:dyDescent="0.2">
      <c r="V1412" s="562"/>
      <c r="X1412" s="562"/>
      <c r="Y1412" s="562"/>
    </row>
    <row r="1413" spans="22:25" x14ac:dyDescent="0.2">
      <c r="V1413" s="562"/>
      <c r="X1413" s="562"/>
      <c r="Y1413" s="562"/>
    </row>
    <row r="1414" spans="22:25" x14ac:dyDescent="0.2">
      <c r="V1414" s="562"/>
      <c r="X1414" s="562"/>
      <c r="Y1414" s="562"/>
    </row>
    <row r="1415" spans="22:25" x14ac:dyDescent="0.2">
      <c r="V1415" s="562"/>
      <c r="X1415" s="562"/>
      <c r="Y1415" s="562"/>
    </row>
    <row r="1416" spans="22:25" x14ac:dyDescent="0.2">
      <c r="V1416" s="562"/>
      <c r="X1416" s="562"/>
      <c r="Y1416" s="562"/>
    </row>
    <row r="1417" spans="22:25" x14ac:dyDescent="0.2">
      <c r="V1417" s="562"/>
      <c r="X1417" s="562"/>
      <c r="Y1417" s="562"/>
    </row>
    <row r="1418" spans="22:25" x14ac:dyDescent="0.2">
      <c r="V1418" s="562"/>
      <c r="X1418" s="562"/>
      <c r="Y1418" s="562"/>
    </row>
    <row r="1419" spans="22:25" x14ac:dyDescent="0.2">
      <c r="V1419" s="562"/>
      <c r="X1419" s="562"/>
      <c r="Y1419" s="562"/>
    </row>
    <row r="1420" spans="22:25" x14ac:dyDescent="0.2">
      <c r="V1420" s="562"/>
      <c r="X1420" s="562"/>
      <c r="Y1420" s="562"/>
    </row>
    <row r="1421" spans="22:25" x14ac:dyDescent="0.2">
      <c r="V1421" s="562"/>
      <c r="X1421" s="562"/>
      <c r="Y1421" s="562"/>
    </row>
    <row r="1422" spans="22:25" x14ac:dyDescent="0.2">
      <c r="V1422" s="562"/>
      <c r="X1422" s="562"/>
      <c r="Y1422" s="562"/>
    </row>
    <row r="1423" spans="22:25" x14ac:dyDescent="0.2">
      <c r="V1423" s="562"/>
      <c r="X1423" s="562"/>
      <c r="Y1423" s="562"/>
    </row>
    <row r="1424" spans="22:25" x14ac:dyDescent="0.2">
      <c r="V1424" s="562"/>
      <c r="X1424" s="562"/>
      <c r="Y1424" s="562"/>
    </row>
    <row r="1425" spans="22:25" x14ac:dyDescent="0.2">
      <c r="V1425" s="562"/>
      <c r="X1425" s="562"/>
      <c r="Y1425" s="562"/>
    </row>
    <row r="1426" spans="22:25" x14ac:dyDescent="0.2">
      <c r="V1426" s="562"/>
      <c r="X1426" s="562"/>
      <c r="Y1426" s="562"/>
    </row>
    <row r="1427" spans="22:25" x14ac:dyDescent="0.2">
      <c r="V1427" s="562"/>
      <c r="X1427" s="562"/>
      <c r="Y1427" s="562"/>
    </row>
    <row r="1428" spans="22:25" x14ac:dyDescent="0.2">
      <c r="V1428" s="562"/>
      <c r="X1428" s="562"/>
      <c r="Y1428" s="562"/>
    </row>
    <row r="1429" spans="22:25" x14ac:dyDescent="0.2">
      <c r="V1429" s="562"/>
      <c r="X1429" s="562"/>
      <c r="Y1429" s="562"/>
    </row>
    <row r="1430" spans="22:25" x14ac:dyDescent="0.2">
      <c r="V1430" s="562"/>
      <c r="X1430" s="562"/>
      <c r="Y1430" s="562"/>
    </row>
    <row r="1431" spans="22:25" x14ac:dyDescent="0.2">
      <c r="V1431" s="562"/>
      <c r="X1431" s="562"/>
      <c r="Y1431" s="562"/>
    </row>
    <row r="1432" spans="22:25" x14ac:dyDescent="0.2">
      <c r="V1432" s="562"/>
      <c r="X1432" s="562"/>
      <c r="Y1432" s="562"/>
    </row>
    <row r="1433" spans="22:25" x14ac:dyDescent="0.2">
      <c r="V1433" s="562"/>
      <c r="X1433" s="562"/>
      <c r="Y1433" s="562"/>
    </row>
    <row r="1434" spans="22:25" x14ac:dyDescent="0.2">
      <c r="V1434" s="562"/>
      <c r="X1434" s="562"/>
      <c r="Y1434" s="562"/>
    </row>
    <row r="1435" spans="22:25" x14ac:dyDescent="0.2">
      <c r="V1435" s="562"/>
      <c r="X1435" s="562"/>
      <c r="Y1435" s="562"/>
    </row>
    <row r="1436" spans="22:25" x14ac:dyDescent="0.2">
      <c r="V1436" s="562"/>
      <c r="X1436" s="562"/>
      <c r="Y1436" s="562"/>
    </row>
    <row r="1437" spans="22:25" x14ac:dyDescent="0.2">
      <c r="V1437" s="562"/>
      <c r="X1437" s="562"/>
      <c r="Y1437" s="562"/>
    </row>
    <row r="1438" spans="22:25" x14ac:dyDescent="0.2">
      <c r="V1438" s="562"/>
      <c r="X1438" s="562"/>
      <c r="Y1438" s="562"/>
    </row>
    <row r="1439" spans="22:25" x14ac:dyDescent="0.2">
      <c r="V1439" s="562"/>
      <c r="X1439" s="562"/>
      <c r="Y1439" s="562"/>
    </row>
    <row r="1440" spans="22:25" x14ac:dyDescent="0.2">
      <c r="V1440" s="562"/>
      <c r="X1440" s="562"/>
      <c r="Y1440" s="562"/>
    </row>
    <row r="1441" spans="22:25" x14ac:dyDescent="0.2">
      <c r="V1441" s="562"/>
      <c r="X1441" s="562"/>
      <c r="Y1441" s="562"/>
    </row>
    <row r="1442" spans="22:25" x14ac:dyDescent="0.2">
      <c r="V1442" s="562"/>
      <c r="X1442" s="562"/>
      <c r="Y1442" s="562"/>
    </row>
    <row r="1443" spans="22:25" x14ac:dyDescent="0.2">
      <c r="V1443" s="562"/>
      <c r="X1443" s="562"/>
      <c r="Y1443" s="562"/>
    </row>
    <row r="1444" spans="22:25" x14ac:dyDescent="0.2">
      <c r="V1444" s="562"/>
      <c r="X1444" s="562"/>
      <c r="Y1444" s="562"/>
    </row>
    <row r="1445" spans="22:25" x14ac:dyDescent="0.2">
      <c r="V1445" s="562"/>
      <c r="X1445" s="562"/>
      <c r="Y1445" s="562"/>
    </row>
    <row r="1446" spans="22:25" x14ac:dyDescent="0.2">
      <c r="V1446" s="562"/>
      <c r="X1446" s="562"/>
      <c r="Y1446" s="562"/>
    </row>
    <row r="1447" spans="22:25" x14ac:dyDescent="0.2">
      <c r="V1447" s="562"/>
      <c r="X1447" s="562"/>
      <c r="Y1447" s="562"/>
    </row>
    <row r="1448" spans="22:25" x14ac:dyDescent="0.2">
      <c r="V1448" s="562"/>
      <c r="X1448" s="562"/>
      <c r="Y1448" s="562"/>
    </row>
    <row r="1449" spans="22:25" x14ac:dyDescent="0.2">
      <c r="V1449" s="562"/>
      <c r="X1449" s="562"/>
      <c r="Y1449" s="562"/>
    </row>
    <row r="1450" spans="22:25" x14ac:dyDescent="0.2">
      <c r="V1450" s="562"/>
      <c r="X1450" s="562"/>
      <c r="Y1450" s="562"/>
    </row>
    <row r="1451" spans="22:25" x14ac:dyDescent="0.2">
      <c r="V1451" s="562"/>
      <c r="X1451" s="562"/>
      <c r="Y1451" s="562"/>
    </row>
    <row r="1452" spans="22:25" x14ac:dyDescent="0.2">
      <c r="V1452" s="562"/>
      <c r="X1452" s="562"/>
      <c r="Y1452" s="562"/>
    </row>
    <row r="1453" spans="22:25" x14ac:dyDescent="0.2">
      <c r="V1453" s="562"/>
      <c r="X1453" s="562"/>
      <c r="Y1453" s="562"/>
    </row>
    <row r="1454" spans="22:25" x14ac:dyDescent="0.2">
      <c r="V1454" s="562"/>
      <c r="X1454" s="562"/>
      <c r="Y1454" s="562"/>
    </row>
    <row r="1455" spans="22:25" x14ac:dyDescent="0.2">
      <c r="V1455" s="562"/>
      <c r="X1455" s="562"/>
      <c r="Y1455" s="562"/>
    </row>
    <row r="1456" spans="22:25" x14ac:dyDescent="0.2">
      <c r="V1456" s="562"/>
      <c r="X1456" s="562"/>
      <c r="Y1456" s="562"/>
    </row>
    <row r="1457" spans="22:25" x14ac:dyDescent="0.2">
      <c r="V1457" s="562"/>
      <c r="X1457" s="562"/>
      <c r="Y1457" s="562"/>
    </row>
    <row r="1458" spans="22:25" x14ac:dyDescent="0.2">
      <c r="V1458" s="562"/>
      <c r="X1458" s="562"/>
      <c r="Y1458" s="562"/>
    </row>
    <row r="1459" spans="22:25" x14ac:dyDescent="0.2">
      <c r="V1459" s="562"/>
      <c r="X1459" s="562"/>
      <c r="Y1459" s="562"/>
    </row>
    <row r="1460" spans="22:25" x14ac:dyDescent="0.2">
      <c r="V1460" s="562"/>
      <c r="X1460" s="562"/>
      <c r="Y1460" s="562"/>
    </row>
    <row r="1461" spans="22:25" x14ac:dyDescent="0.2">
      <c r="V1461" s="562"/>
      <c r="X1461" s="562"/>
      <c r="Y1461" s="562"/>
    </row>
    <row r="1462" spans="22:25" x14ac:dyDescent="0.2">
      <c r="V1462" s="562"/>
      <c r="X1462" s="562"/>
      <c r="Y1462" s="562"/>
    </row>
    <row r="1463" spans="22:25" x14ac:dyDescent="0.2">
      <c r="V1463" s="562"/>
      <c r="X1463" s="562"/>
      <c r="Y1463" s="562"/>
    </row>
    <row r="1464" spans="22:25" x14ac:dyDescent="0.2">
      <c r="V1464" s="562"/>
      <c r="X1464" s="562"/>
      <c r="Y1464" s="562"/>
    </row>
    <row r="1465" spans="22:25" x14ac:dyDescent="0.2">
      <c r="V1465" s="562"/>
      <c r="X1465" s="562"/>
      <c r="Y1465" s="562"/>
    </row>
    <row r="1466" spans="22:25" x14ac:dyDescent="0.2">
      <c r="V1466" s="562"/>
      <c r="X1466" s="562"/>
      <c r="Y1466" s="562"/>
    </row>
    <row r="1467" spans="22:25" x14ac:dyDescent="0.2">
      <c r="V1467" s="562"/>
      <c r="X1467" s="562"/>
      <c r="Y1467" s="562"/>
    </row>
    <row r="1468" spans="22:25" x14ac:dyDescent="0.2">
      <c r="V1468" s="562"/>
      <c r="X1468" s="562"/>
      <c r="Y1468" s="562"/>
    </row>
    <row r="1469" spans="22:25" x14ac:dyDescent="0.2">
      <c r="V1469" s="562"/>
      <c r="X1469" s="562"/>
      <c r="Y1469" s="562"/>
    </row>
    <row r="1470" spans="22:25" x14ac:dyDescent="0.2">
      <c r="V1470" s="562"/>
      <c r="X1470" s="562"/>
      <c r="Y1470" s="562"/>
    </row>
    <row r="1471" spans="22:25" x14ac:dyDescent="0.2">
      <c r="V1471" s="562"/>
      <c r="X1471" s="562"/>
      <c r="Y1471" s="562"/>
    </row>
    <row r="1472" spans="22:25" x14ac:dyDescent="0.2">
      <c r="V1472" s="562"/>
      <c r="X1472" s="562"/>
      <c r="Y1472" s="562"/>
    </row>
    <row r="1473" spans="22:25" x14ac:dyDescent="0.2">
      <c r="V1473" s="562"/>
      <c r="X1473" s="562"/>
      <c r="Y1473" s="562"/>
    </row>
    <row r="1474" spans="22:25" x14ac:dyDescent="0.2">
      <c r="V1474" s="562"/>
      <c r="X1474" s="562"/>
      <c r="Y1474" s="562"/>
    </row>
    <row r="1475" spans="22:25" x14ac:dyDescent="0.2">
      <c r="V1475" s="562"/>
      <c r="X1475" s="562"/>
      <c r="Y1475" s="562"/>
    </row>
    <row r="1476" spans="22:25" x14ac:dyDescent="0.2">
      <c r="V1476" s="562"/>
      <c r="X1476" s="562"/>
      <c r="Y1476" s="562"/>
    </row>
    <row r="1477" spans="22:25" x14ac:dyDescent="0.2">
      <c r="V1477" s="562"/>
      <c r="X1477" s="562"/>
      <c r="Y1477" s="562"/>
    </row>
    <row r="1478" spans="22:25" x14ac:dyDescent="0.2">
      <c r="V1478" s="562"/>
      <c r="X1478" s="562"/>
      <c r="Y1478" s="562"/>
    </row>
    <row r="1479" spans="22:25" x14ac:dyDescent="0.2">
      <c r="V1479" s="562"/>
      <c r="X1479" s="562"/>
      <c r="Y1479" s="562"/>
    </row>
    <row r="1480" spans="22:25" x14ac:dyDescent="0.2">
      <c r="V1480" s="562"/>
      <c r="X1480" s="562"/>
      <c r="Y1480" s="562"/>
    </row>
    <row r="1481" spans="22:25" x14ac:dyDescent="0.2">
      <c r="V1481" s="562"/>
      <c r="X1481" s="562"/>
      <c r="Y1481" s="562"/>
    </row>
    <row r="1482" spans="22:25" x14ac:dyDescent="0.2">
      <c r="V1482" s="562"/>
      <c r="X1482" s="562"/>
      <c r="Y1482" s="562"/>
    </row>
    <row r="1483" spans="22:25" x14ac:dyDescent="0.2">
      <c r="V1483" s="562"/>
      <c r="X1483" s="562"/>
      <c r="Y1483" s="562"/>
    </row>
    <row r="1484" spans="22:25" x14ac:dyDescent="0.2">
      <c r="V1484" s="562"/>
      <c r="X1484" s="562"/>
      <c r="Y1484" s="562"/>
    </row>
    <row r="1485" spans="22:25" x14ac:dyDescent="0.2">
      <c r="V1485" s="562"/>
      <c r="X1485" s="562"/>
      <c r="Y1485" s="562"/>
    </row>
    <row r="1486" spans="22:25" x14ac:dyDescent="0.2">
      <c r="V1486" s="562"/>
      <c r="X1486" s="562"/>
      <c r="Y1486" s="562"/>
    </row>
    <row r="1487" spans="22:25" x14ac:dyDescent="0.2">
      <c r="V1487" s="562"/>
      <c r="X1487" s="562"/>
      <c r="Y1487" s="562"/>
    </row>
    <row r="1488" spans="22:25" x14ac:dyDescent="0.2">
      <c r="V1488" s="562"/>
      <c r="X1488" s="562"/>
      <c r="Y1488" s="562"/>
    </row>
    <row r="1489" spans="22:25" x14ac:dyDescent="0.2">
      <c r="V1489" s="562"/>
      <c r="X1489" s="562"/>
      <c r="Y1489" s="562"/>
    </row>
    <row r="1490" spans="22:25" x14ac:dyDescent="0.2">
      <c r="V1490" s="562"/>
      <c r="X1490" s="562"/>
      <c r="Y1490" s="562"/>
    </row>
    <row r="1491" spans="22:25" x14ac:dyDescent="0.2">
      <c r="V1491" s="562"/>
      <c r="X1491" s="562"/>
      <c r="Y1491" s="562"/>
    </row>
    <row r="1492" spans="22:25" x14ac:dyDescent="0.2">
      <c r="V1492" s="562"/>
      <c r="X1492" s="562"/>
      <c r="Y1492" s="562"/>
    </row>
    <row r="1493" spans="22:25" x14ac:dyDescent="0.2">
      <c r="V1493" s="562"/>
      <c r="X1493" s="562"/>
      <c r="Y1493" s="562"/>
    </row>
    <row r="1494" spans="22:25" x14ac:dyDescent="0.2">
      <c r="V1494" s="562"/>
      <c r="X1494" s="562"/>
      <c r="Y1494" s="562"/>
    </row>
    <row r="1495" spans="22:25" x14ac:dyDescent="0.2">
      <c r="V1495" s="562"/>
      <c r="X1495" s="562"/>
      <c r="Y1495" s="562"/>
    </row>
    <row r="1496" spans="22:25" x14ac:dyDescent="0.2">
      <c r="V1496" s="562"/>
      <c r="X1496" s="562"/>
      <c r="Y1496" s="562"/>
    </row>
    <row r="1497" spans="22:25" x14ac:dyDescent="0.2">
      <c r="V1497" s="562"/>
      <c r="X1497" s="562"/>
      <c r="Y1497" s="562"/>
    </row>
    <row r="1498" spans="22:25" x14ac:dyDescent="0.2">
      <c r="V1498" s="562"/>
      <c r="X1498" s="562"/>
      <c r="Y1498" s="562"/>
    </row>
    <row r="1499" spans="22:25" x14ac:dyDescent="0.2">
      <c r="V1499" s="562"/>
      <c r="X1499" s="562"/>
      <c r="Y1499" s="562"/>
    </row>
    <row r="1500" spans="22:25" x14ac:dyDescent="0.2">
      <c r="V1500" s="562"/>
      <c r="X1500" s="562"/>
      <c r="Y1500" s="562"/>
    </row>
    <row r="1501" spans="22:25" x14ac:dyDescent="0.2">
      <c r="V1501" s="562"/>
      <c r="X1501" s="562"/>
      <c r="Y1501" s="562"/>
    </row>
    <row r="1502" spans="22:25" x14ac:dyDescent="0.2">
      <c r="V1502" s="562"/>
      <c r="X1502" s="562"/>
      <c r="Y1502" s="562"/>
    </row>
    <row r="1503" spans="22:25" x14ac:dyDescent="0.2">
      <c r="V1503" s="562"/>
      <c r="X1503" s="562"/>
      <c r="Y1503" s="562"/>
    </row>
    <row r="1504" spans="22:25" x14ac:dyDescent="0.2">
      <c r="V1504" s="562"/>
      <c r="X1504" s="562"/>
      <c r="Y1504" s="562"/>
    </row>
    <row r="1505" spans="22:25" x14ac:dyDescent="0.2">
      <c r="V1505" s="562"/>
      <c r="X1505" s="562"/>
      <c r="Y1505" s="562"/>
    </row>
    <row r="1506" spans="22:25" x14ac:dyDescent="0.2">
      <c r="V1506" s="562"/>
      <c r="X1506" s="562"/>
      <c r="Y1506" s="562"/>
    </row>
    <row r="1507" spans="22:25" x14ac:dyDescent="0.2">
      <c r="V1507" s="562"/>
      <c r="X1507" s="562"/>
      <c r="Y1507" s="562"/>
    </row>
    <row r="1508" spans="22:25" x14ac:dyDescent="0.2">
      <c r="V1508" s="562"/>
      <c r="X1508" s="562"/>
      <c r="Y1508" s="562"/>
    </row>
    <row r="1509" spans="22:25" x14ac:dyDescent="0.2">
      <c r="V1509" s="562"/>
      <c r="X1509" s="562"/>
      <c r="Y1509" s="562"/>
    </row>
    <row r="1510" spans="22:25" x14ac:dyDescent="0.2">
      <c r="V1510" s="562"/>
      <c r="X1510" s="562"/>
      <c r="Y1510" s="562"/>
    </row>
    <row r="1511" spans="22:25" x14ac:dyDescent="0.2">
      <c r="V1511" s="562"/>
      <c r="X1511" s="562"/>
      <c r="Y1511" s="562"/>
    </row>
    <row r="1512" spans="22:25" x14ac:dyDescent="0.2">
      <c r="V1512" s="562"/>
      <c r="X1512" s="562"/>
      <c r="Y1512" s="562"/>
    </row>
    <row r="1513" spans="22:25" x14ac:dyDescent="0.2">
      <c r="V1513" s="562"/>
      <c r="X1513" s="562"/>
      <c r="Y1513" s="562"/>
    </row>
    <row r="1514" spans="22:25" x14ac:dyDescent="0.2">
      <c r="V1514" s="562"/>
      <c r="X1514" s="562"/>
      <c r="Y1514" s="562"/>
    </row>
    <row r="1515" spans="22:25" x14ac:dyDescent="0.2">
      <c r="V1515" s="562"/>
      <c r="X1515" s="562"/>
      <c r="Y1515" s="562"/>
    </row>
    <row r="1516" spans="22:25" x14ac:dyDescent="0.2">
      <c r="V1516" s="562"/>
      <c r="X1516" s="562"/>
      <c r="Y1516" s="562"/>
    </row>
    <row r="1517" spans="22:25" x14ac:dyDescent="0.2">
      <c r="V1517" s="562"/>
      <c r="X1517" s="562"/>
      <c r="Y1517" s="562"/>
    </row>
    <row r="1518" spans="22:25" x14ac:dyDescent="0.2">
      <c r="V1518" s="562"/>
      <c r="X1518" s="562"/>
      <c r="Y1518" s="562"/>
    </row>
    <row r="1519" spans="22:25" x14ac:dyDescent="0.2">
      <c r="V1519" s="562"/>
      <c r="X1519" s="562"/>
      <c r="Y1519" s="562"/>
    </row>
    <row r="1520" spans="22:25" x14ac:dyDescent="0.2">
      <c r="V1520" s="562"/>
      <c r="X1520" s="562"/>
      <c r="Y1520" s="562"/>
    </row>
    <row r="1521" spans="22:25" x14ac:dyDescent="0.2">
      <c r="V1521" s="562"/>
      <c r="X1521" s="562"/>
      <c r="Y1521" s="562"/>
    </row>
    <row r="1522" spans="22:25" x14ac:dyDescent="0.2">
      <c r="V1522" s="562"/>
      <c r="X1522" s="562"/>
      <c r="Y1522" s="562"/>
    </row>
    <row r="1523" spans="22:25" x14ac:dyDescent="0.2">
      <c r="V1523" s="562"/>
      <c r="X1523" s="562"/>
      <c r="Y1523" s="562"/>
    </row>
    <row r="1524" spans="22:25" x14ac:dyDescent="0.2">
      <c r="V1524" s="562"/>
      <c r="X1524" s="562"/>
      <c r="Y1524" s="562"/>
    </row>
    <row r="1525" spans="22:25" x14ac:dyDescent="0.2">
      <c r="V1525" s="562"/>
      <c r="X1525" s="562"/>
      <c r="Y1525" s="562"/>
    </row>
    <row r="1526" spans="22:25" x14ac:dyDescent="0.2">
      <c r="V1526" s="562"/>
      <c r="X1526" s="562"/>
      <c r="Y1526" s="562"/>
    </row>
    <row r="1527" spans="22:25" x14ac:dyDescent="0.2">
      <c r="V1527" s="562"/>
      <c r="X1527" s="562"/>
      <c r="Y1527" s="562"/>
    </row>
    <row r="1528" spans="22:25" x14ac:dyDescent="0.2">
      <c r="V1528" s="562"/>
      <c r="X1528" s="562"/>
      <c r="Y1528" s="562"/>
    </row>
    <row r="1529" spans="22:25" x14ac:dyDescent="0.2">
      <c r="V1529" s="562"/>
      <c r="X1529" s="562"/>
      <c r="Y1529" s="562"/>
    </row>
    <row r="1530" spans="22:25" x14ac:dyDescent="0.2">
      <c r="V1530" s="562"/>
      <c r="X1530" s="562"/>
      <c r="Y1530" s="562"/>
    </row>
    <row r="1531" spans="22:25" x14ac:dyDescent="0.2">
      <c r="V1531" s="562"/>
      <c r="X1531" s="562"/>
      <c r="Y1531" s="562"/>
    </row>
    <row r="1532" spans="22:25" x14ac:dyDescent="0.2">
      <c r="V1532" s="562"/>
      <c r="X1532" s="562"/>
      <c r="Y1532" s="562"/>
    </row>
    <row r="1533" spans="22:25" x14ac:dyDescent="0.2">
      <c r="V1533" s="562"/>
      <c r="X1533" s="562"/>
      <c r="Y1533" s="562"/>
    </row>
    <row r="1534" spans="22:25" x14ac:dyDescent="0.2">
      <c r="V1534" s="562"/>
      <c r="X1534" s="562"/>
      <c r="Y1534" s="562"/>
    </row>
    <row r="1535" spans="22:25" x14ac:dyDescent="0.2">
      <c r="V1535" s="562"/>
      <c r="X1535" s="562"/>
      <c r="Y1535" s="562"/>
    </row>
    <row r="1536" spans="22:25" x14ac:dyDescent="0.2">
      <c r="V1536" s="562"/>
      <c r="X1536" s="562"/>
      <c r="Y1536" s="562"/>
    </row>
    <row r="1537" spans="22:25" x14ac:dyDescent="0.2">
      <c r="V1537" s="562"/>
      <c r="X1537" s="562"/>
      <c r="Y1537" s="562"/>
    </row>
    <row r="1538" spans="22:25" x14ac:dyDescent="0.2">
      <c r="V1538" s="562"/>
      <c r="X1538" s="562"/>
      <c r="Y1538" s="562"/>
    </row>
    <row r="1539" spans="22:25" x14ac:dyDescent="0.2">
      <c r="V1539" s="562"/>
      <c r="X1539" s="562"/>
      <c r="Y1539" s="562"/>
    </row>
    <row r="1540" spans="22:25" x14ac:dyDescent="0.2">
      <c r="V1540" s="562"/>
      <c r="X1540" s="562"/>
      <c r="Y1540" s="562"/>
    </row>
    <row r="1541" spans="22:25" x14ac:dyDescent="0.2">
      <c r="V1541" s="562"/>
      <c r="X1541" s="562"/>
      <c r="Y1541" s="562"/>
    </row>
    <row r="1542" spans="22:25" x14ac:dyDescent="0.2">
      <c r="V1542" s="562"/>
      <c r="X1542" s="562"/>
      <c r="Y1542" s="562"/>
    </row>
    <row r="1543" spans="22:25" x14ac:dyDescent="0.2">
      <c r="V1543" s="562"/>
      <c r="X1543" s="562"/>
      <c r="Y1543" s="562"/>
    </row>
    <row r="1544" spans="22:25" x14ac:dyDescent="0.2">
      <c r="V1544" s="562"/>
      <c r="X1544" s="562"/>
      <c r="Y1544" s="562"/>
    </row>
    <row r="1545" spans="22:25" x14ac:dyDescent="0.2">
      <c r="V1545" s="562"/>
      <c r="X1545" s="562"/>
      <c r="Y1545" s="562"/>
    </row>
    <row r="1546" spans="22:25" x14ac:dyDescent="0.2">
      <c r="V1546" s="562"/>
      <c r="X1546" s="562"/>
      <c r="Y1546" s="562"/>
    </row>
    <row r="1547" spans="22:25" x14ac:dyDescent="0.2">
      <c r="V1547" s="562"/>
      <c r="X1547" s="562"/>
      <c r="Y1547" s="562"/>
    </row>
    <row r="1548" spans="22:25" x14ac:dyDescent="0.2">
      <c r="V1548" s="562"/>
      <c r="X1548" s="562"/>
      <c r="Y1548" s="562"/>
    </row>
    <row r="1549" spans="22:25" x14ac:dyDescent="0.2">
      <c r="V1549" s="562"/>
      <c r="X1549" s="562"/>
      <c r="Y1549" s="562"/>
    </row>
    <row r="1550" spans="22:25" x14ac:dyDescent="0.2">
      <c r="V1550" s="562"/>
      <c r="X1550" s="562"/>
      <c r="Y1550" s="562"/>
    </row>
    <row r="1551" spans="22:25" x14ac:dyDescent="0.2">
      <c r="V1551" s="562"/>
      <c r="X1551" s="562"/>
      <c r="Y1551" s="562"/>
    </row>
    <row r="1552" spans="22:25" x14ac:dyDescent="0.2">
      <c r="V1552" s="562"/>
      <c r="X1552" s="562"/>
      <c r="Y1552" s="562"/>
    </row>
    <row r="1553" spans="22:25" x14ac:dyDescent="0.2">
      <c r="V1553" s="562"/>
      <c r="X1553" s="562"/>
      <c r="Y1553" s="562"/>
    </row>
    <row r="1554" spans="22:25" x14ac:dyDescent="0.2">
      <c r="V1554" s="562"/>
      <c r="X1554" s="562"/>
      <c r="Y1554" s="562"/>
    </row>
    <row r="1555" spans="22:25" x14ac:dyDescent="0.2">
      <c r="V1555" s="562"/>
      <c r="X1555" s="562"/>
      <c r="Y1555" s="562"/>
    </row>
    <row r="1556" spans="22:25" x14ac:dyDescent="0.2">
      <c r="V1556" s="562"/>
      <c r="X1556" s="562"/>
      <c r="Y1556" s="562"/>
    </row>
    <row r="1557" spans="22:25" x14ac:dyDescent="0.2">
      <c r="V1557" s="562"/>
      <c r="X1557" s="562"/>
      <c r="Y1557" s="562"/>
    </row>
    <row r="1558" spans="22:25" x14ac:dyDescent="0.2">
      <c r="V1558" s="562"/>
      <c r="X1558" s="562"/>
      <c r="Y1558" s="562"/>
    </row>
    <row r="1559" spans="22:25" x14ac:dyDescent="0.2">
      <c r="V1559" s="562"/>
      <c r="X1559" s="562"/>
      <c r="Y1559" s="562"/>
    </row>
    <row r="1560" spans="22:25" x14ac:dyDescent="0.2">
      <c r="V1560" s="562"/>
      <c r="X1560" s="562"/>
      <c r="Y1560" s="562"/>
    </row>
    <row r="1561" spans="22:25" x14ac:dyDescent="0.2">
      <c r="V1561" s="562"/>
      <c r="X1561" s="562"/>
      <c r="Y1561" s="562"/>
    </row>
    <row r="1562" spans="22:25" x14ac:dyDescent="0.2">
      <c r="V1562" s="562"/>
      <c r="X1562" s="562"/>
      <c r="Y1562" s="562"/>
    </row>
    <row r="1563" spans="22:25" x14ac:dyDescent="0.2">
      <c r="V1563" s="562"/>
      <c r="X1563" s="562"/>
      <c r="Y1563" s="562"/>
    </row>
    <row r="1564" spans="22:25" x14ac:dyDescent="0.2">
      <c r="V1564" s="562"/>
      <c r="X1564" s="562"/>
      <c r="Y1564" s="562"/>
    </row>
    <row r="1565" spans="22:25" x14ac:dyDescent="0.2">
      <c r="V1565" s="562"/>
      <c r="X1565" s="562"/>
      <c r="Y1565" s="562"/>
    </row>
    <row r="1566" spans="22:25" x14ac:dyDescent="0.2">
      <c r="V1566" s="562"/>
      <c r="X1566" s="562"/>
      <c r="Y1566" s="562"/>
    </row>
    <row r="1567" spans="22:25" x14ac:dyDescent="0.2">
      <c r="V1567" s="562"/>
      <c r="X1567" s="562"/>
      <c r="Y1567" s="562"/>
    </row>
    <row r="1568" spans="22:25" x14ac:dyDescent="0.2">
      <c r="V1568" s="562"/>
      <c r="X1568" s="562"/>
      <c r="Y1568" s="562"/>
    </row>
    <row r="1569" spans="22:25" x14ac:dyDescent="0.2">
      <c r="V1569" s="562"/>
      <c r="X1569" s="562"/>
      <c r="Y1569" s="562"/>
    </row>
    <row r="1570" spans="22:25" x14ac:dyDescent="0.2">
      <c r="V1570" s="562"/>
      <c r="X1570" s="562"/>
      <c r="Y1570" s="562"/>
    </row>
    <row r="1571" spans="22:25" x14ac:dyDescent="0.2">
      <c r="V1571" s="562"/>
      <c r="X1571" s="562"/>
      <c r="Y1571" s="562"/>
    </row>
    <row r="1572" spans="22:25" x14ac:dyDescent="0.2">
      <c r="V1572" s="562"/>
      <c r="X1572" s="562"/>
      <c r="Y1572" s="562"/>
    </row>
    <row r="1573" spans="22:25" x14ac:dyDescent="0.2">
      <c r="V1573" s="562"/>
      <c r="X1573" s="562"/>
      <c r="Y1573" s="562"/>
    </row>
    <row r="1574" spans="22:25" x14ac:dyDescent="0.2">
      <c r="V1574" s="562"/>
      <c r="X1574" s="562"/>
      <c r="Y1574" s="562"/>
    </row>
    <row r="1575" spans="22:25" x14ac:dyDescent="0.2">
      <c r="V1575" s="562"/>
      <c r="X1575" s="562"/>
      <c r="Y1575" s="562"/>
    </row>
    <row r="1576" spans="22:25" x14ac:dyDescent="0.2">
      <c r="V1576" s="562"/>
      <c r="X1576" s="562"/>
      <c r="Y1576" s="562"/>
    </row>
    <row r="1577" spans="22:25" x14ac:dyDescent="0.2">
      <c r="V1577" s="562"/>
      <c r="X1577" s="562"/>
      <c r="Y1577" s="562"/>
    </row>
    <row r="1578" spans="22:25" x14ac:dyDescent="0.2">
      <c r="V1578" s="562"/>
      <c r="X1578" s="562"/>
      <c r="Y1578" s="562"/>
    </row>
    <row r="1579" spans="22:25" x14ac:dyDescent="0.2">
      <c r="V1579" s="562"/>
      <c r="X1579" s="562"/>
      <c r="Y1579" s="562"/>
    </row>
    <row r="1580" spans="22:25" x14ac:dyDescent="0.2">
      <c r="V1580" s="562"/>
      <c r="X1580" s="562"/>
      <c r="Y1580" s="562"/>
    </row>
    <row r="1581" spans="22:25" x14ac:dyDescent="0.2">
      <c r="V1581" s="562"/>
      <c r="X1581" s="562"/>
      <c r="Y1581" s="562"/>
    </row>
    <row r="1582" spans="22:25" x14ac:dyDescent="0.2">
      <c r="V1582" s="562"/>
      <c r="X1582" s="562"/>
      <c r="Y1582" s="562"/>
    </row>
    <row r="1583" spans="22:25" x14ac:dyDescent="0.2">
      <c r="V1583" s="562"/>
      <c r="X1583" s="562"/>
      <c r="Y1583" s="562"/>
    </row>
    <row r="1584" spans="22:25" x14ac:dyDescent="0.2">
      <c r="V1584" s="562"/>
      <c r="X1584" s="562"/>
      <c r="Y1584" s="562"/>
    </row>
    <row r="1585" spans="22:25" x14ac:dyDescent="0.2">
      <c r="V1585" s="562"/>
      <c r="X1585" s="562"/>
      <c r="Y1585" s="562"/>
    </row>
    <row r="1586" spans="22:25" x14ac:dyDescent="0.2">
      <c r="V1586" s="562"/>
      <c r="X1586" s="562"/>
      <c r="Y1586" s="562"/>
    </row>
    <row r="1587" spans="22:25" x14ac:dyDescent="0.2">
      <c r="V1587" s="562"/>
      <c r="X1587" s="562"/>
      <c r="Y1587" s="562"/>
    </row>
    <row r="1588" spans="22:25" x14ac:dyDescent="0.2">
      <c r="V1588" s="562"/>
      <c r="X1588" s="562"/>
      <c r="Y1588" s="562"/>
    </row>
    <row r="1589" spans="22:25" x14ac:dyDescent="0.2">
      <c r="V1589" s="562"/>
      <c r="X1589" s="562"/>
      <c r="Y1589" s="562"/>
    </row>
    <row r="1590" spans="22:25" x14ac:dyDescent="0.2">
      <c r="V1590" s="562"/>
      <c r="X1590" s="562"/>
      <c r="Y1590" s="562"/>
    </row>
    <row r="1591" spans="22:25" x14ac:dyDescent="0.2">
      <c r="V1591" s="562"/>
      <c r="X1591" s="562"/>
      <c r="Y1591" s="562"/>
    </row>
    <row r="1592" spans="22:25" x14ac:dyDescent="0.2">
      <c r="V1592" s="562"/>
      <c r="X1592" s="562"/>
      <c r="Y1592" s="562"/>
    </row>
    <row r="1593" spans="22:25" x14ac:dyDescent="0.2">
      <c r="V1593" s="562"/>
      <c r="X1593" s="562"/>
      <c r="Y1593" s="562"/>
    </row>
    <row r="1594" spans="22:25" x14ac:dyDescent="0.2">
      <c r="V1594" s="562"/>
      <c r="X1594" s="562"/>
      <c r="Y1594" s="562"/>
    </row>
    <row r="1595" spans="22:25" x14ac:dyDescent="0.2">
      <c r="V1595" s="562"/>
      <c r="X1595" s="562"/>
      <c r="Y1595" s="562"/>
    </row>
    <row r="1596" spans="22:25" x14ac:dyDescent="0.2">
      <c r="V1596" s="562"/>
      <c r="X1596" s="562"/>
      <c r="Y1596" s="562"/>
    </row>
    <row r="1597" spans="22:25" x14ac:dyDescent="0.2">
      <c r="V1597" s="562"/>
      <c r="X1597" s="562"/>
      <c r="Y1597" s="562"/>
    </row>
    <row r="1598" spans="22:25" x14ac:dyDescent="0.2">
      <c r="V1598" s="562"/>
      <c r="X1598" s="562"/>
      <c r="Y1598" s="562"/>
    </row>
    <row r="1599" spans="22:25" x14ac:dyDescent="0.2">
      <c r="V1599" s="562"/>
      <c r="X1599" s="562"/>
      <c r="Y1599" s="562"/>
    </row>
    <row r="1600" spans="22:25" x14ac:dyDescent="0.2">
      <c r="V1600" s="562"/>
      <c r="X1600" s="562"/>
      <c r="Y1600" s="562"/>
    </row>
    <row r="1601" spans="22:25" x14ac:dyDescent="0.2">
      <c r="V1601" s="562"/>
      <c r="X1601" s="562"/>
      <c r="Y1601" s="562"/>
    </row>
    <row r="1602" spans="22:25" x14ac:dyDescent="0.2">
      <c r="V1602" s="562"/>
      <c r="X1602" s="562"/>
      <c r="Y1602" s="562"/>
    </row>
    <row r="1603" spans="22:25" x14ac:dyDescent="0.2">
      <c r="V1603" s="562"/>
      <c r="X1603" s="562"/>
      <c r="Y1603" s="562"/>
    </row>
    <row r="1604" spans="22:25" x14ac:dyDescent="0.2">
      <c r="V1604" s="562"/>
      <c r="X1604" s="562"/>
      <c r="Y1604" s="562"/>
    </row>
    <row r="1605" spans="22:25" x14ac:dyDescent="0.2">
      <c r="V1605" s="562"/>
      <c r="X1605" s="562"/>
      <c r="Y1605" s="562"/>
    </row>
    <row r="1606" spans="22:25" x14ac:dyDescent="0.2">
      <c r="V1606" s="562"/>
      <c r="X1606" s="562"/>
      <c r="Y1606" s="562"/>
    </row>
    <row r="1607" spans="22:25" x14ac:dyDescent="0.2">
      <c r="V1607" s="562"/>
      <c r="X1607" s="562"/>
      <c r="Y1607" s="562"/>
    </row>
    <row r="1608" spans="22:25" x14ac:dyDescent="0.2">
      <c r="V1608" s="562"/>
      <c r="X1608" s="562"/>
      <c r="Y1608" s="562"/>
    </row>
    <row r="1609" spans="22:25" x14ac:dyDescent="0.2">
      <c r="V1609" s="562"/>
      <c r="X1609" s="562"/>
      <c r="Y1609" s="562"/>
    </row>
    <row r="1610" spans="22:25" x14ac:dyDescent="0.2">
      <c r="V1610" s="562"/>
      <c r="X1610" s="562"/>
      <c r="Y1610" s="562"/>
    </row>
    <row r="1611" spans="22:25" x14ac:dyDescent="0.2">
      <c r="V1611" s="562"/>
      <c r="X1611" s="562"/>
      <c r="Y1611" s="562"/>
    </row>
    <row r="1612" spans="22:25" x14ac:dyDescent="0.2">
      <c r="V1612" s="562"/>
      <c r="X1612" s="562"/>
      <c r="Y1612" s="562"/>
    </row>
    <row r="1613" spans="22:25" x14ac:dyDescent="0.2">
      <c r="V1613" s="562"/>
      <c r="X1613" s="562"/>
      <c r="Y1613" s="562"/>
    </row>
    <row r="1614" spans="22:25" x14ac:dyDescent="0.2">
      <c r="V1614" s="562"/>
      <c r="X1614" s="562"/>
      <c r="Y1614" s="562"/>
    </row>
    <row r="1615" spans="22:25" x14ac:dyDescent="0.2">
      <c r="V1615" s="562"/>
      <c r="X1615" s="562"/>
      <c r="Y1615" s="562"/>
    </row>
    <row r="1616" spans="22:25" x14ac:dyDescent="0.2">
      <c r="V1616" s="562"/>
      <c r="X1616" s="562"/>
      <c r="Y1616" s="562"/>
    </row>
    <row r="1617" spans="22:25" x14ac:dyDescent="0.2">
      <c r="V1617" s="562"/>
      <c r="X1617" s="562"/>
      <c r="Y1617" s="562"/>
    </row>
    <row r="1618" spans="22:25" x14ac:dyDescent="0.2">
      <c r="V1618" s="562"/>
      <c r="X1618" s="562"/>
      <c r="Y1618" s="562"/>
    </row>
    <row r="1619" spans="22:25" x14ac:dyDescent="0.2">
      <c r="V1619" s="562"/>
      <c r="X1619" s="562"/>
      <c r="Y1619" s="562"/>
    </row>
    <row r="1620" spans="22:25" x14ac:dyDescent="0.2">
      <c r="V1620" s="562"/>
      <c r="X1620" s="562"/>
      <c r="Y1620" s="562"/>
    </row>
    <row r="1621" spans="22:25" x14ac:dyDescent="0.2">
      <c r="V1621" s="562"/>
      <c r="X1621" s="562"/>
      <c r="Y1621" s="562"/>
    </row>
    <row r="1622" spans="22:25" x14ac:dyDescent="0.2">
      <c r="V1622" s="562"/>
      <c r="X1622" s="562"/>
      <c r="Y1622" s="562"/>
    </row>
    <row r="1623" spans="22:25" x14ac:dyDescent="0.2">
      <c r="V1623" s="562"/>
      <c r="X1623" s="562"/>
      <c r="Y1623" s="562"/>
    </row>
    <row r="1624" spans="22:25" x14ac:dyDescent="0.2">
      <c r="V1624" s="562"/>
      <c r="X1624" s="562"/>
      <c r="Y1624" s="562"/>
    </row>
    <row r="1625" spans="22:25" x14ac:dyDescent="0.2">
      <c r="V1625" s="562"/>
      <c r="X1625" s="562"/>
      <c r="Y1625" s="562"/>
    </row>
    <row r="1626" spans="22:25" x14ac:dyDescent="0.2">
      <c r="V1626" s="562"/>
      <c r="X1626" s="562"/>
      <c r="Y1626" s="562"/>
    </row>
    <row r="1627" spans="22:25" x14ac:dyDescent="0.2">
      <c r="V1627" s="562"/>
      <c r="X1627" s="562"/>
      <c r="Y1627" s="562"/>
    </row>
    <row r="1628" spans="22:25" x14ac:dyDescent="0.2">
      <c r="V1628" s="562"/>
      <c r="X1628" s="562"/>
      <c r="Y1628" s="562"/>
    </row>
    <row r="1629" spans="22:25" x14ac:dyDescent="0.2">
      <c r="V1629" s="562"/>
      <c r="X1629" s="562"/>
      <c r="Y1629" s="562"/>
    </row>
    <row r="1630" spans="22:25" x14ac:dyDescent="0.2">
      <c r="V1630" s="562"/>
      <c r="X1630" s="562"/>
      <c r="Y1630" s="562"/>
    </row>
    <row r="1631" spans="22:25" x14ac:dyDescent="0.2">
      <c r="V1631" s="562"/>
      <c r="X1631" s="562"/>
      <c r="Y1631" s="562"/>
    </row>
    <row r="1632" spans="22:25" x14ac:dyDescent="0.2">
      <c r="V1632" s="562"/>
      <c r="X1632" s="562"/>
      <c r="Y1632" s="562"/>
    </row>
    <row r="1633" spans="22:25" x14ac:dyDescent="0.2">
      <c r="V1633" s="562"/>
      <c r="X1633" s="562"/>
      <c r="Y1633" s="562"/>
    </row>
    <row r="1634" spans="22:25" x14ac:dyDescent="0.2">
      <c r="V1634" s="562"/>
      <c r="X1634" s="562"/>
      <c r="Y1634" s="562"/>
    </row>
    <row r="1635" spans="22:25" x14ac:dyDescent="0.2">
      <c r="V1635" s="562"/>
      <c r="X1635" s="562"/>
      <c r="Y1635" s="562"/>
    </row>
    <row r="1636" spans="22:25" x14ac:dyDescent="0.2">
      <c r="V1636" s="562"/>
      <c r="X1636" s="562"/>
      <c r="Y1636" s="562"/>
    </row>
    <row r="1637" spans="22:25" x14ac:dyDescent="0.2">
      <c r="V1637" s="562"/>
      <c r="X1637" s="562"/>
      <c r="Y1637" s="562"/>
    </row>
    <row r="1638" spans="22:25" x14ac:dyDescent="0.2">
      <c r="V1638" s="562"/>
      <c r="X1638" s="562"/>
      <c r="Y1638" s="562"/>
    </row>
    <row r="1639" spans="22:25" x14ac:dyDescent="0.2">
      <c r="V1639" s="562"/>
      <c r="X1639" s="562"/>
      <c r="Y1639" s="562"/>
    </row>
    <row r="1640" spans="22:25" x14ac:dyDescent="0.2">
      <c r="V1640" s="562"/>
      <c r="X1640" s="562"/>
      <c r="Y1640" s="562"/>
    </row>
    <row r="1641" spans="22:25" x14ac:dyDescent="0.2">
      <c r="V1641" s="562"/>
      <c r="X1641" s="562"/>
      <c r="Y1641" s="562"/>
    </row>
    <row r="1642" spans="22:25" x14ac:dyDescent="0.2">
      <c r="V1642" s="562"/>
      <c r="X1642" s="562"/>
      <c r="Y1642" s="562"/>
    </row>
    <row r="1643" spans="22:25" x14ac:dyDescent="0.2">
      <c r="V1643" s="562"/>
      <c r="X1643" s="562"/>
      <c r="Y1643" s="562"/>
    </row>
    <row r="1644" spans="22:25" x14ac:dyDescent="0.2">
      <c r="V1644" s="562"/>
      <c r="X1644" s="562"/>
      <c r="Y1644" s="562"/>
    </row>
    <row r="1645" spans="22:25" x14ac:dyDescent="0.2">
      <c r="V1645" s="562"/>
      <c r="X1645" s="562"/>
      <c r="Y1645" s="562"/>
    </row>
    <row r="1646" spans="22:25" x14ac:dyDescent="0.2">
      <c r="V1646" s="562"/>
      <c r="X1646" s="562"/>
      <c r="Y1646" s="562"/>
    </row>
    <row r="1647" spans="22:25" x14ac:dyDescent="0.2">
      <c r="V1647" s="562"/>
      <c r="X1647" s="562"/>
      <c r="Y1647" s="562"/>
    </row>
    <row r="1648" spans="22:25" x14ac:dyDescent="0.2">
      <c r="V1648" s="562"/>
      <c r="X1648" s="562"/>
      <c r="Y1648" s="562"/>
    </row>
    <row r="1649" spans="22:25" x14ac:dyDescent="0.2">
      <c r="V1649" s="562"/>
      <c r="X1649" s="562"/>
      <c r="Y1649" s="562"/>
    </row>
    <row r="1650" spans="22:25" x14ac:dyDescent="0.2">
      <c r="V1650" s="562"/>
      <c r="X1650" s="562"/>
      <c r="Y1650" s="562"/>
    </row>
    <row r="1651" spans="22:25" x14ac:dyDescent="0.2">
      <c r="V1651" s="562"/>
      <c r="X1651" s="562"/>
      <c r="Y1651" s="562"/>
    </row>
    <row r="1652" spans="22:25" x14ac:dyDescent="0.2">
      <c r="V1652" s="562"/>
      <c r="X1652" s="562"/>
      <c r="Y1652" s="562"/>
    </row>
    <row r="1653" spans="22:25" x14ac:dyDescent="0.2">
      <c r="V1653" s="562"/>
      <c r="X1653" s="562"/>
      <c r="Y1653" s="562"/>
    </row>
    <row r="1654" spans="22:25" x14ac:dyDescent="0.2">
      <c r="V1654" s="562"/>
      <c r="X1654" s="562"/>
      <c r="Y1654" s="562"/>
    </row>
    <row r="1655" spans="22:25" x14ac:dyDescent="0.2">
      <c r="V1655" s="562"/>
      <c r="X1655" s="562"/>
      <c r="Y1655" s="562"/>
    </row>
    <row r="1656" spans="22:25" x14ac:dyDescent="0.2">
      <c r="V1656" s="562"/>
      <c r="X1656" s="562"/>
      <c r="Y1656" s="562"/>
    </row>
    <row r="1657" spans="22:25" x14ac:dyDescent="0.2">
      <c r="V1657" s="562"/>
      <c r="X1657" s="562"/>
      <c r="Y1657" s="562"/>
    </row>
    <row r="1658" spans="22:25" x14ac:dyDescent="0.2">
      <c r="V1658" s="562"/>
      <c r="X1658" s="562"/>
      <c r="Y1658" s="562"/>
    </row>
    <row r="1659" spans="22:25" x14ac:dyDescent="0.2">
      <c r="V1659" s="562"/>
      <c r="X1659" s="562"/>
      <c r="Y1659" s="562"/>
    </row>
    <row r="1660" spans="22:25" x14ac:dyDescent="0.2">
      <c r="V1660" s="562"/>
      <c r="X1660" s="562"/>
      <c r="Y1660" s="562"/>
    </row>
    <row r="1661" spans="22:25" x14ac:dyDescent="0.2">
      <c r="V1661" s="562"/>
      <c r="X1661" s="562"/>
      <c r="Y1661" s="562"/>
    </row>
    <row r="1662" spans="22:25" x14ac:dyDescent="0.2">
      <c r="V1662" s="562"/>
      <c r="X1662" s="562"/>
      <c r="Y1662" s="562"/>
    </row>
    <row r="1663" spans="22:25" x14ac:dyDescent="0.2">
      <c r="V1663" s="562"/>
      <c r="X1663" s="562"/>
      <c r="Y1663" s="562"/>
    </row>
    <row r="1664" spans="22:25" x14ac:dyDescent="0.2">
      <c r="V1664" s="562"/>
      <c r="X1664" s="562"/>
      <c r="Y1664" s="562"/>
    </row>
    <row r="1665" spans="22:25" x14ac:dyDescent="0.2">
      <c r="V1665" s="562"/>
      <c r="X1665" s="562"/>
      <c r="Y1665" s="562"/>
    </row>
    <row r="1666" spans="22:25" x14ac:dyDescent="0.2">
      <c r="V1666" s="562"/>
      <c r="X1666" s="562"/>
      <c r="Y1666" s="562"/>
    </row>
    <row r="1667" spans="22:25" x14ac:dyDescent="0.2">
      <c r="V1667" s="562"/>
      <c r="X1667" s="562"/>
      <c r="Y1667" s="562"/>
    </row>
    <row r="1668" spans="22:25" x14ac:dyDescent="0.2">
      <c r="V1668" s="562"/>
      <c r="X1668" s="562"/>
      <c r="Y1668" s="562"/>
    </row>
    <row r="1669" spans="22:25" x14ac:dyDescent="0.2">
      <c r="V1669" s="562"/>
      <c r="X1669" s="562"/>
      <c r="Y1669" s="562"/>
    </row>
    <row r="1670" spans="22:25" x14ac:dyDescent="0.2">
      <c r="V1670" s="562"/>
      <c r="X1670" s="562"/>
      <c r="Y1670" s="562"/>
    </row>
    <row r="1671" spans="22:25" x14ac:dyDescent="0.2">
      <c r="V1671" s="562"/>
      <c r="X1671" s="562"/>
      <c r="Y1671" s="562"/>
    </row>
    <row r="1672" spans="22:25" x14ac:dyDescent="0.2">
      <c r="V1672" s="562"/>
      <c r="X1672" s="562"/>
      <c r="Y1672" s="562"/>
    </row>
    <row r="1673" spans="22:25" x14ac:dyDescent="0.2">
      <c r="V1673" s="562"/>
      <c r="X1673" s="562"/>
      <c r="Y1673" s="562"/>
    </row>
    <row r="1674" spans="22:25" x14ac:dyDescent="0.2">
      <c r="V1674" s="562"/>
      <c r="X1674" s="562"/>
      <c r="Y1674" s="562"/>
    </row>
    <row r="1675" spans="22:25" x14ac:dyDescent="0.2">
      <c r="V1675" s="562"/>
      <c r="X1675" s="562"/>
      <c r="Y1675" s="562"/>
    </row>
    <row r="1676" spans="22:25" x14ac:dyDescent="0.2">
      <c r="V1676" s="562"/>
      <c r="X1676" s="562"/>
      <c r="Y1676" s="562"/>
    </row>
    <row r="1677" spans="22:25" x14ac:dyDescent="0.2">
      <c r="V1677" s="562"/>
      <c r="X1677" s="562"/>
      <c r="Y1677" s="562"/>
    </row>
    <row r="1678" spans="22:25" x14ac:dyDescent="0.2">
      <c r="V1678" s="562"/>
      <c r="X1678" s="562"/>
      <c r="Y1678" s="562"/>
    </row>
    <row r="1679" spans="22:25" x14ac:dyDescent="0.2">
      <c r="V1679" s="562"/>
      <c r="X1679" s="562"/>
      <c r="Y1679" s="562"/>
    </row>
    <row r="1680" spans="22:25" x14ac:dyDescent="0.2">
      <c r="V1680" s="562"/>
      <c r="X1680" s="562"/>
      <c r="Y1680" s="562"/>
    </row>
    <row r="1681" spans="22:25" x14ac:dyDescent="0.2">
      <c r="V1681" s="562"/>
      <c r="X1681" s="562"/>
      <c r="Y1681" s="562"/>
    </row>
    <row r="1682" spans="22:25" x14ac:dyDescent="0.2">
      <c r="V1682" s="562"/>
      <c r="X1682" s="562"/>
      <c r="Y1682" s="562"/>
    </row>
    <row r="1683" spans="22:25" x14ac:dyDescent="0.2">
      <c r="V1683" s="562"/>
      <c r="X1683" s="562"/>
      <c r="Y1683" s="562"/>
    </row>
    <row r="1684" spans="22:25" x14ac:dyDescent="0.2">
      <c r="V1684" s="562"/>
      <c r="X1684" s="562"/>
      <c r="Y1684" s="562"/>
    </row>
    <row r="1685" spans="22:25" x14ac:dyDescent="0.2">
      <c r="V1685" s="562"/>
      <c r="X1685" s="562"/>
      <c r="Y1685" s="562"/>
    </row>
    <row r="1686" spans="22:25" x14ac:dyDescent="0.2">
      <c r="V1686" s="562"/>
      <c r="X1686" s="562"/>
      <c r="Y1686" s="562"/>
    </row>
    <row r="1687" spans="22:25" x14ac:dyDescent="0.2">
      <c r="V1687" s="562"/>
      <c r="X1687" s="562"/>
      <c r="Y1687" s="562"/>
    </row>
    <row r="1688" spans="22:25" x14ac:dyDescent="0.2">
      <c r="V1688" s="562"/>
      <c r="X1688" s="562"/>
      <c r="Y1688" s="562"/>
    </row>
    <row r="1689" spans="22:25" x14ac:dyDescent="0.2">
      <c r="V1689" s="562"/>
      <c r="X1689" s="562"/>
      <c r="Y1689" s="562"/>
    </row>
    <row r="1690" spans="22:25" x14ac:dyDescent="0.2">
      <c r="V1690" s="562"/>
      <c r="X1690" s="562"/>
      <c r="Y1690" s="562"/>
    </row>
    <row r="1691" spans="22:25" x14ac:dyDescent="0.2">
      <c r="V1691" s="562"/>
      <c r="X1691" s="562"/>
      <c r="Y1691" s="562"/>
    </row>
    <row r="1692" spans="22:25" x14ac:dyDescent="0.2">
      <c r="V1692" s="562"/>
      <c r="X1692" s="562"/>
      <c r="Y1692" s="562"/>
    </row>
    <row r="1693" spans="22:25" x14ac:dyDescent="0.2">
      <c r="V1693" s="562"/>
      <c r="X1693" s="562"/>
      <c r="Y1693" s="562"/>
    </row>
    <row r="1694" spans="22:25" x14ac:dyDescent="0.2">
      <c r="V1694" s="562"/>
      <c r="X1694" s="562"/>
      <c r="Y1694" s="562"/>
    </row>
    <row r="1695" spans="22:25" x14ac:dyDescent="0.2">
      <c r="V1695" s="562"/>
      <c r="X1695" s="562"/>
      <c r="Y1695" s="562"/>
    </row>
    <row r="1696" spans="22:25" x14ac:dyDescent="0.2">
      <c r="V1696" s="562"/>
      <c r="X1696" s="562"/>
      <c r="Y1696" s="562"/>
    </row>
    <row r="1697" spans="22:25" x14ac:dyDescent="0.2">
      <c r="V1697" s="562"/>
      <c r="X1697" s="562"/>
      <c r="Y1697" s="562"/>
    </row>
    <row r="1698" spans="22:25" x14ac:dyDescent="0.2">
      <c r="V1698" s="562"/>
      <c r="X1698" s="562"/>
      <c r="Y1698" s="562"/>
    </row>
    <row r="1699" spans="22:25" x14ac:dyDescent="0.2">
      <c r="V1699" s="562"/>
      <c r="X1699" s="562"/>
      <c r="Y1699" s="562"/>
    </row>
    <row r="1700" spans="22:25" x14ac:dyDescent="0.2">
      <c r="V1700" s="562"/>
      <c r="X1700" s="562"/>
      <c r="Y1700" s="562"/>
    </row>
    <row r="1701" spans="22:25" x14ac:dyDescent="0.2">
      <c r="V1701" s="562"/>
      <c r="X1701" s="562"/>
      <c r="Y1701" s="562"/>
    </row>
    <row r="1702" spans="22:25" x14ac:dyDescent="0.2">
      <c r="V1702" s="562"/>
      <c r="X1702" s="562"/>
      <c r="Y1702" s="562"/>
    </row>
    <row r="1703" spans="22:25" x14ac:dyDescent="0.2">
      <c r="V1703" s="562"/>
      <c r="X1703" s="562"/>
      <c r="Y1703" s="562"/>
    </row>
    <row r="1704" spans="22:25" x14ac:dyDescent="0.2">
      <c r="V1704" s="562"/>
      <c r="X1704" s="562"/>
      <c r="Y1704" s="562"/>
    </row>
    <row r="1705" spans="22:25" x14ac:dyDescent="0.2">
      <c r="V1705" s="562"/>
      <c r="X1705" s="562"/>
      <c r="Y1705" s="562"/>
    </row>
    <row r="1706" spans="22:25" x14ac:dyDescent="0.2">
      <c r="V1706" s="562"/>
      <c r="X1706" s="562"/>
      <c r="Y1706" s="562"/>
    </row>
    <row r="1707" spans="22:25" x14ac:dyDescent="0.2">
      <c r="V1707" s="562"/>
      <c r="X1707" s="562"/>
      <c r="Y1707" s="562"/>
    </row>
    <row r="1708" spans="22:25" x14ac:dyDescent="0.2">
      <c r="V1708" s="562"/>
      <c r="X1708" s="562"/>
      <c r="Y1708" s="562"/>
    </row>
    <row r="1709" spans="22:25" x14ac:dyDescent="0.2">
      <c r="V1709" s="562"/>
      <c r="X1709" s="562"/>
      <c r="Y1709" s="562"/>
    </row>
    <row r="1710" spans="22:25" x14ac:dyDescent="0.2">
      <c r="V1710" s="562"/>
      <c r="X1710" s="562"/>
      <c r="Y1710" s="562"/>
    </row>
    <row r="1711" spans="22:25" x14ac:dyDescent="0.2">
      <c r="V1711" s="562"/>
      <c r="X1711" s="562"/>
      <c r="Y1711" s="562"/>
    </row>
    <row r="1712" spans="22:25" x14ac:dyDescent="0.2">
      <c r="V1712" s="562"/>
      <c r="X1712" s="562"/>
      <c r="Y1712" s="562"/>
    </row>
    <row r="1713" spans="22:25" x14ac:dyDescent="0.2">
      <c r="V1713" s="562"/>
      <c r="X1713" s="562"/>
      <c r="Y1713" s="562"/>
    </row>
    <row r="1714" spans="22:25" x14ac:dyDescent="0.2">
      <c r="V1714" s="562"/>
      <c r="X1714" s="562"/>
      <c r="Y1714" s="562"/>
    </row>
    <row r="1715" spans="22:25" x14ac:dyDescent="0.2">
      <c r="V1715" s="562"/>
      <c r="X1715" s="562"/>
      <c r="Y1715" s="562"/>
    </row>
    <row r="1716" spans="22:25" x14ac:dyDescent="0.2">
      <c r="V1716" s="562"/>
      <c r="X1716" s="562"/>
      <c r="Y1716" s="562"/>
    </row>
    <row r="1717" spans="22:25" x14ac:dyDescent="0.2">
      <c r="V1717" s="562"/>
      <c r="X1717" s="562"/>
      <c r="Y1717" s="562"/>
    </row>
    <row r="1718" spans="22:25" x14ac:dyDescent="0.2">
      <c r="V1718" s="562"/>
      <c r="X1718" s="562"/>
      <c r="Y1718" s="562"/>
    </row>
    <row r="1719" spans="22:25" x14ac:dyDescent="0.2">
      <c r="V1719" s="562"/>
      <c r="X1719" s="562"/>
      <c r="Y1719" s="562"/>
    </row>
    <row r="1720" spans="22:25" x14ac:dyDescent="0.2">
      <c r="V1720" s="562"/>
      <c r="X1720" s="562"/>
      <c r="Y1720" s="562"/>
    </row>
    <row r="1721" spans="22:25" x14ac:dyDescent="0.2">
      <c r="V1721" s="562"/>
      <c r="X1721" s="562"/>
      <c r="Y1721" s="562"/>
    </row>
    <row r="1722" spans="22:25" x14ac:dyDescent="0.2">
      <c r="V1722" s="562"/>
      <c r="X1722" s="562"/>
      <c r="Y1722" s="562"/>
    </row>
    <row r="1723" spans="22:25" x14ac:dyDescent="0.2">
      <c r="V1723" s="562"/>
      <c r="X1723" s="562"/>
      <c r="Y1723" s="562"/>
    </row>
    <row r="1724" spans="22:25" x14ac:dyDescent="0.2">
      <c r="V1724" s="562"/>
      <c r="X1724" s="562"/>
      <c r="Y1724" s="562"/>
    </row>
    <row r="1725" spans="22:25" x14ac:dyDescent="0.2">
      <c r="V1725" s="562"/>
      <c r="X1725" s="562"/>
      <c r="Y1725" s="562"/>
    </row>
    <row r="1726" spans="22:25" x14ac:dyDescent="0.2">
      <c r="V1726" s="562"/>
      <c r="X1726" s="562"/>
      <c r="Y1726" s="562"/>
    </row>
    <row r="1727" spans="22:25" x14ac:dyDescent="0.2">
      <c r="V1727" s="562"/>
      <c r="X1727" s="562"/>
      <c r="Y1727" s="562"/>
    </row>
    <row r="1728" spans="22:25" x14ac:dyDescent="0.2">
      <c r="V1728" s="562"/>
      <c r="X1728" s="562"/>
      <c r="Y1728" s="562"/>
    </row>
    <row r="1729" spans="22:25" x14ac:dyDescent="0.2">
      <c r="V1729" s="562"/>
      <c r="X1729" s="562"/>
      <c r="Y1729" s="562"/>
    </row>
    <row r="1730" spans="22:25" x14ac:dyDescent="0.2">
      <c r="V1730" s="562"/>
      <c r="X1730" s="562"/>
      <c r="Y1730" s="562"/>
    </row>
    <row r="1731" spans="22:25" x14ac:dyDescent="0.2">
      <c r="V1731" s="562"/>
      <c r="X1731" s="562"/>
      <c r="Y1731" s="562"/>
    </row>
    <row r="1732" spans="22:25" x14ac:dyDescent="0.2">
      <c r="V1732" s="562"/>
      <c r="X1732" s="562"/>
      <c r="Y1732" s="562"/>
    </row>
    <row r="1733" spans="22:25" x14ac:dyDescent="0.2">
      <c r="V1733" s="562"/>
      <c r="X1733" s="562"/>
      <c r="Y1733" s="562"/>
    </row>
    <row r="1734" spans="22:25" x14ac:dyDescent="0.2">
      <c r="V1734" s="562"/>
      <c r="X1734" s="562"/>
      <c r="Y1734" s="562"/>
    </row>
    <row r="1735" spans="22:25" x14ac:dyDescent="0.2">
      <c r="V1735" s="562"/>
      <c r="X1735" s="562"/>
      <c r="Y1735" s="562"/>
    </row>
    <row r="1736" spans="22:25" x14ac:dyDescent="0.2">
      <c r="V1736" s="562"/>
      <c r="X1736" s="562"/>
      <c r="Y1736" s="562"/>
    </row>
    <row r="1737" spans="22:25" x14ac:dyDescent="0.2">
      <c r="V1737" s="562"/>
      <c r="X1737" s="562"/>
      <c r="Y1737" s="562"/>
    </row>
    <row r="1738" spans="22:25" x14ac:dyDescent="0.2">
      <c r="V1738" s="562"/>
      <c r="X1738" s="562"/>
      <c r="Y1738" s="562"/>
    </row>
    <row r="1739" spans="22:25" x14ac:dyDescent="0.2">
      <c r="V1739" s="562"/>
      <c r="X1739" s="562"/>
      <c r="Y1739" s="562"/>
    </row>
    <row r="1740" spans="22:25" x14ac:dyDescent="0.2">
      <c r="V1740" s="562"/>
      <c r="X1740" s="562"/>
      <c r="Y1740" s="562"/>
    </row>
    <row r="1741" spans="22:25" x14ac:dyDescent="0.2">
      <c r="V1741" s="562"/>
      <c r="X1741" s="562"/>
      <c r="Y1741" s="562"/>
    </row>
    <row r="1742" spans="22:25" x14ac:dyDescent="0.2">
      <c r="V1742" s="562"/>
      <c r="X1742" s="562"/>
      <c r="Y1742" s="562"/>
    </row>
    <row r="1743" spans="22:25" x14ac:dyDescent="0.2">
      <c r="V1743" s="562"/>
      <c r="X1743" s="562"/>
      <c r="Y1743" s="562"/>
    </row>
    <row r="1744" spans="22:25" x14ac:dyDescent="0.2">
      <c r="V1744" s="562"/>
      <c r="X1744" s="562"/>
      <c r="Y1744" s="562"/>
    </row>
    <row r="1745" spans="22:25" x14ac:dyDescent="0.2">
      <c r="V1745" s="562"/>
      <c r="X1745" s="562"/>
      <c r="Y1745" s="562"/>
    </row>
    <row r="1746" spans="22:25" x14ac:dyDescent="0.2">
      <c r="V1746" s="562"/>
      <c r="X1746" s="562"/>
      <c r="Y1746" s="562"/>
    </row>
    <row r="1747" spans="22:25" x14ac:dyDescent="0.2">
      <c r="V1747" s="562"/>
      <c r="X1747" s="562"/>
      <c r="Y1747" s="562"/>
    </row>
    <row r="1748" spans="22:25" x14ac:dyDescent="0.2">
      <c r="V1748" s="562"/>
      <c r="X1748" s="562"/>
      <c r="Y1748" s="562"/>
    </row>
    <row r="1749" spans="22:25" x14ac:dyDescent="0.2">
      <c r="V1749" s="562"/>
      <c r="X1749" s="562"/>
      <c r="Y1749" s="562"/>
    </row>
    <row r="1750" spans="22:25" x14ac:dyDescent="0.2">
      <c r="V1750" s="562"/>
      <c r="X1750" s="562"/>
      <c r="Y1750" s="562"/>
    </row>
    <row r="1751" spans="22:25" x14ac:dyDescent="0.2">
      <c r="V1751" s="562"/>
      <c r="X1751" s="562"/>
      <c r="Y1751" s="562"/>
    </row>
    <row r="1752" spans="22:25" x14ac:dyDescent="0.2">
      <c r="V1752" s="562"/>
      <c r="X1752" s="562"/>
      <c r="Y1752" s="562"/>
    </row>
    <row r="1753" spans="22:25" x14ac:dyDescent="0.2">
      <c r="V1753" s="562"/>
      <c r="X1753" s="562"/>
      <c r="Y1753" s="562"/>
    </row>
    <row r="1754" spans="22:25" x14ac:dyDescent="0.2">
      <c r="V1754" s="562"/>
      <c r="X1754" s="562"/>
      <c r="Y1754" s="562"/>
    </row>
    <row r="1755" spans="22:25" x14ac:dyDescent="0.2">
      <c r="V1755" s="562"/>
      <c r="X1755" s="562"/>
      <c r="Y1755" s="562"/>
    </row>
    <row r="1756" spans="22:25" x14ac:dyDescent="0.2">
      <c r="V1756" s="562"/>
      <c r="X1756" s="562"/>
      <c r="Y1756" s="562"/>
    </row>
    <row r="1757" spans="22:25" x14ac:dyDescent="0.2">
      <c r="V1757" s="562"/>
      <c r="X1757" s="562"/>
      <c r="Y1757" s="562"/>
    </row>
    <row r="1758" spans="22:25" x14ac:dyDescent="0.2">
      <c r="V1758" s="562"/>
      <c r="X1758" s="562"/>
      <c r="Y1758" s="562"/>
    </row>
    <row r="1759" spans="22:25" x14ac:dyDescent="0.2">
      <c r="V1759" s="562"/>
      <c r="X1759" s="562"/>
      <c r="Y1759" s="562"/>
    </row>
    <row r="1760" spans="22:25" x14ac:dyDescent="0.2">
      <c r="V1760" s="562"/>
      <c r="X1760" s="562"/>
      <c r="Y1760" s="562"/>
    </row>
    <row r="1761" spans="22:25" x14ac:dyDescent="0.2">
      <c r="V1761" s="562"/>
      <c r="X1761" s="562"/>
      <c r="Y1761" s="562"/>
    </row>
    <row r="1762" spans="22:25" x14ac:dyDescent="0.2">
      <c r="V1762" s="562"/>
      <c r="X1762" s="562"/>
      <c r="Y1762" s="562"/>
    </row>
    <row r="1763" spans="22:25" x14ac:dyDescent="0.2">
      <c r="V1763" s="562"/>
      <c r="X1763" s="562"/>
      <c r="Y1763" s="562"/>
    </row>
    <row r="1764" spans="22:25" x14ac:dyDescent="0.2">
      <c r="V1764" s="562"/>
      <c r="X1764" s="562"/>
      <c r="Y1764" s="562"/>
    </row>
    <row r="1765" spans="22:25" x14ac:dyDescent="0.2">
      <c r="V1765" s="562"/>
      <c r="X1765" s="562"/>
      <c r="Y1765" s="562"/>
    </row>
    <row r="1766" spans="22:25" x14ac:dyDescent="0.2">
      <c r="V1766" s="562"/>
      <c r="X1766" s="562"/>
      <c r="Y1766" s="562"/>
    </row>
    <row r="1767" spans="22:25" x14ac:dyDescent="0.2">
      <c r="V1767" s="562"/>
      <c r="X1767" s="562"/>
      <c r="Y1767" s="562"/>
    </row>
    <row r="1768" spans="22:25" x14ac:dyDescent="0.2">
      <c r="V1768" s="562"/>
      <c r="X1768" s="562"/>
      <c r="Y1768" s="562"/>
    </row>
    <row r="1769" spans="22:25" x14ac:dyDescent="0.2">
      <c r="V1769" s="562"/>
      <c r="X1769" s="562"/>
      <c r="Y1769" s="562"/>
    </row>
    <row r="1770" spans="22:25" x14ac:dyDescent="0.2">
      <c r="V1770" s="562"/>
      <c r="X1770" s="562"/>
      <c r="Y1770" s="562"/>
    </row>
    <row r="1771" spans="22:25" x14ac:dyDescent="0.2">
      <c r="V1771" s="562"/>
      <c r="X1771" s="562"/>
      <c r="Y1771" s="562"/>
    </row>
    <row r="1772" spans="22:25" x14ac:dyDescent="0.2">
      <c r="V1772" s="562"/>
      <c r="X1772" s="562"/>
      <c r="Y1772" s="562"/>
    </row>
    <row r="1773" spans="22:25" x14ac:dyDescent="0.2">
      <c r="V1773" s="562"/>
      <c r="X1773" s="562"/>
      <c r="Y1773" s="562"/>
    </row>
    <row r="1774" spans="22:25" x14ac:dyDescent="0.2">
      <c r="V1774" s="562"/>
      <c r="X1774" s="562"/>
      <c r="Y1774" s="562"/>
    </row>
    <row r="1775" spans="22:25" x14ac:dyDescent="0.2">
      <c r="V1775" s="562"/>
      <c r="X1775" s="562"/>
      <c r="Y1775" s="562"/>
    </row>
    <row r="1776" spans="22:25" x14ac:dyDescent="0.2">
      <c r="V1776" s="562"/>
      <c r="X1776" s="562"/>
      <c r="Y1776" s="562"/>
    </row>
    <row r="1777" spans="22:25" x14ac:dyDescent="0.2">
      <c r="V1777" s="562"/>
      <c r="X1777" s="562"/>
      <c r="Y1777" s="562"/>
    </row>
    <row r="1778" spans="22:25" x14ac:dyDescent="0.2">
      <c r="V1778" s="562"/>
      <c r="X1778" s="562"/>
      <c r="Y1778" s="562"/>
    </row>
    <row r="1779" spans="22:25" x14ac:dyDescent="0.2">
      <c r="V1779" s="562"/>
      <c r="X1779" s="562"/>
      <c r="Y1779" s="562"/>
    </row>
    <row r="1780" spans="22:25" x14ac:dyDescent="0.2">
      <c r="V1780" s="562"/>
      <c r="X1780" s="562"/>
      <c r="Y1780" s="562"/>
    </row>
    <row r="1781" spans="22:25" x14ac:dyDescent="0.2">
      <c r="V1781" s="562"/>
      <c r="X1781" s="562"/>
      <c r="Y1781" s="562"/>
    </row>
    <row r="1782" spans="22:25" x14ac:dyDescent="0.2">
      <c r="V1782" s="562"/>
      <c r="X1782" s="562"/>
      <c r="Y1782" s="562"/>
    </row>
    <row r="1783" spans="22:25" x14ac:dyDescent="0.2">
      <c r="V1783" s="562"/>
      <c r="X1783" s="562"/>
      <c r="Y1783" s="562"/>
    </row>
    <row r="1784" spans="22:25" x14ac:dyDescent="0.2">
      <c r="V1784" s="562"/>
      <c r="X1784" s="562"/>
      <c r="Y1784" s="562"/>
    </row>
    <row r="1785" spans="22:25" x14ac:dyDescent="0.2">
      <c r="V1785" s="562"/>
      <c r="X1785" s="562"/>
      <c r="Y1785" s="562"/>
    </row>
    <row r="1786" spans="22:25" x14ac:dyDescent="0.2">
      <c r="V1786" s="562"/>
      <c r="X1786" s="562"/>
      <c r="Y1786" s="562"/>
    </row>
    <row r="1787" spans="22:25" x14ac:dyDescent="0.2">
      <c r="V1787" s="562"/>
      <c r="X1787" s="562"/>
      <c r="Y1787" s="562"/>
    </row>
    <row r="1788" spans="22:25" x14ac:dyDescent="0.2">
      <c r="V1788" s="562"/>
      <c r="X1788" s="562"/>
      <c r="Y1788" s="562"/>
    </row>
    <row r="1789" spans="22:25" x14ac:dyDescent="0.2">
      <c r="V1789" s="562"/>
      <c r="X1789" s="562"/>
      <c r="Y1789" s="562"/>
    </row>
    <row r="1790" spans="22:25" x14ac:dyDescent="0.2">
      <c r="V1790" s="562"/>
      <c r="X1790" s="562"/>
      <c r="Y1790" s="562"/>
    </row>
    <row r="1791" spans="22:25" x14ac:dyDescent="0.2">
      <c r="V1791" s="562"/>
      <c r="X1791" s="562"/>
      <c r="Y1791" s="562"/>
    </row>
    <row r="1792" spans="22:25" x14ac:dyDescent="0.2">
      <c r="V1792" s="562"/>
      <c r="X1792" s="562"/>
      <c r="Y1792" s="562"/>
    </row>
    <row r="1793" spans="22:25" x14ac:dyDescent="0.2">
      <c r="V1793" s="562"/>
      <c r="X1793" s="562"/>
      <c r="Y1793" s="562"/>
    </row>
    <row r="1794" spans="22:25" x14ac:dyDescent="0.2">
      <c r="V1794" s="562"/>
      <c r="X1794" s="562"/>
      <c r="Y1794" s="562"/>
    </row>
    <row r="1795" spans="22:25" x14ac:dyDescent="0.2">
      <c r="V1795" s="562"/>
      <c r="X1795" s="562"/>
      <c r="Y1795" s="562"/>
    </row>
    <row r="1796" spans="22:25" x14ac:dyDescent="0.2">
      <c r="V1796" s="562"/>
      <c r="X1796" s="562"/>
      <c r="Y1796" s="562"/>
    </row>
    <row r="1797" spans="22:25" x14ac:dyDescent="0.2">
      <c r="V1797" s="562"/>
      <c r="X1797" s="562"/>
      <c r="Y1797" s="562"/>
    </row>
    <row r="1798" spans="22:25" x14ac:dyDescent="0.2">
      <c r="V1798" s="562"/>
      <c r="X1798" s="562"/>
      <c r="Y1798" s="562"/>
    </row>
    <row r="1799" spans="22:25" x14ac:dyDescent="0.2">
      <c r="V1799" s="562"/>
      <c r="X1799" s="562"/>
      <c r="Y1799" s="562"/>
    </row>
    <row r="1800" spans="22:25" x14ac:dyDescent="0.2">
      <c r="V1800" s="562"/>
      <c r="X1800" s="562"/>
      <c r="Y1800" s="562"/>
    </row>
    <row r="1801" spans="22:25" x14ac:dyDescent="0.2">
      <c r="V1801" s="562"/>
      <c r="X1801" s="562"/>
      <c r="Y1801" s="562"/>
    </row>
    <row r="1802" spans="22:25" x14ac:dyDescent="0.2">
      <c r="V1802" s="562"/>
      <c r="X1802" s="562"/>
      <c r="Y1802" s="562"/>
    </row>
    <row r="1803" spans="22:25" x14ac:dyDescent="0.2">
      <c r="V1803" s="562"/>
      <c r="X1803" s="562"/>
      <c r="Y1803" s="562"/>
    </row>
    <row r="1804" spans="22:25" x14ac:dyDescent="0.2">
      <c r="V1804" s="562"/>
      <c r="X1804" s="562"/>
      <c r="Y1804" s="562"/>
    </row>
    <row r="1805" spans="22:25" x14ac:dyDescent="0.2">
      <c r="V1805" s="562"/>
      <c r="X1805" s="562"/>
      <c r="Y1805" s="562"/>
    </row>
    <row r="1806" spans="22:25" x14ac:dyDescent="0.2">
      <c r="V1806" s="562"/>
      <c r="X1806" s="562"/>
      <c r="Y1806" s="562"/>
    </row>
    <row r="1807" spans="22:25" x14ac:dyDescent="0.2">
      <c r="V1807" s="562"/>
      <c r="X1807" s="562"/>
      <c r="Y1807" s="562"/>
    </row>
    <row r="1808" spans="22:25" x14ac:dyDescent="0.2">
      <c r="V1808" s="562"/>
      <c r="X1808" s="562"/>
      <c r="Y1808" s="562"/>
    </row>
    <row r="1809" spans="22:25" x14ac:dyDescent="0.2">
      <c r="V1809" s="562"/>
      <c r="X1809" s="562"/>
      <c r="Y1809" s="562"/>
    </row>
    <row r="1810" spans="22:25" x14ac:dyDescent="0.2">
      <c r="V1810" s="562"/>
      <c r="X1810" s="562"/>
      <c r="Y1810" s="562"/>
    </row>
    <row r="1811" spans="22:25" x14ac:dyDescent="0.2">
      <c r="V1811" s="562"/>
      <c r="X1811" s="562"/>
      <c r="Y1811" s="562"/>
    </row>
    <row r="1812" spans="22:25" x14ac:dyDescent="0.2">
      <c r="V1812" s="562"/>
      <c r="X1812" s="562"/>
      <c r="Y1812" s="562"/>
    </row>
    <row r="1813" spans="22:25" x14ac:dyDescent="0.2">
      <c r="V1813" s="562"/>
      <c r="X1813" s="562"/>
      <c r="Y1813" s="562"/>
    </row>
    <row r="1814" spans="22:25" x14ac:dyDescent="0.2">
      <c r="V1814" s="562"/>
      <c r="X1814" s="562"/>
      <c r="Y1814" s="562"/>
    </row>
    <row r="1815" spans="22:25" x14ac:dyDescent="0.2">
      <c r="V1815" s="562"/>
      <c r="X1815" s="562"/>
      <c r="Y1815" s="562"/>
    </row>
    <row r="1816" spans="22:25" x14ac:dyDescent="0.2">
      <c r="V1816" s="562"/>
      <c r="X1816" s="562"/>
      <c r="Y1816" s="562"/>
    </row>
    <row r="1817" spans="22:25" x14ac:dyDescent="0.2">
      <c r="V1817" s="562"/>
      <c r="X1817" s="562"/>
      <c r="Y1817" s="562"/>
    </row>
    <row r="1818" spans="22:25" x14ac:dyDescent="0.2">
      <c r="V1818" s="562"/>
      <c r="X1818" s="562"/>
      <c r="Y1818" s="562"/>
    </row>
    <row r="1819" spans="22:25" x14ac:dyDescent="0.2">
      <c r="V1819" s="562"/>
      <c r="X1819" s="562"/>
      <c r="Y1819" s="562"/>
    </row>
    <row r="1820" spans="22:25" x14ac:dyDescent="0.2">
      <c r="V1820" s="562"/>
      <c r="X1820" s="562"/>
      <c r="Y1820" s="562"/>
    </row>
    <row r="1821" spans="22:25" x14ac:dyDescent="0.2">
      <c r="V1821" s="562"/>
      <c r="X1821" s="562"/>
      <c r="Y1821" s="562"/>
    </row>
    <row r="1822" spans="22:25" x14ac:dyDescent="0.2">
      <c r="V1822" s="562"/>
      <c r="X1822" s="562"/>
      <c r="Y1822" s="562"/>
    </row>
    <row r="1823" spans="22:25" x14ac:dyDescent="0.2">
      <c r="V1823" s="562"/>
      <c r="X1823" s="562"/>
      <c r="Y1823" s="562"/>
    </row>
    <row r="1824" spans="22:25" x14ac:dyDescent="0.2">
      <c r="V1824" s="562"/>
      <c r="X1824" s="562"/>
      <c r="Y1824" s="562"/>
    </row>
    <row r="1825" spans="22:25" x14ac:dyDescent="0.2">
      <c r="V1825" s="562"/>
      <c r="X1825" s="562"/>
      <c r="Y1825" s="562"/>
    </row>
    <row r="1826" spans="22:25" x14ac:dyDescent="0.2">
      <c r="V1826" s="562"/>
      <c r="X1826" s="562"/>
      <c r="Y1826" s="562"/>
    </row>
    <row r="1827" spans="22:25" x14ac:dyDescent="0.2">
      <c r="V1827" s="562"/>
      <c r="X1827" s="562"/>
      <c r="Y1827" s="562"/>
    </row>
    <row r="1828" spans="22:25" x14ac:dyDescent="0.2">
      <c r="V1828" s="562"/>
      <c r="X1828" s="562"/>
      <c r="Y1828" s="562"/>
    </row>
    <row r="1829" spans="22:25" x14ac:dyDescent="0.2">
      <c r="V1829" s="562"/>
      <c r="X1829" s="562"/>
      <c r="Y1829" s="562"/>
    </row>
    <row r="1830" spans="22:25" x14ac:dyDescent="0.2">
      <c r="V1830" s="562"/>
      <c r="X1830" s="562"/>
      <c r="Y1830" s="562"/>
    </row>
    <row r="1831" spans="22:25" x14ac:dyDescent="0.2">
      <c r="V1831" s="562"/>
      <c r="X1831" s="562"/>
      <c r="Y1831" s="562"/>
    </row>
    <row r="1832" spans="22:25" x14ac:dyDescent="0.2">
      <c r="V1832" s="562"/>
      <c r="X1832" s="562"/>
      <c r="Y1832" s="562"/>
    </row>
    <row r="1833" spans="22:25" x14ac:dyDescent="0.2">
      <c r="V1833" s="562"/>
      <c r="X1833" s="562"/>
      <c r="Y1833" s="562"/>
    </row>
    <row r="1834" spans="22:25" x14ac:dyDescent="0.2">
      <c r="V1834" s="562"/>
      <c r="X1834" s="562"/>
      <c r="Y1834" s="562"/>
    </row>
    <row r="1835" spans="22:25" x14ac:dyDescent="0.2">
      <c r="V1835" s="562"/>
      <c r="X1835" s="562"/>
      <c r="Y1835" s="562"/>
    </row>
    <row r="1836" spans="22:25" x14ac:dyDescent="0.2">
      <c r="V1836" s="562"/>
      <c r="X1836" s="562"/>
      <c r="Y1836" s="562"/>
    </row>
    <row r="1837" spans="22:25" x14ac:dyDescent="0.2">
      <c r="V1837" s="562"/>
      <c r="X1837" s="562"/>
      <c r="Y1837" s="562"/>
    </row>
    <row r="1838" spans="22:25" x14ac:dyDescent="0.2">
      <c r="V1838" s="562"/>
      <c r="X1838" s="562"/>
      <c r="Y1838" s="562"/>
    </row>
    <row r="1839" spans="22:25" x14ac:dyDescent="0.2">
      <c r="V1839" s="562"/>
      <c r="X1839" s="562"/>
      <c r="Y1839" s="562"/>
    </row>
    <row r="1840" spans="22:25" x14ac:dyDescent="0.2">
      <c r="V1840" s="562"/>
      <c r="X1840" s="562"/>
      <c r="Y1840" s="562"/>
    </row>
    <row r="1841" spans="22:25" x14ac:dyDescent="0.2">
      <c r="V1841" s="562"/>
      <c r="X1841" s="562"/>
      <c r="Y1841" s="562"/>
    </row>
    <row r="1842" spans="22:25" x14ac:dyDescent="0.2">
      <c r="V1842" s="562"/>
      <c r="X1842" s="562"/>
      <c r="Y1842" s="562"/>
    </row>
    <row r="1843" spans="22:25" x14ac:dyDescent="0.2">
      <c r="V1843" s="562"/>
      <c r="X1843" s="562"/>
      <c r="Y1843" s="562"/>
    </row>
    <row r="1844" spans="22:25" x14ac:dyDescent="0.2">
      <c r="V1844" s="562"/>
      <c r="X1844" s="562"/>
      <c r="Y1844" s="562"/>
    </row>
    <row r="1845" spans="22:25" x14ac:dyDescent="0.2">
      <c r="V1845" s="562"/>
      <c r="X1845" s="562"/>
      <c r="Y1845" s="562"/>
    </row>
    <row r="1846" spans="22:25" x14ac:dyDescent="0.2">
      <c r="V1846" s="562"/>
      <c r="X1846" s="562"/>
      <c r="Y1846" s="562"/>
    </row>
    <row r="1847" spans="22:25" x14ac:dyDescent="0.2">
      <c r="V1847" s="562"/>
      <c r="X1847" s="562"/>
      <c r="Y1847" s="562"/>
    </row>
    <row r="1848" spans="22:25" x14ac:dyDescent="0.2">
      <c r="V1848" s="562"/>
      <c r="X1848" s="562"/>
      <c r="Y1848" s="562"/>
    </row>
    <row r="1849" spans="22:25" x14ac:dyDescent="0.2">
      <c r="V1849" s="562"/>
      <c r="X1849" s="562"/>
      <c r="Y1849" s="562"/>
    </row>
    <row r="1850" spans="22:25" x14ac:dyDescent="0.2">
      <c r="V1850" s="562"/>
      <c r="X1850" s="562"/>
      <c r="Y1850" s="562"/>
    </row>
    <row r="1851" spans="22:25" x14ac:dyDescent="0.2">
      <c r="V1851" s="562"/>
      <c r="X1851" s="562"/>
      <c r="Y1851" s="562"/>
    </row>
    <row r="1852" spans="22:25" x14ac:dyDescent="0.2">
      <c r="V1852" s="562"/>
      <c r="X1852" s="562"/>
      <c r="Y1852" s="562"/>
    </row>
    <row r="1853" spans="22:25" x14ac:dyDescent="0.2">
      <c r="V1853" s="562"/>
      <c r="X1853" s="562"/>
      <c r="Y1853" s="562"/>
    </row>
    <row r="1854" spans="22:25" x14ac:dyDescent="0.2">
      <c r="V1854" s="562"/>
      <c r="X1854" s="562"/>
      <c r="Y1854" s="562"/>
    </row>
    <row r="1855" spans="22:25" x14ac:dyDescent="0.2">
      <c r="V1855" s="562"/>
      <c r="X1855" s="562"/>
      <c r="Y1855" s="562"/>
    </row>
    <row r="1856" spans="22:25" x14ac:dyDescent="0.2">
      <c r="V1856" s="562"/>
      <c r="X1856" s="562"/>
      <c r="Y1856" s="562"/>
    </row>
    <row r="1857" spans="22:25" x14ac:dyDescent="0.2">
      <c r="V1857" s="562"/>
      <c r="X1857" s="562"/>
      <c r="Y1857" s="562"/>
    </row>
    <row r="1858" spans="22:25" x14ac:dyDescent="0.2">
      <c r="V1858" s="562"/>
      <c r="X1858" s="562"/>
      <c r="Y1858" s="562"/>
    </row>
    <row r="1859" spans="22:25" x14ac:dyDescent="0.2">
      <c r="V1859" s="562"/>
      <c r="X1859" s="562"/>
      <c r="Y1859" s="562"/>
    </row>
    <row r="1860" spans="22:25" x14ac:dyDescent="0.2">
      <c r="V1860" s="562"/>
      <c r="X1860" s="562"/>
      <c r="Y1860" s="562"/>
    </row>
    <row r="1861" spans="22:25" x14ac:dyDescent="0.2">
      <c r="V1861" s="562"/>
      <c r="X1861" s="562"/>
      <c r="Y1861" s="562"/>
    </row>
    <row r="1862" spans="22:25" x14ac:dyDescent="0.2">
      <c r="V1862" s="562"/>
      <c r="X1862" s="562"/>
      <c r="Y1862" s="562"/>
    </row>
    <row r="1863" spans="22:25" x14ac:dyDescent="0.2">
      <c r="V1863" s="562"/>
      <c r="X1863" s="562"/>
      <c r="Y1863" s="562"/>
    </row>
    <row r="1864" spans="22:25" x14ac:dyDescent="0.2">
      <c r="V1864" s="562"/>
      <c r="X1864" s="562"/>
      <c r="Y1864" s="562"/>
    </row>
    <row r="1865" spans="22:25" x14ac:dyDescent="0.2">
      <c r="V1865" s="562"/>
      <c r="X1865" s="562"/>
      <c r="Y1865" s="562"/>
    </row>
    <row r="1866" spans="22:25" x14ac:dyDescent="0.2">
      <c r="V1866" s="562"/>
      <c r="X1866" s="562"/>
      <c r="Y1866" s="562"/>
    </row>
    <row r="1867" spans="22:25" x14ac:dyDescent="0.2">
      <c r="V1867" s="562"/>
      <c r="X1867" s="562"/>
      <c r="Y1867" s="562"/>
    </row>
    <row r="1868" spans="22:25" x14ac:dyDescent="0.2">
      <c r="V1868" s="562"/>
      <c r="X1868" s="562"/>
      <c r="Y1868" s="562"/>
    </row>
    <row r="1869" spans="22:25" x14ac:dyDescent="0.2">
      <c r="V1869" s="562"/>
      <c r="X1869" s="562"/>
      <c r="Y1869" s="562"/>
    </row>
    <row r="1870" spans="22:25" x14ac:dyDescent="0.2">
      <c r="V1870" s="562"/>
      <c r="X1870" s="562"/>
      <c r="Y1870" s="562"/>
    </row>
    <row r="1871" spans="22:25" x14ac:dyDescent="0.2">
      <c r="V1871" s="562"/>
      <c r="X1871" s="562"/>
      <c r="Y1871" s="562"/>
    </row>
    <row r="1872" spans="22:25" x14ac:dyDescent="0.2">
      <c r="V1872" s="562"/>
      <c r="X1872" s="562"/>
      <c r="Y1872" s="562"/>
    </row>
    <row r="1873" spans="22:25" x14ac:dyDescent="0.2">
      <c r="V1873" s="562"/>
      <c r="X1873" s="562"/>
      <c r="Y1873" s="562"/>
    </row>
    <row r="1874" spans="22:25" x14ac:dyDescent="0.2">
      <c r="V1874" s="562"/>
      <c r="X1874" s="562"/>
      <c r="Y1874" s="562"/>
    </row>
    <row r="1875" spans="22:25" x14ac:dyDescent="0.2">
      <c r="V1875" s="562"/>
      <c r="X1875" s="562"/>
      <c r="Y1875" s="562"/>
    </row>
    <row r="1876" spans="22:25" x14ac:dyDescent="0.2">
      <c r="V1876" s="562"/>
      <c r="X1876" s="562"/>
      <c r="Y1876" s="562"/>
    </row>
    <row r="1877" spans="22:25" x14ac:dyDescent="0.2">
      <c r="V1877" s="562"/>
      <c r="X1877" s="562"/>
      <c r="Y1877" s="562"/>
    </row>
    <row r="1878" spans="22:25" x14ac:dyDescent="0.2">
      <c r="V1878" s="562"/>
      <c r="X1878" s="562"/>
      <c r="Y1878" s="562"/>
    </row>
    <row r="1879" spans="22:25" x14ac:dyDescent="0.2">
      <c r="V1879" s="562"/>
      <c r="X1879" s="562"/>
      <c r="Y1879" s="562"/>
    </row>
    <row r="1880" spans="22:25" x14ac:dyDescent="0.2">
      <c r="V1880" s="562"/>
      <c r="X1880" s="562"/>
      <c r="Y1880" s="562"/>
    </row>
    <row r="1881" spans="22:25" x14ac:dyDescent="0.2">
      <c r="V1881" s="562"/>
      <c r="X1881" s="562"/>
      <c r="Y1881" s="562"/>
    </row>
    <row r="1882" spans="22:25" x14ac:dyDescent="0.2">
      <c r="V1882" s="562"/>
      <c r="X1882" s="562"/>
      <c r="Y1882" s="562"/>
    </row>
    <row r="1883" spans="22:25" x14ac:dyDescent="0.2">
      <c r="V1883" s="562"/>
      <c r="X1883" s="562"/>
      <c r="Y1883" s="562"/>
    </row>
    <row r="1884" spans="22:25" x14ac:dyDescent="0.2">
      <c r="V1884" s="562"/>
      <c r="X1884" s="562"/>
      <c r="Y1884" s="562"/>
    </row>
    <row r="1885" spans="22:25" x14ac:dyDescent="0.2">
      <c r="V1885" s="562"/>
      <c r="X1885" s="562"/>
      <c r="Y1885" s="562"/>
    </row>
    <row r="1886" spans="22:25" x14ac:dyDescent="0.2">
      <c r="V1886" s="562"/>
      <c r="X1886" s="562"/>
      <c r="Y1886" s="562"/>
    </row>
    <row r="1887" spans="22:25" x14ac:dyDescent="0.2">
      <c r="V1887" s="562"/>
      <c r="X1887" s="562"/>
      <c r="Y1887" s="562"/>
    </row>
    <row r="1888" spans="22:25" x14ac:dyDescent="0.2">
      <c r="V1888" s="562"/>
      <c r="X1888" s="562"/>
      <c r="Y1888" s="562"/>
    </row>
    <row r="1889" spans="22:25" x14ac:dyDescent="0.2">
      <c r="V1889" s="562"/>
      <c r="X1889" s="562"/>
      <c r="Y1889" s="562"/>
    </row>
    <row r="1890" spans="22:25" x14ac:dyDescent="0.2">
      <c r="V1890" s="562"/>
      <c r="X1890" s="562"/>
      <c r="Y1890" s="562"/>
    </row>
    <row r="1891" spans="22:25" x14ac:dyDescent="0.2">
      <c r="V1891" s="562"/>
      <c r="X1891" s="562"/>
      <c r="Y1891" s="562"/>
    </row>
    <row r="1892" spans="22:25" x14ac:dyDescent="0.2">
      <c r="V1892" s="562"/>
      <c r="X1892" s="562"/>
      <c r="Y1892" s="562"/>
    </row>
    <row r="1893" spans="22:25" x14ac:dyDescent="0.2">
      <c r="V1893" s="562"/>
      <c r="X1893" s="562"/>
      <c r="Y1893" s="562"/>
    </row>
    <row r="1894" spans="22:25" x14ac:dyDescent="0.2">
      <c r="V1894" s="562"/>
      <c r="X1894" s="562"/>
      <c r="Y1894" s="562"/>
    </row>
    <row r="1895" spans="22:25" x14ac:dyDescent="0.2">
      <c r="V1895" s="562"/>
      <c r="X1895" s="562"/>
      <c r="Y1895" s="562"/>
    </row>
    <row r="1896" spans="22:25" x14ac:dyDescent="0.2">
      <c r="V1896" s="562"/>
      <c r="X1896" s="562"/>
      <c r="Y1896" s="562"/>
    </row>
    <row r="1897" spans="22:25" x14ac:dyDescent="0.2">
      <c r="V1897" s="562"/>
      <c r="X1897" s="562"/>
      <c r="Y1897" s="562"/>
    </row>
    <row r="1898" spans="22:25" x14ac:dyDescent="0.2">
      <c r="V1898" s="562"/>
      <c r="X1898" s="562"/>
      <c r="Y1898" s="562"/>
    </row>
    <row r="1899" spans="22:25" x14ac:dyDescent="0.2">
      <c r="V1899" s="562"/>
      <c r="X1899" s="562"/>
      <c r="Y1899" s="562"/>
    </row>
    <row r="1900" spans="22:25" x14ac:dyDescent="0.2">
      <c r="V1900" s="562"/>
      <c r="X1900" s="562"/>
      <c r="Y1900" s="562"/>
    </row>
    <row r="1901" spans="22:25" x14ac:dyDescent="0.2">
      <c r="V1901" s="562"/>
      <c r="X1901" s="562"/>
      <c r="Y1901" s="562"/>
    </row>
    <row r="1902" spans="22:25" x14ac:dyDescent="0.2">
      <c r="V1902" s="562"/>
      <c r="X1902" s="562"/>
      <c r="Y1902" s="562"/>
    </row>
    <row r="1903" spans="22:25" x14ac:dyDescent="0.2">
      <c r="V1903" s="562"/>
      <c r="X1903" s="562"/>
      <c r="Y1903" s="562"/>
    </row>
    <row r="1904" spans="22:25" x14ac:dyDescent="0.2">
      <c r="V1904" s="562"/>
      <c r="X1904" s="562"/>
      <c r="Y1904" s="562"/>
    </row>
    <row r="1905" spans="22:25" x14ac:dyDescent="0.2">
      <c r="V1905" s="562"/>
      <c r="X1905" s="562"/>
      <c r="Y1905" s="562"/>
    </row>
    <row r="1906" spans="22:25" x14ac:dyDescent="0.2">
      <c r="V1906" s="562"/>
      <c r="X1906" s="562"/>
      <c r="Y1906" s="562"/>
    </row>
    <row r="1907" spans="22:25" x14ac:dyDescent="0.2">
      <c r="V1907" s="562"/>
      <c r="X1907" s="562"/>
      <c r="Y1907" s="562"/>
    </row>
    <row r="1908" spans="22:25" x14ac:dyDescent="0.2">
      <c r="V1908" s="562"/>
      <c r="X1908" s="562"/>
      <c r="Y1908" s="562"/>
    </row>
    <row r="1909" spans="22:25" x14ac:dyDescent="0.2">
      <c r="V1909" s="562"/>
      <c r="X1909" s="562"/>
      <c r="Y1909" s="562"/>
    </row>
    <row r="1910" spans="22:25" x14ac:dyDescent="0.2">
      <c r="V1910" s="562"/>
      <c r="X1910" s="562"/>
      <c r="Y1910" s="562"/>
    </row>
    <row r="1911" spans="22:25" x14ac:dyDescent="0.2">
      <c r="V1911" s="562"/>
      <c r="X1911" s="562"/>
      <c r="Y1911" s="562"/>
    </row>
    <row r="1912" spans="22:25" x14ac:dyDescent="0.2">
      <c r="V1912" s="562"/>
      <c r="X1912" s="562"/>
      <c r="Y1912" s="562"/>
    </row>
    <row r="1913" spans="22:25" x14ac:dyDescent="0.2">
      <c r="V1913" s="562"/>
      <c r="X1913" s="562"/>
      <c r="Y1913" s="562"/>
    </row>
    <row r="1914" spans="22:25" x14ac:dyDescent="0.2">
      <c r="V1914" s="562"/>
      <c r="X1914" s="562"/>
      <c r="Y1914" s="562"/>
    </row>
    <row r="1915" spans="22:25" x14ac:dyDescent="0.2">
      <c r="V1915" s="562"/>
      <c r="X1915" s="562"/>
      <c r="Y1915" s="562"/>
    </row>
    <row r="1916" spans="22:25" x14ac:dyDescent="0.2">
      <c r="V1916" s="562"/>
      <c r="X1916" s="562"/>
      <c r="Y1916" s="562"/>
    </row>
    <row r="1917" spans="22:25" x14ac:dyDescent="0.2">
      <c r="V1917" s="562"/>
      <c r="X1917" s="562"/>
      <c r="Y1917" s="562"/>
    </row>
    <row r="1918" spans="22:25" x14ac:dyDescent="0.2">
      <c r="V1918" s="562"/>
      <c r="X1918" s="562"/>
      <c r="Y1918" s="562"/>
    </row>
    <row r="1919" spans="22:25" x14ac:dyDescent="0.2">
      <c r="V1919" s="562"/>
      <c r="X1919" s="562"/>
      <c r="Y1919" s="562"/>
    </row>
    <row r="1920" spans="22:25" x14ac:dyDescent="0.2">
      <c r="V1920" s="562"/>
      <c r="X1920" s="562"/>
      <c r="Y1920" s="562"/>
    </row>
    <row r="1921" spans="22:25" x14ac:dyDescent="0.2">
      <c r="V1921" s="562"/>
      <c r="X1921" s="562"/>
      <c r="Y1921" s="562"/>
    </row>
    <row r="1922" spans="22:25" x14ac:dyDescent="0.2">
      <c r="V1922" s="562"/>
      <c r="X1922" s="562"/>
      <c r="Y1922" s="562"/>
    </row>
    <row r="1923" spans="22:25" x14ac:dyDescent="0.2">
      <c r="V1923" s="562"/>
      <c r="X1923" s="562"/>
      <c r="Y1923" s="562"/>
    </row>
    <row r="1924" spans="22:25" x14ac:dyDescent="0.2">
      <c r="V1924" s="562"/>
      <c r="X1924" s="562"/>
      <c r="Y1924" s="562"/>
    </row>
    <row r="1925" spans="22:25" x14ac:dyDescent="0.2">
      <c r="V1925" s="562"/>
      <c r="X1925" s="562"/>
      <c r="Y1925" s="562"/>
    </row>
    <row r="1926" spans="22:25" x14ac:dyDescent="0.2">
      <c r="V1926" s="562"/>
      <c r="X1926" s="562"/>
      <c r="Y1926" s="562"/>
    </row>
    <row r="1927" spans="22:25" x14ac:dyDescent="0.2">
      <c r="V1927" s="562"/>
      <c r="X1927" s="562"/>
      <c r="Y1927" s="562"/>
    </row>
    <row r="1928" spans="22:25" x14ac:dyDescent="0.2">
      <c r="V1928" s="562"/>
      <c r="X1928" s="562"/>
      <c r="Y1928" s="562"/>
    </row>
    <row r="1929" spans="22:25" x14ac:dyDescent="0.2">
      <c r="V1929" s="562"/>
      <c r="X1929" s="562"/>
      <c r="Y1929" s="562"/>
    </row>
    <row r="1930" spans="22:25" x14ac:dyDescent="0.2">
      <c r="V1930" s="562"/>
      <c r="X1930" s="562"/>
      <c r="Y1930" s="562"/>
    </row>
    <row r="1931" spans="22:25" x14ac:dyDescent="0.2">
      <c r="V1931" s="562"/>
      <c r="X1931" s="562"/>
      <c r="Y1931" s="562"/>
    </row>
    <row r="1932" spans="22:25" x14ac:dyDescent="0.2">
      <c r="V1932" s="562"/>
      <c r="X1932" s="562"/>
      <c r="Y1932" s="562"/>
    </row>
    <row r="1933" spans="22:25" x14ac:dyDescent="0.2">
      <c r="V1933" s="562"/>
      <c r="X1933" s="562"/>
      <c r="Y1933" s="562"/>
    </row>
    <row r="1934" spans="22:25" x14ac:dyDescent="0.2">
      <c r="V1934" s="562"/>
      <c r="X1934" s="562"/>
      <c r="Y1934" s="562"/>
    </row>
    <row r="1935" spans="22:25" x14ac:dyDescent="0.2">
      <c r="V1935" s="562"/>
      <c r="X1935" s="562"/>
      <c r="Y1935" s="562"/>
    </row>
    <row r="1936" spans="22:25" x14ac:dyDescent="0.2">
      <c r="V1936" s="562"/>
      <c r="X1936" s="562"/>
      <c r="Y1936" s="562"/>
    </row>
    <row r="1937" spans="22:25" x14ac:dyDescent="0.2">
      <c r="V1937" s="562"/>
      <c r="X1937" s="562"/>
      <c r="Y1937" s="562"/>
    </row>
    <row r="1938" spans="22:25" x14ac:dyDescent="0.2">
      <c r="V1938" s="562"/>
      <c r="X1938" s="562"/>
      <c r="Y1938" s="562"/>
    </row>
    <row r="1939" spans="22:25" x14ac:dyDescent="0.2">
      <c r="V1939" s="562"/>
      <c r="X1939" s="562"/>
      <c r="Y1939" s="562"/>
    </row>
    <row r="1940" spans="22:25" x14ac:dyDescent="0.2">
      <c r="V1940" s="562"/>
      <c r="X1940" s="562"/>
      <c r="Y1940" s="562"/>
    </row>
    <row r="1941" spans="22:25" x14ac:dyDescent="0.2">
      <c r="V1941" s="562"/>
      <c r="X1941" s="562"/>
      <c r="Y1941" s="562"/>
    </row>
    <row r="1942" spans="22:25" x14ac:dyDescent="0.2">
      <c r="V1942" s="562"/>
      <c r="X1942" s="562"/>
      <c r="Y1942" s="562"/>
    </row>
    <row r="1943" spans="22:25" x14ac:dyDescent="0.2">
      <c r="V1943" s="562"/>
      <c r="X1943" s="562"/>
      <c r="Y1943" s="562"/>
    </row>
    <row r="1944" spans="22:25" x14ac:dyDescent="0.2">
      <c r="V1944" s="562"/>
      <c r="X1944" s="562"/>
      <c r="Y1944" s="562"/>
    </row>
    <row r="1945" spans="22:25" x14ac:dyDescent="0.2">
      <c r="V1945" s="562"/>
      <c r="X1945" s="562"/>
      <c r="Y1945" s="562"/>
    </row>
    <row r="1946" spans="22:25" x14ac:dyDescent="0.2">
      <c r="V1946" s="562"/>
      <c r="X1946" s="562"/>
      <c r="Y1946" s="562"/>
    </row>
    <row r="1947" spans="22:25" x14ac:dyDescent="0.2">
      <c r="V1947" s="562"/>
      <c r="X1947" s="562"/>
      <c r="Y1947" s="562"/>
    </row>
    <row r="1948" spans="22:25" x14ac:dyDescent="0.2">
      <c r="V1948" s="562"/>
      <c r="X1948" s="562"/>
      <c r="Y1948" s="562"/>
    </row>
    <row r="1949" spans="22:25" x14ac:dyDescent="0.2">
      <c r="V1949" s="562"/>
      <c r="X1949" s="562"/>
      <c r="Y1949" s="562"/>
    </row>
    <row r="1950" spans="22:25" x14ac:dyDescent="0.2">
      <c r="V1950" s="562"/>
      <c r="X1950" s="562"/>
      <c r="Y1950" s="562"/>
    </row>
    <row r="1951" spans="22:25" x14ac:dyDescent="0.2">
      <c r="V1951" s="562"/>
      <c r="X1951" s="562"/>
      <c r="Y1951" s="562"/>
    </row>
    <row r="1952" spans="22:25" x14ac:dyDescent="0.2">
      <c r="V1952" s="562"/>
      <c r="X1952" s="562"/>
      <c r="Y1952" s="562"/>
    </row>
    <row r="1953" spans="22:25" x14ac:dyDescent="0.2">
      <c r="V1953" s="562"/>
      <c r="X1953" s="562"/>
      <c r="Y1953" s="562"/>
    </row>
    <row r="1954" spans="22:25" x14ac:dyDescent="0.2">
      <c r="V1954" s="562"/>
      <c r="X1954" s="562"/>
      <c r="Y1954" s="562"/>
    </row>
    <row r="1955" spans="22:25" x14ac:dyDescent="0.2">
      <c r="V1955" s="562"/>
      <c r="X1955" s="562"/>
      <c r="Y1955" s="562"/>
    </row>
    <row r="1956" spans="22:25" x14ac:dyDescent="0.2">
      <c r="V1956" s="562"/>
      <c r="X1956" s="562"/>
      <c r="Y1956" s="562"/>
    </row>
    <row r="1957" spans="22:25" x14ac:dyDescent="0.2">
      <c r="V1957" s="562"/>
      <c r="X1957" s="562"/>
      <c r="Y1957" s="562"/>
    </row>
    <row r="1958" spans="22:25" x14ac:dyDescent="0.2">
      <c r="V1958" s="562"/>
      <c r="X1958" s="562"/>
      <c r="Y1958" s="562"/>
    </row>
    <row r="1959" spans="22:25" x14ac:dyDescent="0.2">
      <c r="V1959" s="562"/>
      <c r="X1959" s="562"/>
      <c r="Y1959" s="562"/>
    </row>
    <row r="1960" spans="22:25" x14ac:dyDescent="0.2">
      <c r="V1960" s="562"/>
      <c r="X1960" s="562"/>
      <c r="Y1960" s="562"/>
    </row>
    <row r="1961" spans="22:25" x14ac:dyDescent="0.2">
      <c r="V1961" s="562"/>
      <c r="X1961" s="562"/>
      <c r="Y1961" s="562"/>
    </row>
    <row r="1962" spans="22:25" x14ac:dyDescent="0.2">
      <c r="V1962" s="562"/>
      <c r="X1962" s="562"/>
      <c r="Y1962" s="562"/>
    </row>
    <row r="1963" spans="22:25" x14ac:dyDescent="0.2">
      <c r="V1963" s="562"/>
      <c r="X1963" s="562"/>
      <c r="Y1963" s="562"/>
    </row>
    <row r="1964" spans="22:25" x14ac:dyDescent="0.2">
      <c r="V1964" s="562"/>
      <c r="X1964" s="562"/>
      <c r="Y1964" s="562"/>
    </row>
    <row r="1965" spans="22:25" x14ac:dyDescent="0.2">
      <c r="V1965" s="562"/>
      <c r="X1965" s="562"/>
      <c r="Y1965" s="562"/>
    </row>
    <row r="1966" spans="22:25" x14ac:dyDescent="0.2">
      <c r="V1966" s="562"/>
      <c r="X1966" s="562"/>
      <c r="Y1966" s="562"/>
    </row>
    <row r="1967" spans="22:25" x14ac:dyDescent="0.2">
      <c r="V1967" s="562"/>
      <c r="X1967" s="562"/>
      <c r="Y1967" s="562"/>
    </row>
    <row r="1968" spans="22:25" x14ac:dyDescent="0.2">
      <c r="V1968" s="562"/>
      <c r="X1968" s="562"/>
      <c r="Y1968" s="562"/>
    </row>
    <row r="1969" spans="22:25" x14ac:dyDescent="0.2">
      <c r="V1969" s="562"/>
      <c r="X1969" s="562"/>
      <c r="Y1969" s="562"/>
    </row>
    <row r="1970" spans="22:25" x14ac:dyDescent="0.2">
      <c r="V1970" s="562"/>
      <c r="X1970" s="562"/>
      <c r="Y1970" s="562"/>
    </row>
    <row r="1971" spans="22:25" x14ac:dyDescent="0.2">
      <c r="V1971" s="562"/>
      <c r="X1971" s="562"/>
      <c r="Y1971" s="562"/>
    </row>
    <row r="1972" spans="22:25" x14ac:dyDescent="0.2">
      <c r="V1972" s="562"/>
      <c r="X1972" s="562"/>
      <c r="Y1972" s="562"/>
    </row>
    <row r="1973" spans="22:25" x14ac:dyDescent="0.2">
      <c r="V1973" s="562"/>
      <c r="X1973" s="562"/>
      <c r="Y1973" s="562"/>
    </row>
    <row r="1974" spans="22:25" x14ac:dyDescent="0.2">
      <c r="V1974" s="562"/>
      <c r="X1974" s="562"/>
      <c r="Y1974" s="562"/>
    </row>
    <row r="1975" spans="22:25" x14ac:dyDescent="0.2">
      <c r="V1975" s="562"/>
      <c r="X1975" s="562"/>
      <c r="Y1975" s="562"/>
    </row>
    <row r="1976" spans="22:25" x14ac:dyDescent="0.2">
      <c r="V1976" s="562"/>
      <c r="X1976" s="562"/>
      <c r="Y1976" s="562"/>
    </row>
    <row r="1977" spans="22:25" x14ac:dyDescent="0.2">
      <c r="V1977" s="562"/>
      <c r="X1977" s="562"/>
      <c r="Y1977" s="562"/>
    </row>
    <row r="1978" spans="22:25" x14ac:dyDescent="0.2">
      <c r="V1978" s="562"/>
      <c r="X1978" s="562"/>
      <c r="Y1978" s="562"/>
    </row>
    <row r="1979" spans="22:25" x14ac:dyDescent="0.2">
      <c r="V1979" s="562"/>
      <c r="X1979" s="562"/>
      <c r="Y1979" s="562"/>
    </row>
    <row r="1980" spans="22:25" x14ac:dyDescent="0.2">
      <c r="V1980" s="562"/>
      <c r="X1980" s="562"/>
      <c r="Y1980" s="562"/>
    </row>
    <row r="1981" spans="22:25" x14ac:dyDescent="0.2">
      <c r="V1981" s="562"/>
      <c r="X1981" s="562"/>
      <c r="Y1981" s="562"/>
    </row>
    <row r="1982" spans="22:25" x14ac:dyDescent="0.2">
      <c r="V1982" s="562"/>
      <c r="X1982" s="562"/>
      <c r="Y1982" s="562"/>
    </row>
    <row r="1983" spans="22:25" x14ac:dyDescent="0.2">
      <c r="V1983" s="562"/>
      <c r="X1983" s="562"/>
      <c r="Y1983" s="562"/>
    </row>
    <row r="1984" spans="22:25" x14ac:dyDescent="0.2">
      <c r="V1984" s="562"/>
      <c r="X1984" s="562"/>
      <c r="Y1984" s="562"/>
    </row>
    <row r="1985" spans="22:25" x14ac:dyDescent="0.2">
      <c r="V1985" s="562"/>
      <c r="X1985" s="562"/>
      <c r="Y1985" s="562"/>
    </row>
    <row r="1986" spans="22:25" x14ac:dyDescent="0.2">
      <c r="V1986" s="562"/>
      <c r="X1986" s="562"/>
      <c r="Y1986" s="562"/>
    </row>
    <row r="1987" spans="22:25" x14ac:dyDescent="0.2">
      <c r="V1987" s="562"/>
      <c r="X1987" s="562"/>
      <c r="Y1987" s="562"/>
    </row>
    <row r="1988" spans="22:25" x14ac:dyDescent="0.2">
      <c r="V1988" s="562"/>
      <c r="X1988" s="562"/>
      <c r="Y1988" s="562"/>
    </row>
    <row r="1989" spans="22:25" x14ac:dyDescent="0.2">
      <c r="V1989" s="562"/>
      <c r="X1989" s="562"/>
      <c r="Y1989" s="562"/>
    </row>
    <row r="1990" spans="22:25" x14ac:dyDescent="0.2">
      <c r="V1990" s="562"/>
      <c r="X1990" s="562"/>
      <c r="Y1990" s="562"/>
    </row>
    <row r="1991" spans="22:25" x14ac:dyDescent="0.2">
      <c r="V1991" s="562"/>
      <c r="X1991" s="562"/>
      <c r="Y1991" s="562"/>
    </row>
    <row r="1992" spans="22:25" x14ac:dyDescent="0.2">
      <c r="V1992" s="562"/>
      <c r="X1992" s="562"/>
      <c r="Y1992" s="562"/>
    </row>
    <row r="1993" spans="22:25" x14ac:dyDescent="0.2">
      <c r="V1993" s="562"/>
      <c r="X1993" s="562"/>
      <c r="Y1993" s="562"/>
    </row>
    <row r="1994" spans="22:25" x14ac:dyDescent="0.2">
      <c r="V1994" s="562"/>
      <c r="X1994" s="562"/>
      <c r="Y1994" s="562"/>
    </row>
    <row r="1995" spans="22:25" x14ac:dyDescent="0.2">
      <c r="V1995" s="562"/>
      <c r="X1995" s="562"/>
      <c r="Y1995" s="562"/>
    </row>
    <row r="1996" spans="22:25" x14ac:dyDescent="0.2">
      <c r="V1996" s="562"/>
      <c r="X1996" s="562"/>
      <c r="Y1996" s="562"/>
    </row>
    <row r="1997" spans="22:25" x14ac:dyDescent="0.2">
      <c r="V1997" s="562"/>
      <c r="X1997" s="562"/>
      <c r="Y1997" s="562"/>
    </row>
    <row r="1998" spans="22:25" x14ac:dyDescent="0.2">
      <c r="V1998" s="562"/>
      <c r="X1998" s="562"/>
      <c r="Y1998" s="562"/>
    </row>
    <row r="1999" spans="22:25" x14ac:dyDescent="0.2">
      <c r="V1999" s="562"/>
      <c r="X1999" s="562"/>
      <c r="Y1999" s="562"/>
    </row>
    <row r="2000" spans="22:25" x14ac:dyDescent="0.2">
      <c r="V2000" s="562"/>
      <c r="X2000" s="562"/>
      <c r="Y2000" s="562"/>
    </row>
    <row r="2001" spans="22:25" x14ac:dyDescent="0.2">
      <c r="V2001" s="562"/>
      <c r="X2001" s="562"/>
      <c r="Y2001" s="562"/>
    </row>
    <row r="2002" spans="22:25" x14ac:dyDescent="0.2">
      <c r="V2002" s="562"/>
      <c r="X2002" s="562"/>
      <c r="Y2002" s="562"/>
    </row>
    <row r="2003" spans="22:25" x14ac:dyDescent="0.2">
      <c r="V2003" s="562"/>
      <c r="X2003" s="562"/>
      <c r="Y2003" s="562"/>
    </row>
    <row r="2004" spans="22:25" x14ac:dyDescent="0.2">
      <c r="V2004" s="562"/>
      <c r="X2004" s="562"/>
      <c r="Y2004" s="562"/>
    </row>
    <row r="2005" spans="22:25" x14ac:dyDescent="0.2">
      <c r="V2005" s="562"/>
      <c r="X2005" s="562"/>
      <c r="Y2005" s="562"/>
    </row>
    <row r="2006" spans="22:25" x14ac:dyDescent="0.2">
      <c r="V2006" s="562"/>
      <c r="X2006" s="562"/>
      <c r="Y2006" s="562"/>
    </row>
    <row r="2007" spans="22:25" x14ac:dyDescent="0.2">
      <c r="V2007" s="562"/>
      <c r="X2007" s="562"/>
      <c r="Y2007" s="562"/>
    </row>
    <row r="2008" spans="22:25" x14ac:dyDescent="0.2">
      <c r="V2008" s="562"/>
      <c r="X2008" s="562"/>
      <c r="Y2008" s="562"/>
    </row>
    <row r="2009" spans="22:25" x14ac:dyDescent="0.2">
      <c r="V2009" s="562"/>
      <c r="X2009" s="562"/>
      <c r="Y2009" s="562"/>
    </row>
    <row r="2010" spans="22:25" x14ac:dyDescent="0.2">
      <c r="V2010" s="562"/>
      <c r="X2010" s="562"/>
      <c r="Y2010" s="562"/>
    </row>
    <row r="2011" spans="22:25" x14ac:dyDescent="0.2">
      <c r="V2011" s="562"/>
      <c r="X2011" s="562"/>
      <c r="Y2011" s="562"/>
    </row>
    <row r="2012" spans="22:25" x14ac:dyDescent="0.2">
      <c r="V2012" s="562"/>
      <c r="X2012" s="562"/>
      <c r="Y2012" s="562"/>
    </row>
    <row r="2013" spans="22:25" x14ac:dyDescent="0.2">
      <c r="V2013" s="562"/>
      <c r="X2013" s="562"/>
      <c r="Y2013" s="562"/>
    </row>
    <row r="2014" spans="22:25" x14ac:dyDescent="0.2">
      <c r="V2014" s="562"/>
      <c r="X2014" s="562"/>
      <c r="Y2014" s="562"/>
    </row>
    <row r="2015" spans="22:25" x14ac:dyDescent="0.2">
      <c r="V2015" s="562"/>
      <c r="X2015" s="562"/>
      <c r="Y2015" s="562"/>
    </row>
    <row r="2016" spans="22:25" x14ac:dyDescent="0.2">
      <c r="V2016" s="562"/>
      <c r="X2016" s="562"/>
      <c r="Y2016" s="562"/>
    </row>
    <row r="2017" spans="22:25" x14ac:dyDescent="0.2">
      <c r="V2017" s="562"/>
      <c r="X2017" s="562"/>
      <c r="Y2017" s="562"/>
    </row>
    <row r="2018" spans="22:25" x14ac:dyDescent="0.2">
      <c r="V2018" s="562"/>
      <c r="X2018" s="562"/>
      <c r="Y2018" s="562"/>
    </row>
    <row r="2019" spans="22:25" x14ac:dyDescent="0.2">
      <c r="V2019" s="562"/>
      <c r="X2019" s="562"/>
      <c r="Y2019" s="562"/>
    </row>
    <row r="2020" spans="22:25" x14ac:dyDescent="0.2">
      <c r="V2020" s="562"/>
      <c r="X2020" s="562"/>
      <c r="Y2020" s="562"/>
    </row>
    <row r="2021" spans="22:25" x14ac:dyDescent="0.2">
      <c r="V2021" s="562"/>
      <c r="X2021" s="562"/>
      <c r="Y2021" s="562"/>
    </row>
    <row r="2022" spans="22:25" x14ac:dyDescent="0.2">
      <c r="V2022" s="562"/>
      <c r="X2022" s="562"/>
      <c r="Y2022" s="562"/>
    </row>
    <row r="2023" spans="22:25" x14ac:dyDescent="0.2">
      <c r="V2023" s="562"/>
      <c r="X2023" s="562"/>
      <c r="Y2023" s="562"/>
    </row>
    <row r="2024" spans="22:25" x14ac:dyDescent="0.2">
      <c r="V2024" s="562"/>
      <c r="X2024" s="562"/>
      <c r="Y2024" s="562"/>
    </row>
    <row r="2025" spans="22:25" x14ac:dyDescent="0.2">
      <c r="V2025" s="562"/>
      <c r="X2025" s="562"/>
      <c r="Y2025" s="562"/>
    </row>
    <row r="2026" spans="22:25" x14ac:dyDescent="0.2">
      <c r="V2026" s="562"/>
      <c r="X2026" s="562"/>
      <c r="Y2026" s="562"/>
    </row>
    <row r="2027" spans="22:25" x14ac:dyDescent="0.2">
      <c r="V2027" s="562"/>
      <c r="X2027" s="562"/>
      <c r="Y2027" s="562"/>
    </row>
    <row r="2028" spans="22:25" x14ac:dyDescent="0.2">
      <c r="V2028" s="562"/>
      <c r="X2028" s="562"/>
      <c r="Y2028" s="562"/>
    </row>
    <row r="2029" spans="22:25" x14ac:dyDescent="0.2">
      <c r="V2029" s="562"/>
      <c r="X2029" s="562"/>
      <c r="Y2029" s="562"/>
    </row>
    <row r="2030" spans="22:25" x14ac:dyDescent="0.2">
      <c r="V2030" s="562"/>
      <c r="X2030" s="562"/>
      <c r="Y2030" s="562"/>
    </row>
    <row r="2031" spans="22:25" x14ac:dyDescent="0.2">
      <c r="V2031" s="562"/>
      <c r="X2031" s="562"/>
      <c r="Y2031" s="562"/>
    </row>
    <row r="2032" spans="22:25" x14ac:dyDescent="0.2">
      <c r="V2032" s="562"/>
      <c r="X2032" s="562"/>
      <c r="Y2032" s="562"/>
    </row>
    <row r="2033" spans="22:25" x14ac:dyDescent="0.2">
      <c r="V2033" s="562"/>
      <c r="X2033" s="562"/>
      <c r="Y2033" s="562"/>
    </row>
    <row r="2034" spans="22:25" x14ac:dyDescent="0.2">
      <c r="V2034" s="562"/>
      <c r="X2034" s="562"/>
      <c r="Y2034" s="562"/>
    </row>
    <row r="2035" spans="22:25" x14ac:dyDescent="0.2">
      <c r="V2035" s="562"/>
      <c r="X2035" s="562"/>
      <c r="Y2035" s="562"/>
    </row>
    <row r="2036" spans="22:25" x14ac:dyDescent="0.2">
      <c r="V2036" s="562"/>
      <c r="X2036" s="562"/>
      <c r="Y2036" s="562"/>
    </row>
    <row r="2037" spans="22:25" x14ac:dyDescent="0.2">
      <c r="V2037" s="562"/>
      <c r="X2037" s="562"/>
      <c r="Y2037" s="562"/>
    </row>
    <row r="2038" spans="22:25" x14ac:dyDescent="0.2">
      <c r="V2038" s="562"/>
      <c r="X2038" s="562"/>
      <c r="Y2038" s="562"/>
    </row>
    <row r="2039" spans="22:25" x14ac:dyDescent="0.2">
      <c r="V2039" s="562"/>
      <c r="X2039" s="562"/>
      <c r="Y2039" s="562"/>
    </row>
    <row r="2040" spans="22:25" x14ac:dyDescent="0.2">
      <c r="V2040" s="562"/>
      <c r="X2040" s="562"/>
      <c r="Y2040" s="562"/>
    </row>
    <row r="2041" spans="22:25" x14ac:dyDescent="0.2">
      <c r="V2041" s="562"/>
      <c r="X2041" s="562"/>
      <c r="Y2041" s="562"/>
    </row>
    <row r="2042" spans="22:25" x14ac:dyDescent="0.2">
      <c r="V2042" s="562"/>
      <c r="X2042" s="562"/>
      <c r="Y2042" s="562"/>
    </row>
    <row r="2043" spans="22:25" x14ac:dyDescent="0.2">
      <c r="V2043" s="562"/>
      <c r="X2043" s="562"/>
      <c r="Y2043" s="562"/>
    </row>
    <row r="2044" spans="22:25" x14ac:dyDescent="0.2">
      <c r="V2044" s="562"/>
      <c r="X2044" s="562"/>
      <c r="Y2044" s="562"/>
    </row>
    <row r="2045" spans="22:25" x14ac:dyDescent="0.2">
      <c r="V2045" s="562"/>
      <c r="X2045" s="562"/>
      <c r="Y2045" s="562"/>
    </row>
    <row r="2046" spans="22:25" x14ac:dyDescent="0.2">
      <c r="V2046" s="562"/>
      <c r="X2046" s="562"/>
      <c r="Y2046" s="562"/>
    </row>
    <row r="2047" spans="22:25" x14ac:dyDescent="0.2">
      <c r="V2047" s="562"/>
      <c r="X2047" s="562"/>
      <c r="Y2047" s="562"/>
    </row>
    <row r="2048" spans="22:25" x14ac:dyDescent="0.2">
      <c r="V2048" s="562"/>
      <c r="X2048" s="562"/>
      <c r="Y2048" s="562"/>
    </row>
    <row r="2049" spans="22:25" x14ac:dyDescent="0.2">
      <c r="V2049" s="562"/>
      <c r="X2049" s="562"/>
      <c r="Y2049" s="562"/>
    </row>
    <row r="2050" spans="22:25" x14ac:dyDescent="0.2">
      <c r="V2050" s="562"/>
      <c r="X2050" s="562"/>
      <c r="Y2050" s="562"/>
    </row>
    <row r="2051" spans="22:25" x14ac:dyDescent="0.2">
      <c r="V2051" s="562"/>
      <c r="X2051" s="562"/>
      <c r="Y2051" s="562"/>
    </row>
    <row r="2052" spans="22:25" x14ac:dyDescent="0.2">
      <c r="V2052" s="562"/>
      <c r="X2052" s="562"/>
      <c r="Y2052" s="562"/>
    </row>
    <row r="2053" spans="22:25" x14ac:dyDescent="0.2">
      <c r="V2053" s="562"/>
      <c r="X2053" s="562"/>
      <c r="Y2053" s="562"/>
    </row>
    <row r="2054" spans="22:25" x14ac:dyDescent="0.2">
      <c r="V2054" s="562"/>
      <c r="X2054" s="562"/>
      <c r="Y2054" s="562"/>
    </row>
    <row r="2055" spans="22:25" x14ac:dyDescent="0.2">
      <c r="V2055" s="562"/>
      <c r="X2055" s="562"/>
      <c r="Y2055" s="562"/>
    </row>
    <row r="2056" spans="22:25" x14ac:dyDescent="0.2">
      <c r="V2056" s="562"/>
      <c r="X2056" s="562"/>
      <c r="Y2056" s="562"/>
    </row>
    <row r="2057" spans="22:25" x14ac:dyDescent="0.2">
      <c r="V2057" s="562"/>
      <c r="X2057" s="562"/>
      <c r="Y2057" s="562"/>
    </row>
    <row r="2058" spans="22:25" x14ac:dyDescent="0.2">
      <c r="V2058" s="562"/>
      <c r="X2058" s="562"/>
      <c r="Y2058" s="562"/>
    </row>
    <row r="2059" spans="22:25" x14ac:dyDescent="0.2">
      <c r="V2059" s="562"/>
      <c r="X2059" s="562"/>
      <c r="Y2059" s="562"/>
    </row>
    <row r="2060" spans="22:25" x14ac:dyDescent="0.2">
      <c r="V2060" s="562"/>
      <c r="X2060" s="562"/>
      <c r="Y2060" s="562"/>
    </row>
    <row r="2061" spans="22:25" x14ac:dyDescent="0.2">
      <c r="V2061" s="562"/>
      <c r="X2061" s="562"/>
      <c r="Y2061" s="562"/>
    </row>
    <row r="2062" spans="22:25" x14ac:dyDescent="0.2">
      <c r="V2062" s="562"/>
      <c r="X2062" s="562"/>
      <c r="Y2062" s="562"/>
    </row>
    <row r="2063" spans="22:25" x14ac:dyDescent="0.2">
      <c r="V2063" s="562"/>
      <c r="X2063" s="562"/>
      <c r="Y2063" s="562"/>
    </row>
    <row r="2064" spans="22:25" x14ac:dyDescent="0.2">
      <c r="V2064" s="562"/>
      <c r="X2064" s="562"/>
      <c r="Y2064" s="562"/>
    </row>
    <row r="2065" spans="22:25" x14ac:dyDescent="0.2">
      <c r="V2065" s="562"/>
      <c r="X2065" s="562"/>
      <c r="Y2065" s="562"/>
    </row>
    <row r="2066" spans="22:25" x14ac:dyDescent="0.2">
      <c r="V2066" s="562"/>
      <c r="X2066" s="562"/>
      <c r="Y2066" s="562"/>
    </row>
    <row r="2067" spans="22:25" x14ac:dyDescent="0.2">
      <c r="V2067" s="562"/>
      <c r="X2067" s="562"/>
      <c r="Y2067" s="562"/>
    </row>
    <row r="2068" spans="22:25" x14ac:dyDescent="0.2">
      <c r="V2068" s="562"/>
      <c r="X2068" s="562"/>
      <c r="Y2068" s="562"/>
    </row>
    <row r="2069" spans="22:25" x14ac:dyDescent="0.2">
      <c r="V2069" s="562"/>
      <c r="X2069" s="562"/>
      <c r="Y2069" s="562"/>
    </row>
    <row r="2070" spans="22:25" x14ac:dyDescent="0.2">
      <c r="V2070" s="562"/>
      <c r="X2070" s="562"/>
      <c r="Y2070" s="562"/>
    </row>
    <row r="2071" spans="22:25" x14ac:dyDescent="0.2">
      <c r="V2071" s="562"/>
      <c r="X2071" s="562"/>
      <c r="Y2071" s="562"/>
    </row>
    <row r="2072" spans="22:25" x14ac:dyDescent="0.2">
      <c r="V2072" s="562"/>
      <c r="X2072" s="562"/>
      <c r="Y2072" s="562"/>
    </row>
    <row r="2073" spans="22:25" x14ac:dyDescent="0.2">
      <c r="V2073" s="562"/>
      <c r="X2073" s="562"/>
      <c r="Y2073" s="562"/>
    </row>
    <row r="2074" spans="22:25" x14ac:dyDescent="0.2">
      <c r="V2074" s="562"/>
      <c r="X2074" s="562"/>
      <c r="Y2074" s="562"/>
    </row>
    <row r="2075" spans="22:25" x14ac:dyDescent="0.2">
      <c r="V2075" s="562"/>
      <c r="X2075" s="562"/>
      <c r="Y2075" s="562"/>
    </row>
    <row r="2076" spans="22:25" x14ac:dyDescent="0.2">
      <c r="V2076" s="562"/>
      <c r="X2076" s="562"/>
      <c r="Y2076" s="562"/>
    </row>
    <row r="2077" spans="22:25" x14ac:dyDescent="0.2">
      <c r="V2077" s="562"/>
      <c r="X2077" s="562"/>
      <c r="Y2077" s="562"/>
    </row>
    <row r="2078" spans="22:25" x14ac:dyDescent="0.2">
      <c r="V2078" s="562"/>
      <c r="X2078" s="562"/>
      <c r="Y2078" s="562"/>
    </row>
    <row r="2079" spans="22:25" x14ac:dyDescent="0.2">
      <c r="V2079" s="562"/>
      <c r="X2079" s="562"/>
      <c r="Y2079" s="562"/>
    </row>
    <row r="2080" spans="22:25" x14ac:dyDescent="0.2">
      <c r="V2080" s="562"/>
      <c r="X2080" s="562"/>
      <c r="Y2080" s="562"/>
    </row>
    <row r="2081" spans="22:25" x14ac:dyDescent="0.2">
      <c r="V2081" s="562"/>
      <c r="X2081" s="562"/>
      <c r="Y2081" s="562"/>
    </row>
    <row r="2082" spans="22:25" x14ac:dyDescent="0.2">
      <c r="V2082" s="562"/>
      <c r="X2082" s="562"/>
      <c r="Y2082" s="562"/>
    </row>
    <row r="2083" spans="22:25" x14ac:dyDescent="0.2">
      <c r="V2083" s="562"/>
      <c r="X2083" s="562"/>
      <c r="Y2083" s="562"/>
    </row>
    <row r="2084" spans="22:25" x14ac:dyDescent="0.2">
      <c r="V2084" s="562"/>
      <c r="X2084" s="562"/>
      <c r="Y2084" s="562"/>
    </row>
    <row r="2085" spans="22:25" x14ac:dyDescent="0.2">
      <c r="V2085" s="562"/>
      <c r="X2085" s="562"/>
      <c r="Y2085" s="562"/>
    </row>
    <row r="2086" spans="22:25" x14ac:dyDescent="0.2">
      <c r="V2086" s="562"/>
      <c r="X2086" s="562"/>
      <c r="Y2086" s="562"/>
    </row>
    <row r="2087" spans="22:25" x14ac:dyDescent="0.2">
      <c r="V2087" s="562"/>
      <c r="X2087" s="562"/>
      <c r="Y2087" s="562"/>
    </row>
    <row r="2088" spans="22:25" x14ac:dyDescent="0.2">
      <c r="V2088" s="562"/>
      <c r="X2088" s="562"/>
      <c r="Y2088" s="562"/>
    </row>
    <row r="2089" spans="22:25" x14ac:dyDescent="0.2">
      <c r="V2089" s="562"/>
      <c r="X2089" s="562"/>
      <c r="Y2089" s="562"/>
    </row>
    <row r="2090" spans="22:25" x14ac:dyDescent="0.2">
      <c r="V2090" s="562"/>
      <c r="X2090" s="562"/>
      <c r="Y2090" s="562"/>
    </row>
    <row r="2091" spans="22:25" x14ac:dyDescent="0.2">
      <c r="V2091" s="562"/>
      <c r="X2091" s="562"/>
      <c r="Y2091" s="562"/>
    </row>
    <row r="2092" spans="22:25" x14ac:dyDescent="0.2">
      <c r="V2092" s="562"/>
      <c r="X2092" s="562"/>
      <c r="Y2092" s="562"/>
    </row>
    <row r="2093" spans="22:25" x14ac:dyDescent="0.2">
      <c r="V2093" s="562"/>
      <c r="X2093" s="562"/>
      <c r="Y2093" s="562"/>
    </row>
    <row r="2094" spans="22:25" x14ac:dyDescent="0.2">
      <c r="V2094" s="562"/>
      <c r="X2094" s="562"/>
      <c r="Y2094" s="562"/>
    </row>
    <row r="2095" spans="22:25" x14ac:dyDescent="0.2">
      <c r="V2095" s="562"/>
      <c r="X2095" s="562"/>
      <c r="Y2095" s="562"/>
    </row>
    <row r="2096" spans="22:25" x14ac:dyDescent="0.2">
      <c r="V2096" s="562"/>
      <c r="X2096" s="562"/>
      <c r="Y2096" s="562"/>
    </row>
    <row r="2097" spans="22:25" x14ac:dyDescent="0.2">
      <c r="V2097" s="562"/>
      <c r="X2097" s="562"/>
      <c r="Y2097" s="562"/>
    </row>
    <row r="2098" spans="22:25" x14ac:dyDescent="0.2">
      <c r="V2098" s="562"/>
      <c r="X2098" s="562"/>
      <c r="Y2098" s="562"/>
    </row>
    <row r="2099" spans="22:25" x14ac:dyDescent="0.2">
      <c r="V2099" s="562"/>
      <c r="X2099" s="562"/>
      <c r="Y2099" s="562"/>
    </row>
    <row r="2100" spans="22:25" x14ac:dyDescent="0.2">
      <c r="V2100" s="562"/>
      <c r="X2100" s="562"/>
      <c r="Y2100" s="562"/>
    </row>
    <row r="2101" spans="22:25" x14ac:dyDescent="0.2">
      <c r="V2101" s="562"/>
      <c r="X2101" s="562"/>
      <c r="Y2101" s="562"/>
    </row>
    <row r="2102" spans="22:25" x14ac:dyDescent="0.2">
      <c r="V2102" s="562"/>
      <c r="X2102" s="562"/>
      <c r="Y2102" s="562"/>
    </row>
    <row r="2103" spans="22:25" x14ac:dyDescent="0.2">
      <c r="V2103" s="562"/>
      <c r="X2103" s="562"/>
      <c r="Y2103" s="562"/>
    </row>
    <row r="2104" spans="22:25" x14ac:dyDescent="0.2">
      <c r="V2104" s="562"/>
      <c r="X2104" s="562"/>
      <c r="Y2104" s="562"/>
    </row>
    <row r="2105" spans="22:25" x14ac:dyDescent="0.2">
      <c r="V2105" s="562"/>
      <c r="X2105" s="562"/>
      <c r="Y2105" s="562"/>
    </row>
    <row r="2106" spans="22:25" x14ac:dyDescent="0.2">
      <c r="V2106" s="562"/>
      <c r="X2106" s="562"/>
      <c r="Y2106" s="562"/>
    </row>
    <row r="2107" spans="22:25" x14ac:dyDescent="0.2">
      <c r="V2107" s="562"/>
      <c r="X2107" s="562"/>
      <c r="Y2107" s="562"/>
    </row>
    <row r="2108" spans="22:25" x14ac:dyDescent="0.2">
      <c r="V2108" s="562"/>
      <c r="X2108" s="562"/>
      <c r="Y2108" s="562"/>
    </row>
    <row r="2109" spans="22:25" x14ac:dyDescent="0.2">
      <c r="V2109" s="562"/>
      <c r="X2109" s="562"/>
      <c r="Y2109" s="562"/>
    </row>
    <row r="2110" spans="22:25" x14ac:dyDescent="0.2">
      <c r="V2110" s="562"/>
      <c r="X2110" s="562"/>
      <c r="Y2110" s="562"/>
    </row>
    <row r="2111" spans="22:25" x14ac:dyDescent="0.2">
      <c r="V2111" s="562"/>
      <c r="X2111" s="562"/>
      <c r="Y2111" s="562"/>
    </row>
    <row r="2112" spans="22:25" x14ac:dyDescent="0.2">
      <c r="V2112" s="562"/>
      <c r="X2112" s="562"/>
      <c r="Y2112" s="562"/>
    </row>
    <row r="2113" spans="22:25" x14ac:dyDescent="0.2">
      <c r="V2113" s="562"/>
      <c r="X2113" s="562"/>
      <c r="Y2113" s="562"/>
    </row>
    <row r="2114" spans="22:25" x14ac:dyDescent="0.2">
      <c r="V2114" s="562"/>
      <c r="X2114" s="562"/>
      <c r="Y2114" s="562"/>
    </row>
    <row r="2115" spans="22:25" x14ac:dyDescent="0.2">
      <c r="V2115" s="562"/>
      <c r="X2115" s="562"/>
      <c r="Y2115" s="562"/>
    </row>
    <row r="2116" spans="22:25" x14ac:dyDescent="0.2">
      <c r="V2116" s="562"/>
      <c r="X2116" s="562"/>
      <c r="Y2116" s="562"/>
    </row>
    <row r="2117" spans="22:25" x14ac:dyDescent="0.2">
      <c r="V2117" s="562"/>
      <c r="X2117" s="562"/>
      <c r="Y2117" s="562"/>
    </row>
    <row r="2118" spans="22:25" x14ac:dyDescent="0.2">
      <c r="V2118" s="562"/>
      <c r="X2118" s="562"/>
      <c r="Y2118" s="562"/>
    </row>
    <row r="2119" spans="22:25" x14ac:dyDescent="0.2">
      <c r="V2119" s="562"/>
      <c r="X2119" s="562"/>
      <c r="Y2119" s="562"/>
    </row>
    <row r="2120" spans="22:25" x14ac:dyDescent="0.2">
      <c r="V2120" s="562"/>
      <c r="X2120" s="562"/>
      <c r="Y2120" s="562"/>
    </row>
    <row r="2121" spans="22:25" x14ac:dyDescent="0.2">
      <c r="V2121" s="562"/>
      <c r="X2121" s="562"/>
      <c r="Y2121" s="562"/>
    </row>
    <row r="2122" spans="22:25" x14ac:dyDescent="0.2">
      <c r="V2122" s="562"/>
      <c r="X2122" s="562"/>
      <c r="Y2122" s="562"/>
    </row>
    <row r="2123" spans="22:25" x14ac:dyDescent="0.2">
      <c r="V2123" s="562"/>
      <c r="X2123" s="562"/>
      <c r="Y2123" s="562"/>
    </row>
    <row r="2124" spans="22:25" x14ac:dyDescent="0.2">
      <c r="V2124" s="562"/>
      <c r="X2124" s="562"/>
      <c r="Y2124" s="562"/>
    </row>
    <row r="2125" spans="22:25" x14ac:dyDescent="0.2">
      <c r="V2125" s="562"/>
      <c r="X2125" s="562"/>
      <c r="Y2125" s="562"/>
    </row>
    <row r="2126" spans="22:25" x14ac:dyDescent="0.2">
      <c r="V2126" s="562"/>
      <c r="X2126" s="562"/>
      <c r="Y2126" s="562"/>
    </row>
    <row r="2127" spans="22:25" x14ac:dyDescent="0.2">
      <c r="V2127" s="562"/>
      <c r="X2127" s="562"/>
      <c r="Y2127" s="562"/>
    </row>
    <row r="2128" spans="22:25" x14ac:dyDescent="0.2">
      <c r="V2128" s="562"/>
      <c r="X2128" s="562"/>
      <c r="Y2128" s="562"/>
    </row>
    <row r="2129" spans="22:25" x14ac:dyDescent="0.2">
      <c r="V2129" s="562"/>
      <c r="X2129" s="562"/>
      <c r="Y2129" s="562"/>
    </row>
    <row r="2130" spans="22:25" x14ac:dyDescent="0.2">
      <c r="V2130" s="562"/>
      <c r="X2130" s="562"/>
      <c r="Y2130" s="562"/>
    </row>
    <row r="2131" spans="22:25" x14ac:dyDescent="0.2">
      <c r="V2131" s="562"/>
      <c r="X2131" s="562"/>
      <c r="Y2131" s="562"/>
    </row>
    <row r="2132" spans="22:25" x14ac:dyDescent="0.2">
      <c r="V2132" s="562"/>
      <c r="X2132" s="562"/>
      <c r="Y2132" s="562"/>
    </row>
    <row r="2133" spans="22:25" x14ac:dyDescent="0.2">
      <c r="V2133" s="562"/>
      <c r="X2133" s="562"/>
      <c r="Y2133" s="562"/>
    </row>
    <row r="2134" spans="22:25" x14ac:dyDescent="0.2">
      <c r="V2134" s="562"/>
      <c r="X2134" s="562"/>
      <c r="Y2134" s="562"/>
    </row>
    <row r="2135" spans="22:25" x14ac:dyDescent="0.2">
      <c r="V2135" s="562"/>
      <c r="X2135" s="562"/>
      <c r="Y2135" s="562"/>
    </row>
    <row r="2136" spans="22:25" x14ac:dyDescent="0.2">
      <c r="V2136" s="562"/>
      <c r="X2136" s="562"/>
      <c r="Y2136" s="562"/>
    </row>
    <row r="2137" spans="22:25" x14ac:dyDescent="0.2">
      <c r="V2137" s="562"/>
      <c r="X2137" s="562"/>
      <c r="Y2137" s="562"/>
    </row>
    <row r="2138" spans="22:25" x14ac:dyDescent="0.2">
      <c r="V2138" s="562"/>
      <c r="X2138" s="562"/>
      <c r="Y2138" s="562"/>
    </row>
    <row r="2139" spans="22:25" x14ac:dyDescent="0.2">
      <c r="V2139" s="562"/>
      <c r="X2139" s="562"/>
      <c r="Y2139" s="562"/>
    </row>
    <row r="2140" spans="22:25" x14ac:dyDescent="0.2">
      <c r="V2140" s="562"/>
      <c r="X2140" s="562"/>
      <c r="Y2140" s="562"/>
    </row>
    <row r="2141" spans="22:25" x14ac:dyDescent="0.2">
      <c r="V2141" s="562"/>
      <c r="X2141" s="562"/>
      <c r="Y2141" s="562"/>
    </row>
    <row r="2142" spans="22:25" x14ac:dyDescent="0.2">
      <c r="V2142" s="562"/>
      <c r="X2142" s="562"/>
      <c r="Y2142" s="562"/>
    </row>
    <row r="2143" spans="22:25" x14ac:dyDescent="0.2">
      <c r="V2143" s="562"/>
      <c r="X2143" s="562"/>
      <c r="Y2143" s="562"/>
    </row>
    <row r="2144" spans="22:25" x14ac:dyDescent="0.2">
      <c r="V2144" s="562"/>
      <c r="X2144" s="562"/>
      <c r="Y2144" s="562"/>
    </row>
    <row r="2145" spans="22:25" x14ac:dyDescent="0.2">
      <c r="V2145" s="562"/>
      <c r="X2145" s="562"/>
      <c r="Y2145" s="562"/>
    </row>
    <row r="2146" spans="22:25" x14ac:dyDescent="0.2">
      <c r="V2146" s="562"/>
      <c r="X2146" s="562"/>
      <c r="Y2146" s="562"/>
    </row>
    <row r="2147" spans="22:25" x14ac:dyDescent="0.2">
      <c r="V2147" s="562"/>
      <c r="X2147" s="562"/>
      <c r="Y2147" s="562"/>
    </row>
    <row r="2148" spans="22:25" x14ac:dyDescent="0.2">
      <c r="V2148" s="562"/>
      <c r="X2148" s="562"/>
      <c r="Y2148" s="562"/>
    </row>
    <row r="2149" spans="22:25" x14ac:dyDescent="0.2">
      <c r="V2149" s="562"/>
      <c r="X2149" s="562"/>
      <c r="Y2149" s="562"/>
    </row>
    <row r="2150" spans="22:25" x14ac:dyDescent="0.2">
      <c r="V2150" s="562"/>
      <c r="X2150" s="562"/>
      <c r="Y2150" s="562"/>
    </row>
    <row r="2151" spans="22:25" x14ac:dyDescent="0.2">
      <c r="V2151" s="562"/>
      <c r="X2151" s="562"/>
      <c r="Y2151" s="562"/>
    </row>
    <row r="2152" spans="22:25" x14ac:dyDescent="0.2">
      <c r="V2152" s="562"/>
      <c r="X2152" s="562"/>
      <c r="Y2152" s="562"/>
    </row>
    <row r="2153" spans="22:25" x14ac:dyDescent="0.2">
      <c r="V2153" s="562"/>
      <c r="X2153" s="562"/>
      <c r="Y2153" s="562"/>
    </row>
    <row r="2154" spans="22:25" x14ac:dyDescent="0.2">
      <c r="V2154" s="562"/>
      <c r="X2154" s="562"/>
      <c r="Y2154" s="562"/>
    </row>
    <row r="2155" spans="22:25" x14ac:dyDescent="0.2">
      <c r="V2155" s="562"/>
      <c r="X2155" s="562"/>
      <c r="Y2155" s="562"/>
    </row>
    <row r="2156" spans="22:25" x14ac:dyDescent="0.2">
      <c r="V2156" s="562"/>
      <c r="X2156" s="562"/>
      <c r="Y2156" s="562"/>
    </row>
    <row r="2157" spans="22:25" x14ac:dyDescent="0.2">
      <c r="V2157" s="562"/>
      <c r="X2157" s="562"/>
      <c r="Y2157" s="562"/>
    </row>
    <row r="2158" spans="22:25" x14ac:dyDescent="0.2">
      <c r="V2158" s="562"/>
      <c r="X2158" s="562"/>
      <c r="Y2158" s="562"/>
    </row>
    <row r="2159" spans="22:25" x14ac:dyDescent="0.2">
      <c r="V2159" s="562"/>
      <c r="X2159" s="562"/>
      <c r="Y2159" s="562"/>
    </row>
    <row r="2160" spans="22:25" x14ac:dyDescent="0.2">
      <c r="V2160" s="562"/>
      <c r="X2160" s="562"/>
      <c r="Y2160" s="562"/>
    </row>
    <row r="2161" spans="22:25" x14ac:dyDescent="0.2">
      <c r="V2161" s="562"/>
      <c r="X2161" s="562"/>
      <c r="Y2161" s="562"/>
    </row>
    <row r="2162" spans="22:25" x14ac:dyDescent="0.2">
      <c r="V2162" s="562"/>
      <c r="X2162" s="562"/>
      <c r="Y2162" s="562"/>
    </row>
    <row r="2163" spans="22:25" x14ac:dyDescent="0.2">
      <c r="V2163" s="562"/>
      <c r="X2163" s="562"/>
      <c r="Y2163" s="562"/>
    </row>
    <row r="2164" spans="22:25" x14ac:dyDescent="0.2">
      <c r="V2164" s="562"/>
      <c r="X2164" s="562"/>
      <c r="Y2164" s="562"/>
    </row>
    <row r="2165" spans="22:25" x14ac:dyDescent="0.2">
      <c r="V2165" s="562"/>
      <c r="X2165" s="562"/>
      <c r="Y2165" s="562"/>
    </row>
    <row r="2166" spans="22:25" x14ac:dyDescent="0.2">
      <c r="V2166" s="562"/>
      <c r="X2166" s="562"/>
      <c r="Y2166" s="562"/>
    </row>
    <row r="2167" spans="22:25" x14ac:dyDescent="0.2">
      <c r="V2167" s="562"/>
      <c r="X2167" s="562"/>
      <c r="Y2167" s="562"/>
    </row>
    <row r="2168" spans="22:25" x14ac:dyDescent="0.2">
      <c r="V2168" s="562"/>
      <c r="X2168" s="562"/>
      <c r="Y2168" s="562"/>
    </row>
    <row r="2169" spans="22:25" x14ac:dyDescent="0.2">
      <c r="V2169" s="562"/>
      <c r="X2169" s="562"/>
      <c r="Y2169" s="562"/>
    </row>
    <row r="2170" spans="22:25" x14ac:dyDescent="0.2">
      <c r="V2170" s="562"/>
      <c r="X2170" s="562"/>
      <c r="Y2170" s="562"/>
    </row>
    <row r="2171" spans="22:25" x14ac:dyDescent="0.2">
      <c r="V2171" s="562"/>
      <c r="X2171" s="562"/>
      <c r="Y2171" s="562"/>
    </row>
    <row r="2172" spans="22:25" x14ac:dyDescent="0.2">
      <c r="V2172" s="562"/>
      <c r="X2172" s="562"/>
      <c r="Y2172" s="562"/>
    </row>
    <row r="2173" spans="22:25" x14ac:dyDescent="0.2">
      <c r="V2173" s="562"/>
      <c r="X2173" s="562"/>
      <c r="Y2173" s="562"/>
    </row>
    <row r="2174" spans="22:25" x14ac:dyDescent="0.2">
      <c r="V2174" s="562"/>
      <c r="X2174" s="562"/>
      <c r="Y2174" s="562"/>
    </row>
    <row r="2175" spans="22:25" x14ac:dyDescent="0.2">
      <c r="V2175" s="562"/>
      <c r="X2175" s="562"/>
      <c r="Y2175" s="562"/>
    </row>
    <row r="2176" spans="22:25" x14ac:dyDescent="0.2">
      <c r="V2176" s="562"/>
      <c r="X2176" s="562"/>
      <c r="Y2176" s="562"/>
    </row>
    <row r="2177" spans="22:25" x14ac:dyDescent="0.2">
      <c r="V2177" s="562"/>
      <c r="X2177" s="562"/>
      <c r="Y2177" s="562"/>
    </row>
    <row r="2178" spans="22:25" x14ac:dyDescent="0.2">
      <c r="V2178" s="562"/>
      <c r="X2178" s="562"/>
      <c r="Y2178" s="562"/>
    </row>
    <row r="2179" spans="22:25" x14ac:dyDescent="0.2">
      <c r="V2179" s="562"/>
      <c r="X2179" s="562"/>
      <c r="Y2179" s="562"/>
    </row>
    <row r="2180" spans="22:25" x14ac:dyDescent="0.2">
      <c r="V2180" s="562"/>
      <c r="X2180" s="562"/>
      <c r="Y2180" s="562"/>
    </row>
    <row r="2181" spans="22:25" x14ac:dyDescent="0.2">
      <c r="V2181" s="562"/>
      <c r="X2181" s="562"/>
      <c r="Y2181" s="562"/>
    </row>
    <row r="2182" spans="22:25" x14ac:dyDescent="0.2">
      <c r="V2182" s="562"/>
      <c r="X2182" s="562"/>
      <c r="Y2182" s="562"/>
    </row>
    <row r="2183" spans="22:25" x14ac:dyDescent="0.2">
      <c r="V2183" s="562"/>
      <c r="X2183" s="562"/>
      <c r="Y2183" s="562"/>
    </row>
    <row r="2184" spans="22:25" x14ac:dyDescent="0.2">
      <c r="V2184" s="562"/>
      <c r="X2184" s="562"/>
      <c r="Y2184" s="562"/>
    </row>
    <row r="2185" spans="22:25" x14ac:dyDescent="0.2">
      <c r="V2185" s="562"/>
      <c r="X2185" s="562"/>
      <c r="Y2185" s="562"/>
    </row>
    <row r="2186" spans="22:25" x14ac:dyDescent="0.2">
      <c r="V2186" s="562"/>
      <c r="X2186" s="562"/>
      <c r="Y2186" s="562"/>
    </row>
    <row r="2187" spans="22:25" x14ac:dyDescent="0.2">
      <c r="V2187" s="562"/>
      <c r="X2187" s="562"/>
      <c r="Y2187" s="562"/>
    </row>
    <row r="2188" spans="22:25" x14ac:dyDescent="0.2">
      <c r="V2188" s="562"/>
      <c r="X2188" s="562"/>
      <c r="Y2188" s="562"/>
    </row>
    <row r="2189" spans="22:25" x14ac:dyDescent="0.2">
      <c r="V2189" s="562"/>
      <c r="X2189" s="562"/>
      <c r="Y2189" s="562"/>
    </row>
    <row r="2190" spans="22:25" x14ac:dyDescent="0.2">
      <c r="V2190" s="562"/>
      <c r="X2190" s="562"/>
      <c r="Y2190" s="562"/>
    </row>
    <row r="2191" spans="22:25" x14ac:dyDescent="0.2">
      <c r="V2191" s="562"/>
      <c r="X2191" s="562"/>
      <c r="Y2191" s="562"/>
    </row>
    <row r="2192" spans="22:25" x14ac:dyDescent="0.2">
      <c r="V2192" s="562"/>
      <c r="X2192" s="562"/>
      <c r="Y2192" s="562"/>
    </row>
    <row r="2193" spans="22:25" x14ac:dyDescent="0.2">
      <c r="V2193" s="562"/>
      <c r="X2193" s="562"/>
      <c r="Y2193" s="562"/>
    </row>
    <row r="2194" spans="22:25" x14ac:dyDescent="0.2">
      <c r="V2194" s="562"/>
      <c r="X2194" s="562"/>
      <c r="Y2194" s="562"/>
    </row>
    <row r="2195" spans="22:25" x14ac:dyDescent="0.2">
      <c r="V2195" s="562"/>
      <c r="X2195" s="562"/>
      <c r="Y2195" s="562"/>
    </row>
    <row r="2196" spans="22:25" x14ac:dyDescent="0.2">
      <c r="V2196" s="562"/>
      <c r="X2196" s="562"/>
      <c r="Y2196" s="562"/>
    </row>
    <row r="2197" spans="22:25" x14ac:dyDescent="0.2">
      <c r="V2197" s="562"/>
      <c r="X2197" s="562"/>
      <c r="Y2197" s="562"/>
    </row>
    <row r="2198" spans="22:25" x14ac:dyDescent="0.2">
      <c r="V2198" s="562"/>
      <c r="X2198" s="562"/>
      <c r="Y2198" s="562"/>
    </row>
    <row r="2199" spans="22:25" x14ac:dyDescent="0.2">
      <c r="V2199" s="562"/>
      <c r="X2199" s="562"/>
      <c r="Y2199" s="562"/>
    </row>
    <row r="2200" spans="22:25" x14ac:dyDescent="0.2">
      <c r="V2200" s="562"/>
      <c r="X2200" s="562"/>
      <c r="Y2200" s="562"/>
    </row>
    <row r="2201" spans="22:25" x14ac:dyDescent="0.2">
      <c r="V2201" s="562"/>
      <c r="X2201" s="562"/>
      <c r="Y2201" s="562"/>
    </row>
    <row r="2202" spans="22:25" x14ac:dyDescent="0.2">
      <c r="V2202" s="562"/>
      <c r="X2202" s="562"/>
      <c r="Y2202" s="562"/>
    </row>
    <row r="2203" spans="22:25" x14ac:dyDescent="0.2">
      <c r="V2203" s="562"/>
      <c r="X2203" s="562"/>
      <c r="Y2203" s="562"/>
    </row>
    <row r="2204" spans="22:25" x14ac:dyDescent="0.2">
      <c r="V2204" s="562"/>
      <c r="X2204" s="562"/>
      <c r="Y2204" s="562"/>
    </row>
    <row r="2205" spans="22:25" x14ac:dyDescent="0.2">
      <c r="V2205" s="562"/>
      <c r="X2205" s="562"/>
      <c r="Y2205" s="562"/>
    </row>
    <row r="2206" spans="22:25" x14ac:dyDescent="0.2">
      <c r="V2206" s="562"/>
      <c r="X2206" s="562"/>
      <c r="Y2206" s="562"/>
    </row>
    <row r="2207" spans="22:25" x14ac:dyDescent="0.2">
      <c r="V2207" s="562"/>
      <c r="X2207" s="562"/>
      <c r="Y2207" s="562"/>
    </row>
    <row r="2208" spans="22:25" x14ac:dyDescent="0.2">
      <c r="V2208" s="562"/>
      <c r="X2208" s="562"/>
      <c r="Y2208" s="562"/>
    </row>
    <row r="2209" spans="22:25" x14ac:dyDescent="0.2">
      <c r="V2209" s="562"/>
      <c r="X2209" s="562"/>
      <c r="Y2209" s="562"/>
    </row>
    <row r="2210" spans="22:25" x14ac:dyDescent="0.2">
      <c r="V2210" s="562"/>
      <c r="X2210" s="562"/>
      <c r="Y2210" s="562"/>
    </row>
    <row r="2211" spans="22:25" x14ac:dyDescent="0.2">
      <c r="V2211" s="562"/>
      <c r="X2211" s="562"/>
      <c r="Y2211" s="562"/>
    </row>
    <row r="2212" spans="22:25" x14ac:dyDescent="0.2">
      <c r="V2212" s="562"/>
      <c r="X2212" s="562"/>
      <c r="Y2212" s="562"/>
    </row>
    <row r="2213" spans="22:25" x14ac:dyDescent="0.2">
      <c r="V2213" s="562"/>
      <c r="X2213" s="562"/>
      <c r="Y2213" s="562"/>
    </row>
    <row r="2214" spans="22:25" x14ac:dyDescent="0.2">
      <c r="V2214" s="562"/>
      <c r="X2214" s="562"/>
      <c r="Y2214" s="562"/>
    </row>
    <row r="2215" spans="22:25" x14ac:dyDescent="0.2">
      <c r="V2215" s="562"/>
      <c r="X2215" s="562"/>
      <c r="Y2215" s="562"/>
    </row>
    <row r="2216" spans="22:25" x14ac:dyDescent="0.2">
      <c r="V2216" s="562"/>
      <c r="X2216" s="562"/>
      <c r="Y2216" s="562"/>
    </row>
    <row r="2217" spans="22:25" x14ac:dyDescent="0.2">
      <c r="V2217" s="562"/>
      <c r="X2217" s="562"/>
      <c r="Y2217" s="562"/>
    </row>
    <row r="2218" spans="22:25" x14ac:dyDescent="0.2">
      <c r="V2218" s="562"/>
      <c r="X2218" s="562"/>
      <c r="Y2218" s="562"/>
    </row>
    <row r="2219" spans="22:25" x14ac:dyDescent="0.2">
      <c r="V2219" s="562"/>
      <c r="X2219" s="562"/>
      <c r="Y2219" s="562"/>
    </row>
    <row r="2220" spans="22:25" x14ac:dyDescent="0.2">
      <c r="V2220" s="562"/>
      <c r="X2220" s="562"/>
      <c r="Y2220" s="562"/>
    </row>
    <row r="2221" spans="22:25" x14ac:dyDescent="0.2">
      <c r="V2221" s="562"/>
      <c r="X2221" s="562"/>
      <c r="Y2221" s="562"/>
    </row>
    <row r="2222" spans="22:25" x14ac:dyDescent="0.2">
      <c r="V2222" s="562"/>
      <c r="X2222" s="562"/>
      <c r="Y2222" s="562"/>
    </row>
    <row r="2223" spans="22:25" x14ac:dyDescent="0.2">
      <c r="V2223" s="562"/>
      <c r="X2223" s="562"/>
      <c r="Y2223" s="562"/>
    </row>
    <row r="2224" spans="22:25" x14ac:dyDescent="0.2">
      <c r="V2224" s="562"/>
      <c r="X2224" s="562"/>
      <c r="Y2224" s="562"/>
    </row>
    <row r="2225" spans="22:25" x14ac:dyDescent="0.2">
      <c r="V2225" s="562"/>
      <c r="X2225" s="562"/>
      <c r="Y2225" s="562"/>
    </row>
    <row r="2226" spans="22:25" x14ac:dyDescent="0.2">
      <c r="V2226" s="562"/>
      <c r="X2226" s="562"/>
      <c r="Y2226" s="562"/>
    </row>
    <row r="2227" spans="22:25" x14ac:dyDescent="0.2">
      <c r="V2227" s="562"/>
      <c r="X2227" s="562"/>
      <c r="Y2227" s="562"/>
    </row>
    <row r="2228" spans="22:25" x14ac:dyDescent="0.2">
      <c r="V2228" s="562"/>
      <c r="X2228" s="562"/>
      <c r="Y2228" s="562"/>
    </row>
    <row r="2229" spans="22:25" x14ac:dyDescent="0.2">
      <c r="V2229" s="562"/>
      <c r="X2229" s="562"/>
      <c r="Y2229" s="562"/>
    </row>
    <row r="2230" spans="22:25" x14ac:dyDescent="0.2">
      <c r="V2230" s="562"/>
      <c r="X2230" s="562"/>
      <c r="Y2230" s="562"/>
    </row>
    <row r="2231" spans="22:25" x14ac:dyDescent="0.2">
      <c r="V2231" s="562"/>
      <c r="X2231" s="562"/>
      <c r="Y2231" s="562"/>
    </row>
    <row r="2232" spans="22:25" x14ac:dyDescent="0.2">
      <c r="V2232" s="562"/>
      <c r="X2232" s="562"/>
      <c r="Y2232" s="562"/>
    </row>
    <row r="2233" spans="22:25" x14ac:dyDescent="0.2">
      <c r="V2233" s="562"/>
      <c r="X2233" s="562"/>
      <c r="Y2233" s="562"/>
    </row>
    <row r="2234" spans="22:25" x14ac:dyDescent="0.2">
      <c r="V2234" s="562"/>
      <c r="X2234" s="562"/>
      <c r="Y2234" s="562"/>
    </row>
    <row r="2235" spans="22:25" x14ac:dyDescent="0.2">
      <c r="V2235" s="562"/>
      <c r="X2235" s="562"/>
      <c r="Y2235" s="562"/>
    </row>
    <row r="2236" spans="22:25" x14ac:dyDescent="0.2">
      <c r="V2236" s="562"/>
      <c r="X2236" s="562"/>
      <c r="Y2236" s="562"/>
    </row>
    <row r="2237" spans="22:25" x14ac:dyDescent="0.2">
      <c r="V2237" s="562"/>
      <c r="X2237" s="562"/>
      <c r="Y2237" s="562"/>
    </row>
    <row r="2238" spans="22:25" x14ac:dyDescent="0.2">
      <c r="V2238" s="562"/>
      <c r="X2238" s="562"/>
      <c r="Y2238" s="562"/>
    </row>
    <row r="2239" spans="22:25" x14ac:dyDescent="0.2">
      <c r="V2239" s="562"/>
      <c r="X2239" s="562"/>
      <c r="Y2239" s="562"/>
    </row>
    <row r="2240" spans="22:25" x14ac:dyDescent="0.2">
      <c r="V2240" s="562"/>
      <c r="X2240" s="562"/>
      <c r="Y2240" s="562"/>
    </row>
    <row r="2241" spans="22:25" x14ac:dyDescent="0.2">
      <c r="V2241" s="562"/>
      <c r="X2241" s="562"/>
      <c r="Y2241" s="562"/>
    </row>
    <row r="2242" spans="22:25" x14ac:dyDescent="0.2">
      <c r="V2242" s="562"/>
      <c r="X2242" s="562"/>
      <c r="Y2242" s="562"/>
    </row>
    <row r="2243" spans="22:25" x14ac:dyDescent="0.2">
      <c r="V2243" s="562"/>
      <c r="X2243" s="562"/>
      <c r="Y2243" s="562"/>
    </row>
    <row r="2244" spans="22:25" x14ac:dyDescent="0.2">
      <c r="V2244" s="562"/>
      <c r="X2244" s="562"/>
      <c r="Y2244" s="562"/>
    </row>
    <row r="2245" spans="22:25" x14ac:dyDescent="0.2">
      <c r="V2245" s="562"/>
      <c r="X2245" s="562"/>
      <c r="Y2245" s="562"/>
    </row>
    <row r="2246" spans="22:25" x14ac:dyDescent="0.2">
      <c r="V2246" s="562"/>
      <c r="X2246" s="562"/>
      <c r="Y2246" s="562"/>
    </row>
    <row r="2247" spans="22:25" x14ac:dyDescent="0.2">
      <c r="V2247" s="562"/>
      <c r="X2247" s="562"/>
      <c r="Y2247" s="562"/>
    </row>
    <row r="2248" spans="22:25" x14ac:dyDescent="0.2">
      <c r="V2248" s="562"/>
      <c r="X2248" s="562"/>
      <c r="Y2248" s="562"/>
    </row>
    <row r="2249" spans="22:25" x14ac:dyDescent="0.2">
      <c r="V2249" s="562"/>
      <c r="X2249" s="562"/>
      <c r="Y2249" s="562"/>
    </row>
    <row r="2250" spans="22:25" x14ac:dyDescent="0.2">
      <c r="V2250" s="562"/>
      <c r="X2250" s="562"/>
      <c r="Y2250" s="562"/>
    </row>
    <row r="2251" spans="22:25" x14ac:dyDescent="0.2">
      <c r="V2251" s="562"/>
      <c r="X2251" s="562"/>
      <c r="Y2251" s="562"/>
    </row>
    <row r="2252" spans="22:25" x14ac:dyDescent="0.2">
      <c r="V2252" s="562"/>
      <c r="X2252" s="562"/>
      <c r="Y2252" s="562"/>
    </row>
    <row r="2253" spans="22:25" x14ac:dyDescent="0.2">
      <c r="V2253" s="562"/>
      <c r="X2253" s="562"/>
      <c r="Y2253" s="562"/>
    </row>
    <row r="2254" spans="22:25" x14ac:dyDescent="0.2">
      <c r="V2254" s="562"/>
      <c r="X2254" s="562"/>
      <c r="Y2254" s="562"/>
    </row>
    <row r="2255" spans="22:25" x14ac:dyDescent="0.2">
      <c r="V2255" s="562"/>
      <c r="X2255" s="562"/>
      <c r="Y2255" s="562"/>
    </row>
    <row r="2256" spans="22:25" x14ac:dyDescent="0.2">
      <c r="V2256" s="562"/>
      <c r="X2256" s="562"/>
      <c r="Y2256" s="562"/>
    </row>
    <row r="2257" spans="22:25" x14ac:dyDescent="0.2">
      <c r="V2257" s="562"/>
      <c r="X2257" s="562"/>
      <c r="Y2257" s="562"/>
    </row>
    <row r="2258" spans="22:25" x14ac:dyDescent="0.2">
      <c r="V2258" s="562"/>
      <c r="X2258" s="562"/>
      <c r="Y2258" s="562"/>
    </row>
    <row r="2259" spans="22:25" x14ac:dyDescent="0.2">
      <c r="V2259" s="562"/>
      <c r="X2259" s="562"/>
      <c r="Y2259" s="562"/>
    </row>
    <row r="2260" spans="22:25" x14ac:dyDescent="0.2">
      <c r="V2260" s="562"/>
      <c r="X2260" s="562"/>
      <c r="Y2260" s="562"/>
    </row>
    <row r="2261" spans="22:25" x14ac:dyDescent="0.2">
      <c r="V2261" s="562"/>
      <c r="X2261" s="562"/>
      <c r="Y2261" s="562"/>
    </row>
    <row r="2262" spans="22:25" x14ac:dyDescent="0.2">
      <c r="V2262" s="562"/>
      <c r="X2262" s="562"/>
      <c r="Y2262" s="562"/>
    </row>
    <row r="2263" spans="22:25" x14ac:dyDescent="0.2">
      <c r="V2263" s="562"/>
      <c r="X2263" s="562"/>
      <c r="Y2263" s="562"/>
    </row>
    <row r="2264" spans="22:25" x14ac:dyDescent="0.2">
      <c r="V2264" s="562"/>
      <c r="X2264" s="562"/>
      <c r="Y2264" s="562"/>
    </row>
    <row r="2265" spans="22:25" x14ac:dyDescent="0.2">
      <c r="V2265" s="562"/>
      <c r="X2265" s="562"/>
      <c r="Y2265" s="562"/>
    </row>
    <row r="2266" spans="22:25" x14ac:dyDescent="0.2">
      <c r="V2266" s="562"/>
      <c r="X2266" s="562"/>
      <c r="Y2266" s="562"/>
    </row>
    <row r="2267" spans="22:25" x14ac:dyDescent="0.2">
      <c r="V2267" s="562"/>
      <c r="X2267" s="562"/>
      <c r="Y2267" s="562"/>
    </row>
    <row r="2268" spans="22:25" x14ac:dyDescent="0.2">
      <c r="V2268" s="562"/>
      <c r="X2268" s="562"/>
      <c r="Y2268" s="562"/>
    </row>
    <row r="2269" spans="22:25" x14ac:dyDescent="0.2">
      <c r="V2269" s="562"/>
      <c r="X2269" s="562"/>
      <c r="Y2269" s="562"/>
    </row>
    <row r="2270" spans="22:25" x14ac:dyDescent="0.2">
      <c r="V2270" s="562"/>
      <c r="X2270" s="562"/>
      <c r="Y2270" s="562"/>
    </row>
    <row r="2271" spans="22:25" x14ac:dyDescent="0.2">
      <c r="V2271" s="562"/>
      <c r="X2271" s="562"/>
      <c r="Y2271" s="562"/>
    </row>
    <row r="2272" spans="22:25" x14ac:dyDescent="0.2">
      <c r="V2272" s="562"/>
      <c r="X2272" s="562"/>
      <c r="Y2272" s="562"/>
    </row>
    <row r="2273" spans="22:25" x14ac:dyDescent="0.2">
      <c r="V2273" s="562"/>
      <c r="X2273" s="562"/>
      <c r="Y2273" s="562"/>
    </row>
    <row r="2274" spans="22:25" x14ac:dyDescent="0.2">
      <c r="V2274" s="562"/>
      <c r="X2274" s="562"/>
      <c r="Y2274" s="562"/>
    </row>
    <row r="2275" spans="22:25" x14ac:dyDescent="0.2">
      <c r="V2275" s="562"/>
      <c r="X2275" s="562"/>
      <c r="Y2275" s="562"/>
    </row>
    <row r="2276" spans="22:25" x14ac:dyDescent="0.2">
      <c r="V2276" s="562"/>
      <c r="X2276" s="562"/>
      <c r="Y2276" s="562"/>
    </row>
    <row r="2277" spans="22:25" x14ac:dyDescent="0.2">
      <c r="V2277" s="562"/>
      <c r="X2277" s="562"/>
      <c r="Y2277" s="562"/>
    </row>
    <row r="2278" spans="22:25" x14ac:dyDescent="0.2">
      <c r="V2278" s="562"/>
      <c r="X2278" s="562"/>
      <c r="Y2278" s="562"/>
    </row>
    <row r="2279" spans="22:25" x14ac:dyDescent="0.2">
      <c r="V2279" s="562"/>
      <c r="X2279" s="562"/>
      <c r="Y2279" s="562"/>
    </row>
    <row r="2280" spans="22:25" x14ac:dyDescent="0.2">
      <c r="V2280" s="562"/>
      <c r="X2280" s="562"/>
      <c r="Y2280" s="562"/>
    </row>
    <row r="2281" spans="22:25" x14ac:dyDescent="0.2">
      <c r="V2281" s="562"/>
      <c r="X2281" s="562"/>
      <c r="Y2281" s="562"/>
    </row>
    <row r="2282" spans="22:25" x14ac:dyDescent="0.2">
      <c r="V2282" s="562"/>
      <c r="X2282" s="562"/>
      <c r="Y2282" s="562"/>
    </row>
    <row r="2283" spans="22:25" x14ac:dyDescent="0.2">
      <c r="V2283" s="562"/>
      <c r="X2283" s="562"/>
      <c r="Y2283" s="562"/>
    </row>
    <row r="2284" spans="22:25" x14ac:dyDescent="0.2">
      <c r="V2284" s="562"/>
      <c r="X2284" s="562"/>
      <c r="Y2284" s="562"/>
    </row>
    <row r="2285" spans="22:25" x14ac:dyDescent="0.2">
      <c r="V2285" s="562"/>
      <c r="X2285" s="562"/>
      <c r="Y2285" s="562"/>
    </row>
    <row r="2286" spans="22:25" x14ac:dyDescent="0.2">
      <c r="V2286" s="562"/>
      <c r="X2286" s="562"/>
      <c r="Y2286" s="562"/>
    </row>
    <row r="2287" spans="22:25" x14ac:dyDescent="0.2">
      <c r="V2287" s="562"/>
      <c r="X2287" s="562"/>
      <c r="Y2287" s="562"/>
    </row>
    <row r="2288" spans="22:25" x14ac:dyDescent="0.2">
      <c r="V2288" s="562"/>
      <c r="X2288" s="562"/>
      <c r="Y2288" s="562"/>
    </row>
    <row r="2289" spans="22:25" x14ac:dyDescent="0.2">
      <c r="V2289" s="562"/>
      <c r="X2289" s="562"/>
      <c r="Y2289" s="562"/>
    </row>
    <row r="2290" spans="22:25" x14ac:dyDescent="0.2">
      <c r="V2290" s="562"/>
      <c r="X2290" s="562"/>
      <c r="Y2290" s="562"/>
    </row>
    <row r="2291" spans="22:25" x14ac:dyDescent="0.2">
      <c r="V2291" s="562"/>
      <c r="X2291" s="562"/>
      <c r="Y2291" s="562"/>
    </row>
    <row r="2292" spans="22:25" x14ac:dyDescent="0.2">
      <c r="V2292" s="562"/>
      <c r="X2292" s="562"/>
      <c r="Y2292" s="562"/>
    </row>
    <row r="2293" spans="22:25" x14ac:dyDescent="0.2">
      <c r="V2293" s="562"/>
      <c r="X2293" s="562"/>
      <c r="Y2293" s="562"/>
    </row>
    <row r="2294" spans="22:25" x14ac:dyDescent="0.2">
      <c r="V2294" s="562"/>
      <c r="X2294" s="562"/>
      <c r="Y2294" s="562"/>
    </row>
    <row r="2295" spans="22:25" x14ac:dyDescent="0.2">
      <c r="V2295" s="562"/>
      <c r="X2295" s="562"/>
      <c r="Y2295" s="562"/>
    </row>
    <row r="2296" spans="22:25" x14ac:dyDescent="0.2">
      <c r="V2296" s="562"/>
      <c r="X2296" s="562"/>
      <c r="Y2296" s="562"/>
    </row>
    <row r="2297" spans="22:25" x14ac:dyDescent="0.2">
      <c r="V2297" s="562"/>
      <c r="X2297" s="562"/>
      <c r="Y2297" s="562"/>
    </row>
    <row r="2298" spans="22:25" x14ac:dyDescent="0.2">
      <c r="V2298" s="562"/>
      <c r="X2298" s="562"/>
      <c r="Y2298" s="562"/>
    </row>
    <row r="2299" spans="22:25" x14ac:dyDescent="0.2">
      <c r="V2299" s="562"/>
      <c r="X2299" s="562"/>
      <c r="Y2299" s="562"/>
    </row>
    <row r="2300" spans="22:25" x14ac:dyDescent="0.2">
      <c r="V2300" s="562"/>
      <c r="X2300" s="562"/>
      <c r="Y2300" s="562"/>
    </row>
    <row r="2301" spans="22:25" x14ac:dyDescent="0.2">
      <c r="V2301" s="562"/>
      <c r="X2301" s="562"/>
      <c r="Y2301" s="562"/>
    </row>
    <row r="2302" spans="22:25" x14ac:dyDescent="0.2">
      <c r="V2302" s="562"/>
      <c r="X2302" s="562"/>
      <c r="Y2302" s="562"/>
    </row>
    <row r="2303" spans="22:25" x14ac:dyDescent="0.2">
      <c r="V2303" s="562"/>
      <c r="X2303" s="562"/>
      <c r="Y2303" s="562"/>
    </row>
    <row r="2304" spans="22:25" x14ac:dyDescent="0.2">
      <c r="V2304" s="562"/>
      <c r="X2304" s="562"/>
      <c r="Y2304" s="562"/>
    </row>
    <row r="2305" spans="22:25" x14ac:dyDescent="0.2">
      <c r="V2305" s="562"/>
      <c r="X2305" s="562"/>
      <c r="Y2305" s="562"/>
    </row>
    <row r="2306" spans="22:25" x14ac:dyDescent="0.2">
      <c r="V2306" s="562"/>
      <c r="X2306" s="562"/>
      <c r="Y2306" s="562"/>
    </row>
    <row r="2307" spans="22:25" x14ac:dyDescent="0.2">
      <c r="V2307" s="562"/>
      <c r="X2307" s="562"/>
      <c r="Y2307" s="562"/>
    </row>
    <row r="2308" spans="22:25" x14ac:dyDescent="0.2">
      <c r="V2308" s="562"/>
      <c r="X2308" s="562"/>
      <c r="Y2308" s="562"/>
    </row>
    <row r="2309" spans="22:25" x14ac:dyDescent="0.2">
      <c r="V2309" s="562"/>
      <c r="X2309" s="562"/>
      <c r="Y2309" s="562"/>
    </row>
    <row r="2310" spans="22:25" x14ac:dyDescent="0.2">
      <c r="V2310" s="562"/>
      <c r="X2310" s="562"/>
      <c r="Y2310" s="562"/>
    </row>
    <row r="2311" spans="22:25" x14ac:dyDescent="0.2">
      <c r="V2311" s="562"/>
      <c r="X2311" s="562"/>
      <c r="Y2311" s="562"/>
    </row>
    <row r="2312" spans="22:25" x14ac:dyDescent="0.2">
      <c r="V2312" s="562"/>
      <c r="X2312" s="562"/>
      <c r="Y2312" s="562"/>
    </row>
    <row r="2313" spans="22:25" x14ac:dyDescent="0.2">
      <c r="V2313" s="562"/>
      <c r="X2313" s="562"/>
      <c r="Y2313" s="562"/>
    </row>
    <row r="2314" spans="22:25" x14ac:dyDescent="0.2">
      <c r="V2314" s="562"/>
      <c r="X2314" s="562"/>
      <c r="Y2314" s="562"/>
    </row>
    <row r="2315" spans="22:25" x14ac:dyDescent="0.2">
      <c r="V2315" s="562"/>
      <c r="X2315" s="562"/>
      <c r="Y2315" s="562"/>
    </row>
    <row r="2316" spans="22:25" x14ac:dyDescent="0.2">
      <c r="V2316" s="562"/>
      <c r="X2316" s="562"/>
      <c r="Y2316" s="562"/>
    </row>
    <row r="2317" spans="22:25" x14ac:dyDescent="0.2">
      <c r="V2317" s="562"/>
      <c r="X2317" s="562"/>
      <c r="Y2317" s="562"/>
    </row>
    <row r="2318" spans="22:25" x14ac:dyDescent="0.2">
      <c r="V2318" s="562"/>
      <c r="X2318" s="562"/>
      <c r="Y2318" s="562"/>
    </row>
    <row r="2319" spans="22:25" x14ac:dyDescent="0.2">
      <c r="V2319" s="562"/>
      <c r="X2319" s="562"/>
      <c r="Y2319" s="562"/>
    </row>
    <row r="2320" spans="22:25" x14ac:dyDescent="0.2">
      <c r="V2320" s="562"/>
      <c r="X2320" s="562"/>
      <c r="Y2320" s="562"/>
    </row>
    <row r="2321" spans="22:25" x14ac:dyDescent="0.2">
      <c r="V2321" s="562"/>
      <c r="X2321" s="562"/>
      <c r="Y2321" s="562"/>
    </row>
    <row r="2322" spans="22:25" x14ac:dyDescent="0.2">
      <c r="V2322" s="562"/>
      <c r="X2322" s="562"/>
      <c r="Y2322" s="562"/>
    </row>
    <row r="2323" spans="22:25" x14ac:dyDescent="0.2">
      <c r="V2323" s="562"/>
      <c r="X2323" s="562"/>
      <c r="Y2323" s="562"/>
    </row>
    <row r="2324" spans="22:25" x14ac:dyDescent="0.2">
      <c r="V2324" s="562"/>
      <c r="X2324" s="562"/>
      <c r="Y2324" s="562"/>
    </row>
    <row r="2325" spans="22:25" x14ac:dyDescent="0.2">
      <c r="V2325" s="562"/>
      <c r="X2325" s="562"/>
      <c r="Y2325" s="562"/>
    </row>
    <row r="2326" spans="22:25" x14ac:dyDescent="0.2">
      <c r="V2326" s="562"/>
      <c r="X2326" s="562"/>
      <c r="Y2326" s="562"/>
    </row>
    <row r="2327" spans="22:25" x14ac:dyDescent="0.2">
      <c r="V2327" s="562"/>
      <c r="X2327" s="562"/>
      <c r="Y2327" s="562"/>
    </row>
    <row r="2328" spans="22:25" x14ac:dyDescent="0.2">
      <c r="V2328" s="562"/>
      <c r="X2328" s="562"/>
      <c r="Y2328" s="562"/>
    </row>
    <row r="2329" spans="22:25" x14ac:dyDescent="0.2">
      <c r="V2329" s="562"/>
      <c r="X2329" s="562"/>
      <c r="Y2329" s="562"/>
    </row>
    <row r="2330" spans="22:25" x14ac:dyDescent="0.2">
      <c r="V2330" s="562"/>
      <c r="X2330" s="562"/>
      <c r="Y2330" s="562"/>
    </row>
    <row r="2331" spans="22:25" x14ac:dyDescent="0.2">
      <c r="V2331" s="562"/>
      <c r="X2331" s="562"/>
      <c r="Y2331" s="562"/>
    </row>
    <row r="2332" spans="22:25" x14ac:dyDescent="0.2">
      <c r="V2332" s="562"/>
      <c r="X2332" s="562"/>
      <c r="Y2332" s="562"/>
    </row>
    <row r="2333" spans="22:25" x14ac:dyDescent="0.2">
      <c r="V2333" s="562"/>
      <c r="X2333" s="562"/>
      <c r="Y2333" s="562"/>
    </row>
    <row r="2334" spans="22:25" x14ac:dyDescent="0.2">
      <c r="V2334" s="562"/>
      <c r="X2334" s="562"/>
      <c r="Y2334" s="562"/>
    </row>
    <row r="2335" spans="22:25" x14ac:dyDescent="0.2">
      <c r="V2335" s="562"/>
      <c r="X2335" s="562"/>
      <c r="Y2335" s="562"/>
    </row>
    <row r="2336" spans="22:25" x14ac:dyDescent="0.2">
      <c r="V2336" s="562"/>
      <c r="X2336" s="562"/>
      <c r="Y2336" s="562"/>
    </row>
    <row r="2337" spans="22:25" x14ac:dyDescent="0.2">
      <c r="V2337" s="562"/>
      <c r="X2337" s="562"/>
      <c r="Y2337" s="562"/>
    </row>
    <row r="2338" spans="22:25" x14ac:dyDescent="0.2">
      <c r="V2338" s="562"/>
      <c r="X2338" s="562"/>
      <c r="Y2338" s="562"/>
    </row>
    <row r="2339" spans="22:25" x14ac:dyDescent="0.2">
      <c r="V2339" s="562"/>
      <c r="X2339" s="562"/>
      <c r="Y2339" s="562"/>
    </row>
    <row r="2340" spans="22:25" x14ac:dyDescent="0.2">
      <c r="V2340" s="562"/>
      <c r="X2340" s="562"/>
      <c r="Y2340" s="562"/>
    </row>
    <row r="2341" spans="22:25" x14ac:dyDescent="0.2">
      <c r="V2341" s="562"/>
      <c r="X2341" s="562"/>
      <c r="Y2341" s="562"/>
    </row>
    <row r="2342" spans="22:25" x14ac:dyDescent="0.2">
      <c r="V2342" s="562"/>
      <c r="X2342" s="562"/>
      <c r="Y2342" s="562"/>
    </row>
    <row r="2343" spans="22:25" x14ac:dyDescent="0.2">
      <c r="V2343" s="562"/>
      <c r="X2343" s="562"/>
      <c r="Y2343" s="562"/>
    </row>
    <row r="2344" spans="22:25" x14ac:dyDescent="0.2">
      <c r="V2344" s="562"/>
      <c r="X2344" s="562"/>
      <c r="Y2344" s="562"/>
    </row>
    <row r="2345" spans="22:25" x14ac:dyDescent="0.2">
      <c r="V2345" s="562"/>
      <c r="X2345" s="562"/>
      <c r="Y2345" s="562"/>
    </row>
    <row r="2346" spans="22:25" x14ac:dyDescent="0.2">
      <c r="V2346" s="562"/>
      <c r="X2346" s="562"/>
      <c r="Y2346" s="562"/>
    </row>
    <row r="2347" spans="22:25" x14ac:dyDescent="0.2">
      <c r="V2347" s="562"/>
      <c r="X2347" s="562"/>
      <c r="Y2347" s="562"/>
    </row>
    <row r="2348" spans="22:25" x14ac:dyDescent="0.2">
      <c r="V2348" s="562"/>
      <c r="X2348" s="562"/>
      <c r="Y2348" s="562"/>
    </row>
    <row r="2349" spans="22:25" x14ac:dyDescent="0.2">
      <c r="V2349" s="562"/>
      <c r="X2349" s="562"/>
      <c r="Y2349" s="562"/>
    </row>
    <row r="2350" spans="22:25" x14ac:dyDescent="0.2">
      <c r="V2350" s="562"/>
      <c r="X2350" s="562"/>
      <c r="Y2350" s="562"/>
    </row>
    <row r="2351" spans="22:25" x14ac:dyDescent="0.2">
      <c r="V2351" s="562"/>
      <c r="X2351" s="562"/>
      <c r="Y2351" s="562"/>
    </row>
    <row r="2352" spans="22:25" x14ac:dyDescent="0.2">
      <c r="V2352" s="562"/>
      <c r="X2352" s="562"/>
      <c r="Y2352" s="562"/>
    </row>
    <row r="2353" spans="22:25" x14ac:dyDescent="0.2">
      <c r="V2353" s="562"/>
      <c r="X2353" s="562"/>
      <c r="Y2353" s="562"/>
    </row>
    <row r="2354" spans="22:25" x14ac:dyDescent="0.2">
      <c r="V2354" s="562"/>
      <c r="X2354" s="562"/>
      <c r="Y2354" s="562"/>
    </row>
    <row r="2355" spans="22:25" x14ac:dyDescent="0.2">
      <c r="V2355" s="562"/>
      <c r="X2355" s="562"/>
      <c r="Y2355" s="562"/>
    </row>
    <row r="2356" spans="22:25" x14ac:dyDescent="0.2">
      <c r="V2356" s="562"/>
      <c r="X2356" s="562"/>
      <c r="Y2356" s="562"/>
    </row>
    <row r="2357" spans="22:25" x14ac:dyDescent="0.2">
      <c r="V2357" s="562"/>
      <c r="X2357" s="562"/>
      <c r="Y2357" s="562"/>
    </row>
    <row r="2358" spans="22:25" x14ac:dyDescent="0.2">
      <c r="V2358" s="562"/>
      <c r="X2358" s="562"/>
      <c r="Y2358" s="562"/>
    </row>
    <row r="2359" spans="22:25" x14ac:dyDescent="0.2">
      <c r="V2359" s="562"/>
      <c r="X2359" s="562"/>
      <c r="Y2359" s="562"/>
    </row>
    <row r="2360" spans="22:25" x14ac:dyDescent="0.2">
      <c r="V2360" s="562"/>
      <c r="X2360" s="562"/>
      <c r="Y2360" s="562"/>
    </row>
    <row r="2361" spans="22:25" x14ac:dyDescent="0.2">
      <c r="V2361" s="562"/>
      <c r="X2361" s="562"/>
      <c r="Y2361" s="562"/>
    </row>
    <row r="2362" spans="22:25" x14ac:dyDescent="0.2">
      <c r="V2362" s="562"/>
      <c r="X2362" s="562"/>
      <c r="Y2362" s="562"/>
    </row>
    <row r="2363" spans="22:25" x14ac:dyDescent="0.2">
      <c r="V2363" s="562"/>
      <c r="X2363" s="562"/>
      <c r="Y2363" s="562"/>
    </row>
    <row r="2364" spans="22:25" x14ac:dyDescent="0.2">
      <c r="V2364" s="562"/>
      <c r="X2364" s="562"/>
      <c r="Y2364" s="562"/>
    </row>
    <row r="2365" spans="22:25" x14ac:dyDescent="0.2">
      <c r="V2365" s="562"/>
      <c r="X2365" s="562"/>
      <c r="Y2365" s="562"/>
    </row>
    <row r="2366" spans="22:25" x14ac:dyDescent="0.2">
      <c r="V2366" s="562"/>
      <c r="X2366" s="562"/>
      <c r="Y2366" s="562"/>
    </row>
    <row r="2367" spans="22:25" x14ac:dyDescent="0.2">
      <c r="V2367" s="562"/>
      <c r="X2367" s="562"/>
      <c r="Y2367" s="562"/>
    </row>
    <row r="2368" spans="22:25" x14ac:dyDescent="0.2">
      <c r="V2368" s="562"/>
      <c r="X2368" s="562"/>
      <c r="Y2368" s="562"/>
    </row>
    <row r="2369" spans="22:25" x14ac:dyDescent="0.2">
      <c r="V2369" s="562"/>
      <c r="X2369" s="562"/>
      <c r="Y2369" s="562"/>
    </row>
    <row r="2370" spans="22:25" x14ac:dyDescent="0.2">
      <c r="V2370" s="562"/>
      <c r="X2370" s="562"/>
      <c r="Y2370" s="562"/>
    </row>
    <row r="2371" spans="22:25" x14ac:dyDescent="0.2">
      <c r="V2371" s="562"/>
      <c r="X2371" s="562"/>
      <c r="Y2371" s="562"/>
    </row>
    <row r="2372" spans="22:25" x14ac:dyDescent="0.2">
      <c r="V2372" s="562"/>
      <c r="X2372" s="562"/>
      <c r="Y2372" s="562"/>
    </row>
    <row r="2373" spans="22:25" x14ac:dyDescent="0.2">
      <c r="V2373" s="562"/>
      <c r="X2373" s="562"/>
      <c r="Y2373" s="562"/>
    </row>
    <row r="2374" spans="22:25" x14ac:dyDescent="0.2">
      <c r="V2374" s="562"/>
      <c r="X2374" s="562"/>
      <c r="Y2374" s="562"/>
    </row>
    <row r="2375" spans="22:25" x14ac:dyDescent="0.2">
      <c r="V2375" s="562"/>
      <c r="X2375" s="562"/>
      <c r="Y2375" s="562"/>
    </row>
    <row r="2376" spans="22:25" x14ac:dyDescent="0.2">
      <c r="V2376" s="562"/>
      <c r="X2376" s="562"/>
      <c r="Y2376" s="562"/>
    </row>
    <row r="2377" spans="22:25" x14ac:dyDescent="0.2">
      <c r="V2377" s="562"/>
      <c r="X2377" s="562"/>
      <c r="Y2377" s="562"/>
    </row>
    <row r="2378" spans="22:25" x14ac:dyDescent="0.2">
      <c r="V2378" s="562"/>
      <c r="X2378" s="562"/>
      <c r="Y2378" s="562"/>
    </row>
    <row r="2379" spans="22:25" x14ac:dyDescent="0.2">
      <c r="V2379" s="562"/>
      <c r="X2379" s="562"/>
      <c r="Y2379" s="562"/>
    </row>
    <row r="2380" spans="22:25" x14ac:dyDescent="0.2">
      <c r="V2380" s="562"/>
      <c r="X2380" s="562"/>
      <c r="Y2380" s="562"/>
    </row>
    <row r="2381" spans="22:25" x14ac:dyDescent="0.2">
      <c r="V2381" s="562"/>
      <c r="X2381" s="562"/>
      <c r="Y2381" s="562"/>
    </row>
    <row r="2382" spans="22:25" x14ac:dyDescent="0.2">
      <c r="V2382" s="562"/>
      <c r="X2382" s="562"/>
      <c r="Y2382" s="562"/>
    </row>
    <row r="2383" spans="22:25" x14ac:dyDescent="0.2">
      <c r="V2383" s="562"/>
      <c r="X2383" s="562"/>
      <c r="Y2383" s="562"/>
    </row>
    <row r="2384" spans="22:25" x14ac:dyDescent="0.2">
      <c r="V2384" s="562"/>
      <c r="X2384" s="562"/>
      <c r="Y2384" s="562"/>
    </row>
    <row r="2385" spans="22:25" x14ac:dyDescent="0.2">
      <c r="V2385" s="562"/>
      <c r="X2385" s="562"/>
      <c r="Y2385" s="562"/>
    </row>
    <row r="2386" spans="22:25" x14ac:dyDescent="0.2">
      <c r="V2386" s="562"/>
      <c r="X2386" s="562"/>
      <c r="Y2386" s="562"/>
    </row>
    <row r="2387" spans="22:25" x14ac:dyDescent="0.2">
      <c r="V2387" s="562"/>
      <c r="X2387" s="562"/>
      <c r="Y2387" s="562"/>
    </row>
    <row r="2388" spans="22:25" x14ac:dyDescent="0.2">
      <c r="V2388" s="562"/>
      <c r="X2388" s="562"/>
      <c r="Y2388" s="562"/>
    </row>
    <row r="2389" spans="22:25" x14ac:dyDescent="0.2">
      <c r="V2389" s="562"/>
      <c r="X2389" s="562"/>
      <c r="Y2389" s="562"/>
    </row>
    <row r="2390" spans="22:25" x14ac:dyDescent="0.2">
      <c r="V2390" s="562"/>
      <c r="X2390" s="562"/>
      <c r="Y2390" s="562"/>
    </row>
    <row r="2391" spans="22:25" x14ac:dyDescent="0.2">
      <c r="V2391" s="562"/>
      <c r="X2391" s="562"/>
      <c r="Y2391" s="562"/>
    </row>
    <row r="2392" spans="22:25" x14ac:dyDescent="0.2">
      <c r="V2392" s="562"/>
      <c r="X2392" s="562"/>
      <c r="Y2392" s="562"/>
    </row>
    <row r="2393" spans="22:25" x14ac:dyDescent="0.2">
      <c r="V2393" s="562"/>
      <c r="X2393" s="562"/>
      <c r="Y2393" s="562"/>
    </row>
    <row r="2394" spans="22:25" x14ac:dyDescent="0.2">
      <c r="V2394" s="562"/>
      <c r="X2394" s="562"/>
      <c r="Y2394" s="562"/>
    </row>
    <row r="2395" spans="22:25" x14ac:dyDescent="0.2">
      <c r="V2395" s="562"/>
      <c r="X2395" s="562"/>
      <c r="Y2395" s="562"/>
    </row>
    <row r="2396" spans="22:25" x14ac:dyDescent="0.2">
      <c r="V2396" s="562"/>
      <c r="X2396" s="562"/>
      <c r="Y2396" s="562"/>
    </row>
    <row r="2397" spans="22:25" x14ac:dyDescent="0.2">
      <c r="V2397" s="562"/>
      <c r="X2397" s="562"/>
      <c r="Y2397" s="562"/>
    </row>
    <row r="2398" spans="22:25" x14ac:dyDescent="0.2">
      <c r="V2398" s="562"/>
      <c r="X2398" s="562"/>
      <c r="Y2398" s="562"/>
    </row>
    <row r="2399" spans="22:25" x14ac:dyDescent="0.2">
      <c r="V2399" s="562"/>
      <c r="X2399" s="562"/>
      <c r="Y2399" s="562"/>
    </row>
    <row r="2400" spans="22:25" x14ac:dyDescent="0.2">
      <c r="V2400" s="562"/>
      <c r="X2400" s="562"/>
      <c r="Y2400" s="562"/>
    </row>
    <row r="2401" spans="22:25" x14ac:dyDescent="0.2">
      <c r="V2401" s="562"/>
      <c r="X2401" s="562"/>
      <c r="Y2401" s="562"/>
    </row>
    <row r="2402" spans="22:25" x14ac:dyDescent="0.2">
      <c r="V2402" s="562"/>
      <c r="X2402" s="562"/>
      <c r="Y2402" s="562"/>
    </row>
    <row r="2403" spans="22:25" x14ac:dyDescent="0.2">
      <c r="V2403" s="562"/>
      <c r="X2403" s="562"/>
      <c r="Y2403" s="562"/>
    </row>
    <row r="2404" spans="22:25" x14ac:dyDescent="0.2">
      <c r="V2404" s="562"/>
      <c r="X2404" s="562"/>
      <c r="Y2404" s="562"/>
    </row>
    <row r="2405" spans="22:25" x14ac:dyDescent="0.2">
      <c r="V2405" s="562"/>
      <c r="X2405" s="562"/>
      <c r="Y2405" s="562"/>
    </row>
    <row r="2406" spans="22:25" x14ac:dyDescent="0.2">
      <c r="V2406" s="562"/>
      <c r="X2406" s="562"/>
      <c r="Y2406" s="562"/>
    </row>
    <row r="2407" spans="22:25" x14ac:dyDescent="0.2">
      <c r="V2407" s="562"/>
      <c r="X2407" s="562"/>
      <c r="Y2407" s="562"/>
    </row>
    <row r="2408" spans="22:25" x14ac:dyDescent="0.2">
      <c r="V2408" s="562"/>
      <c r="X2408" s="562"/>
      <c r="Y2408" s="562"/>
    </row>
    <row r="2409" spans="22:25" x14ac:dyDescent="0.2">
      <c r="V2409" s="562"/>
      <c r="X2409" s="562"/>
      <c r="Y2409" s="562"/>
    </row>
    <row r="2410" spans="22:25" x14ac:dyDescent="0.2">
      <c r="V2410" s="562"/>
      <c r="X2410" s="562"/>
      <c r="Y2410" s="562"/>
    </row>
    <row r="2411" spans="22:25" x14ac:dyDescent="0.2">
      <c r="V2411" s="562"/>
      <c r="X2411" s="562"/>
      <c r="Y2411" s="562"/>
    </row>
    <row r="2412" spans="22:25" x14ac:dyDescent="0.2">
      <c r="V2412" s="562"/>
      <c r="X2412" s="562"/>
      <c r="Y2412" s="562"/>
    </row>
    <row r="2413" spans="22:25" x14ac:dyDescent="0.2">
      <c r="V2413" s="562"/>
      <c r="X2413" s="562"/>
      <c r="Y2413" s="562"/>
    </row>
    <row r="2414" spans="22:25" x14ac:dyDescent="0.2">
      <c r="V2414" s="562"/>
      <c r="X2414" s="562"/>
      <c r="Y2414" s="562"/>
    </row>
    <row r="2415" spans="22:25" x14ac:dyDescent="0.2">
      <c r="V2415" s="562"/>
      <c r="X2415" s="562"/>
      <c r="Y2415" s="562"/>
    </row>
    <row r="2416" spans="22:25" x14ac:dyDescent="0.2">
      <c r="V2416" s="562"/>
      <c r="X2416" s="562"/>
      <c r="Y2416" s="562"/>
    </row>
    <row r="2417" spans="22:25" x14ac:dyDescent="0.2">
      <c r="V2417" s="562"/>
      <c r="X2417" s="562"/>
      <c r="Y2417" s="562"/>
    </row>
    <row r="2418" spans="22:25" x14ac:dyDescent="0.2">
      <c r="V2418" s="562"/>
      <c r="X2418" s="562"/>
      <c r="Y2418" s="562"/>
    </row>
    <row r="2419" spans="22:25" x14ac:dyDescent="0.2">
      <c r="V2419" s="562"/>
      <c r="X2419" s="562"/>
      <c r="Y2419" s="562"/>
    </row>
    <row r="2420" spans="22:25" x14ac:dyDescent="0.2">
      <c r="V2420" s="562"/>
      <c r="X2420" s="562"/>
      <c r="Y2420" s="562"/>
    </row>
    <row r="2421" spans="22:25" x14ac:dyDescent="0.2">
      <c r="V2421" s="562"/>
      <c r="X2421" s="562"/>
      <c r="Y2421" s="562"/>
    </row>
    <row r="2422" spans="22:25" x14ac:dyDescent="0.2">
      <c r="V2422" s="562"/>
      <c r="X2422" s="562"/>
      <c r="Y2422" s="562"/>
    </row>
    <row r="2423" spans="22:25" x14ac:dyDescent="0.2">
      <c r="V2423" s="562"/>
      <c r="X2423" s="562"/>
      <c r="Y2423" s="562"/>
    </row>
    <row r="2424" spans="22:25" x14ac:dyDescent="0.2">
      <c r="V2424" s="562"/>
      <c r="X2424" s="562"/>
      <c r="Y2424" s="562"/>
    </row>
    <row r="2425" spans="22:25" x14ac:dyDescent="0.2">
      <c r="V2425" s="562"/>
      <c r="X2425" s="562"/>
      <c r="Y2425" s="562"/>
    </row>
    <row r="2426" spans="22:25" x14ac:dyDescent="0.2">
      <c r="V2426" s="562"/>
      <c r="X2426" s="562"/>
      <c r="Y2426" s="562"/>
    </row>
    <row r="2427" spans="22:25" x14ac:dyDescent="0.2">
      <c r="V2427" s="562"/>
      <c r="X2427" s="562"/>
      <c r="Y2427" s="562"/>
    </row>
    <row r="2428" spans="22:25" x14ac:dyDescent="0.2">
      <c r="V2428" s="562"/>
      <c r="X2428" s="562"/>
      <c r="Y2428" s="562"/>
    </row>
    <row r="2429" spans="22:25" x14ac:dyDescent="0.2">
      <c r="V2429" s="562"/>
      <c r="X2429" s="562"/>
      <c r="Y2429" s="562"/>
    </row>
    <row r="2430" spans="22:25" x14ac:dyDescent="0.2">
      <c r="V2430" s="562"/>
      <c r="X2430" s="562"/>
      <c r="Y2430" s="562"/>
    </row>
    <row r="2431" spans="22:25" x14ac:dyDescent="0.2">
      <c r="V2431" s="562"/>
      <c r="X2431" s="562"/>
      <c r="Y2431" s="562"/>
    </row>
    <row r="2432" spans="22:25" x14ac:dyDescent="0.2">
      <c r="V2432" s="562"/>
      <c r="X2432" s="562"/>
      <c r="Y2432" s="562"/>
    </row>
    <row r="2433" spans="22:25" x14ac:dyDescent="0.2">
      <c r="V2433" s="562"/>
      <c r="X2433" s="562"/>
      <c r="Y2433" s="562"/>
    </row>
    <row r="2434" spans="22:25" x14ac:dyDescent="0.2">
      <c r="V2434" s="562"/>
      <c r="X2434" s="562"/>
      <c r="Y2434" s="562"/>
    </row>
    <row r="2435" spans="22:25" x14ac:dyDescent="0.2">
      <c r="V2435" s="562"/>
      <c r="X2435" s="562"/>
      <c r="Y2435" s="562"/>
    </row>
    <row r="2436" spans="22:25" x14ac:dyDescent="0.2">
      <c r="V2436" s="562"/>
      <c r="X2436" s="562"/>
      <c r="Y2436" s="562"/>
    </row>
    <row r="2437" spans="22:25" x14ac:dyDescent="0.2">
      <c r="V2437" s="562"/>
      <c r="X2437" s="562"/>
      <c r="Y2437" s="562"/>
    </row>
    <row r="2438" spans="22:25" x14ac:dyDescent="0.2">
      <c r="V2438" s="562"/>
      <c r="X2438" s="562"/>
      <c r="Y2438" s="562"/>
    </row>
    <row r="2439" spans="22:25" x14ac:dyDescent="0.2">
      <c r="V2439" s="562"/>
      <c r="X2439" s="562"/>
      <c r="Y2439" s="562"/>
    </row>
    <row r="2440" spans="22:25" x14ac:dyDescent="0.2">
      <c r="V2440" s="562"/>
      <c r="X2440" s="562"/>
      <c r="Y2440" s="562"/>
    </row>
    <row r="2441" spans="22:25" x14ac:dyDescent="0.2">
      <c r="V2441" s="562"/>
      <c r="X2441" s="562"/>
      <c r="Y2441" s="562"/>
    </row>
    <row r="2442" spans="22:25" x14ac:dyDescent="0.2">
      <c r="V2442" s="562"/>
      <c r="X2442" s="562"/>
      <c r="Y2442" s="562"/>
    </row>
    <row r="2443" spans="22:25" x14ac:dyDescent="0.2">
      <c r="V2443" s="562"/>
      <c r="X2443" s="562"/>
      <c r="Y2443" s="562"/>
    </row>
    <row r="2444" spans="22:25" x14ac:dyDescent="0.2">
      <c r="V2444" s="562"/>
      <c r="X2444" s="562"/>
      <c r="Y2444" s="562"/>
    </row>
    <row r="2445" spans="22:25" x14ac:dyDescent="0.2">
      <c r="V2445" s="562"/>
      <c r="X2445" s="562"/>
      <c r="Y2445" s="562"/>
    </row>
    <row r="2446" spans="22:25" x14ac:dyDescent="0.2">
      <c r="V2446" s="562"/>
      <c r="X2446" s="562"/>
      <c r="Y2446" s="562"/>
    </row>
    <row r="2447" spans="22:25" x14ac:dyDescent="0.2">
      <c r="V2447" s="562"/>
      <c r="X2447" s="562"/>
      <c r="Y2447" s="562"/>
    </row>
    <row r="2448" spans="22:25" x14ac:dyDescent="0.2">
      <c r="V2448" s="562"/>
      <c r="X2448" s="562"/>
      <c r="Y2448" s="562"/>
    </row>
    <row r="2449" spans="22:25" x14ac:dyDescent="0.2">
      <c r="V2449" s="562"/>
      <c r="X2449" s="562"/>
      <c r="Y2449" s="562"/>
    </row>
    <row r="2450" spans="22:25" x14ac:dyDescent="0.2">
      <c r="V2450" s="562"/>
      <c r="X2450" s="562"/>
      <c r="Y2450" s="562"/>
    </row>
    <row r="2451" spans="22:25" x14ac:dyDescent="0.2">
      <c r="V2451" s="562"/>
      <c r="X2451" s="562"/>
      <c r="Y2451" s="562"/>
    </row>
    <row r="2452" spans="22:25" x14ac:dyDescent="0.2">
      <c r="V2452" s="562"/>
      <c r="X2452" s="562"/>
      <c r="Y2452" s="562"/>
    </row>
    <row r="2453" spans="22:25" x14ac:dyDescent="0.2">
      <c r="V2453" s="562"/>
      <c r="X2453" s="562"/>
      <c r="Y2453" s="562"/>
    </row>
    <row r="2454" spans="22:25" x14ac:dyDescent="0.2">
      <c r="V2454" s="562"/>
      <c r="X2454" s="562"/>
      <c r="Y2454" s="562"/>
    </row>
    <row r="2455" spans="22:25" x14ac:dyDescent="0.2">
      <c r="V2455" s="562"/>
      <c r="X2455" s="562"/>
      <c r="Y2455" s="562"/>
    </row>
    <row r="2456" spans="22:25" x14ac:dyDescent="0.2">
      <c r="V2456" s="562"/>
      <c r="X2456" s="562"/>
      <c r="Y2456" s="562"/>
    </row>
    <row r="2457" spans="22:25" x14ac:dyDescent="0.2">
      <c r="V2457" s="562"/>
      <c r="X2457" s="562"/>
      <c r="Y2457" s="562"/>
    </row>
    <row r="2458" spans="22:25" x14ac:dyDescent="0.2">
      <c r="V2458" s="562"/>
      <c r="X2458" s="562"/>
      <c r="Y2458" s="562"/>
    </row>
    <row r="2459" spans="22:25" x14ac:dyDescent="0.2">
      <c r="V2459" s="562"/>
      <c r="X2459" s="562"/>
      <c r="Y2459" s="562"/>
    </row>
    <row r="2460" spans="22:25" x14ac:dyDescent="0.2">
      <c r="V2460" s="562"/>
      <c r="X2460" s="562"/>
      <c r="Y2460" s="562"/>
    </row>
    <row r="2461" spans="22:25" x14ac:dyDescent="0.2">
      <c r="V2461" s="562"/>
      <c r="X2461" s="562"/>
      <c r="Y2461" s="562"/>
    </row>
    <row r="2462" spans="22:25" x14ac:dyDescent="0.2">
      <c r="V2462" s="562"/>
      <c r="X2462" s="562"/>
      <c r="Y2462" s="562"/>
    </row>
    <row r="2463" spans="22:25" x14ac:dyDescent="0.2">
      <c r="V2463" s="562"/>
      <c r="X2463" s="562"/>
      <c r="Y2463" s="562"/>
    </row>
    <row r="2464" spans="22:25" x14ac:dyDescent="0.2">
      <c r="V2464" s="562"/>
      <c r="X2464" s="562"/>
      <c r="Y2464" s="562"/>
    </row>
    <row r="2465" spans="22:25" x14ac:dyDescent="0.2">
      <c r="V2465" s="562"/>
      <c r="X2465" s="562"/>
      <c r="Y2465" s="562"/>
    </row>
    <row r="2466" spans="22:25" x14ac:dyDescent="0.2">
      <c r="V2466" s="562"/>
      <c r="X2466" s="562"/>
      <c r="Y2466" s="562"/>
    </row>
    <row r="2467" spans="22:25" x14ac:dyDescent="0.2">
      <c r="V2467" s="562"/>
      <c r="X2467" s="562"/>
      <c r="Y2467" s="562"/>
    </row>
    <row r="2468" spans="22:25" x14ac:dyDescent="0.2">
      <c r="V2468" s="562"/>
      <c r="X2468" s="562"/>
      <c r="Y2468" s="562"/>
    </row>
    <row r="2469" spans="22:25" x14ac:dyDescent="0.2">
      <c r="V2469" s="562"/>
      <c r="X2469" s="562"/>
      <c r="Y2469" s="562"/>
    </row>
    <row r="2470" spans="22:25" x14ac:dyDescent="0.2">
      <c r="V2470" s="562"/>
      <c r="X2470" s="562"/>
      <c r="Y2470" s="562"/>
    </row>
    <row r="2471" spans="22:25" x14ac:dyDescent="0.2">
      <c r="V2471" s="562"/>
      <c r="X2471" s="562"/>
      <c r="Y2471" s="562"/>
    </row>
    <row r="2472" spans="22:25" x14ac:dyDescent="0.2">
      <c r="V2472" s="562"/>
      <c r="X2472" s="562"/>
      <c r="Y2472" s="562"/>
    </row>
    <row r="2473" spans="22:25" x14ac:dyDescent="0.2">
      <c r="V2473" s="562"/>
      <c r="X2473" s="562"/>
      <c r="Y2473" s="562"/>
    </row>
    <row r="2474" spans="22:25" x14ac:dyDescent="0.2">
      <c r="V2474" s="562"/>
      <c r="X2474" s="562"/>
      <c r="Y2474" s="562"/>
    </row>
    <row r="2475" spans="22:25" x14ac:dyDescent="0.2">
      <c r="V2475" s="562"/>
      <c r="X2475" s="562"/>
      <c r="Y2475" s="562"/>
    </row>
    <row r="2476" spans="22:25" x14ac:dyDescent="0.2">
      <c r="V2476" s="562"/>
      <c r="X2476" s="562"/>
      <c r="Y2476" s="562"/>
    </row>
    <row r="2477" spans="22:25" x14ac:dyDescent="0.2">
      <c r="V2477" s="562"/>
      <c r="X2477" s="562"/>
      <c r="Y2477" s="562"/>
    </row>
    <row r="2478" spans="22:25" x14ac:dyDescent="0.2">
      <c r="V2478" s="562"/>
      <c r="X2478" s="562"/>
      <c r="Y2478" s="562"/>
    </row>
    <row r="2479" spans="22:25" x14ac:dyDescent="0.2">
      <c r="V2479" s="562"/>
      <c r="X2479" s="562"/>
      <c r="Y2479" s="562"/>
    </row>
    <row r="2480" spans="22:25" x14ac:dyDescent="0.2">
      <c r="V2480" s="562"/>
      <c r="X2480" s="562"/>
      <c r="Y2480" s="562"/>
    </row>
    <row r="2481" spans="22:25" x14ac:dyDescent="0.2">
      <c r="V2481" s="562"/>
      <c r="X2481" s="562"/>
      <c r="Y2481" s="562"/>
    </row>
    <row r="2482" spans="22:25" x14ac:dyDescent="0.2">
      <c r="V2482" s="562"/>
      <c r="X2482" s="562"/>
      <c r="Y2482" s="562"/>
    </row>
    <row r="2483" spans="22:25" x14ac:dyDescent="0.2">
      <c r="V2483" s="562"/>
      <c r="X2483" s="562"/>
      <c r="Y2483" s="562"/>
    </row>
    <row r="2484" spans="22:25" x14ac:dyDescent="0.2">
      <c r="V2484" s="562"/>
      <c r="X2484" s="562"/>
      <c r="Y2484" s="562"/>
    </row>
    <row r="2485" spans="22:25" x14ac:dyDescent="0.2">
      <c r="V2485" s="562"/>
      <c r="X2485" s="562"/>
      <c r="Y2485" s="562"/>
    </row>
    <row r="2486" spans="22:25" x14ac:dyDescent="0.2">
      <c r="V2486" s="562"/>
      <c r="X2486" s="562"/>
      <c r="Y2486" s="562"/>
    </row>
    <row r="2487" spans="22:25" x14ac:dyDescent="0.2">
      <c r="V2487" s="562"/>
      <c r="X2487" s="562"/>
      <c r="Y2487" s="562"/>
    </row>
    <row r="2488" spans="22:25" x14ac:dyDescent="0.2">
      <c r="V2488" s="562"/>
      <c r="X2488" s="562"/>
      <c r="Y2488" s="562"/>
    </row>
    <row r="2489" spans="22:25" x14ac:dyDescent="0.2">
      <c r="V2489" s="562"/>
      <c r="X2489" s="562"/>
      <c r="Y2489" s="562"/>
    </row>
    <row r="2490" spans="22:25" x14ac:dyDescent="0.2">
      <c r="V2490" s="562"/>
      <c r="X2490" s="562"/>
      <c r="Y2490" s="562"/>
    </row>
    <row r="2491" spans="22:25" x14ac:dyDescent="0.2">
      <c r="V2491" s="562"/>
      <c r="X2491" s="562"/>
      <c r="Y2491" s="562"/>
    </row>
    <row r="2492" spans="22:25" x14ac:dyDescent="0.2">
      <c r="V2492" s="562"/>
      <c r="X2492" s="562"/>
      <c r="Y2492" s="562"/>
    </row>
    <row r="2493" spans="22:25" x14ac:dyDescent="0.2">
      <c r="V2493" s="562"/>
      <c r="X2493" s="562"/>
      <c r="Y2493" s="562"/>
    </row>
    <row r="2494" spans="22:25" x14ac:dyDescent="0.2">
      <c r="V2494" s="562"/>
      <c r="X2494" s="562"/>
      <c r="Y2494" s="562"/>
    </row>
    <row r="2495" spans="22:25" x14ac:dyDescent="0.2">
      <c r="V2495" s="562"/>
      <c r="X2495" s="562"/>
      <c r="Y2495" s="562"/>
    </row>
    <row r="2496" spans="22:25" x14ac:dyDescent="0.2">
      <c r="V2496" s="562"/>
      <c r="X2496" s="562"/>
      <c r="Y2496" s="562"/>
    </row>
    <row r="2497" spans="22:25" x14ac:dyDescent="0.2">
      <c r="V2497" s="562"/>
      <c r="X2497" s="562"/>
      <c r="Y2497" s="562"/>
    </row>
    <row r="2498" spans="22:25" x14ac:dyDescent="0.2">
      <c r="V2498" s="562"/>
      <c r="X2498" s="562"/>
      <c r="Y2498" s="562"/>
    </row>
    <row r="2499" spans="22:25" x14ac:dyDescent="0.2">
      <c r="V2499" s="562"/>
      <c r="X2499" s="562"/>
      <c r="Y2499" s="562"/>
    </row>
    <row r="2500" spans="22:25" x14ac:dyDescent="0.2">
      <c r="V2500" s="562"/>
      <c r="X2500" s="562"/>
      <c r="Y2500" s="562"/>
    </row>
    <row r="2501" spans="22:25" x14ac:dyDescent="0.2">
      <c r="V2501" s="562"/>
      <c r="X2501" s="562"/>
      <c r="Y2501" s="562"/>
    </row>
    <row r="2502" spans="22:25" x14ac:dyDescent="0.2">
      <c r="V2502" s="562"/>
      <c r="X2502" s="562"/>
      <c r="Y2502" s="562"/>
    </row>
    <row r="2503" spans="22:25" x14ac:dyDescent="0.2">
      <c r="V2503" s="562"/>
      <c r="X2503" s="562"/>
      <c r="Y2503" s="562"/>
    </row>
    <row r="2504" spans="22:25" x14ac:dyDescent="0.2">
      <c r="V2504" s="562"/>
      <c r="X2504" s="562"/>
      <c r="Y2504" s="562"/>
    </row>
    <row r="2505" spans="22:25" x14ac:dyDescent="0.2">
      <c r="V2505" s="562"/>
      <c r="X2505" s="562"/>
      <c r="Y2505" s="562"/>
    </row>
    <row r="2506" spans="22:25" x14ac:dyDescent="0.2">
      <c r="V2506" s="562"/>
      <c r="X2506" s="562"/>
      <c r="Y2506" s="562"/>
    </row>
    <row r="2507" spans="22:25" x14ac:dyDescent="0.2">
      <c r="V2507" s="562"/>
      <c r="X2507" s="562"/>
      <c r="Y2507" s="562"/>
    </row>
    <row r="2508" spans="22:25" x14ac:dyDescent="0.2">
      <c r="V2508" s="562"/>
      <c r="X2508" s="562"/>
      <c r="Y2508" s="562"/>
    </row>
    <row r="2509" spans="22:25" x14ac:dyDescent="0.2">
      <c r="V2509" s="562"/>
      <c r="X2509" s="562"/>
      <c r="Y2509" s="562"/>
    </row>
    <row r="2510" spans="22:25" x14ac:dyDescent="0.2">
      <c r="V2510" s="562"/>
      <c r="X2510" s="562"/>
      <c r="Y2510" s="562"/>
    </row>
    <row r="2511" spans="22:25" x14ac:dyDescent="0.2">
      <c r="V2511" s="562"/>
      <c r="X2511" s="562"/>
      <c r="Y2511" s="562"/>
    </row>
    <row r="2512" spans="22:25" x14ac:dyDescent="0.2">
      <c r="V2512" s="562"/>
      <c r="X2512" s="562"/>
      <c r="Y2512" s="562"/>
    </row>
    <row r="2513" spans="22:25" x14ac:dyDescent="0.2">
      <c r="V2513" s="562"/>
      <c r="X2513" s="562"/>
      <c r="Y2513" s="562"/>
    </row>
    <row r="2514" spans="22:25" x14ac:dyDescent="0.2">
      <c r="V2514" s="562"/>
      <c r="X2514" s="562"/>
      <c r="Y2514" s="562"/>
    </row>
    <row r="2515" spans="22:25" x14ac:dyDescent="0.2">
      <c r="V2515" s="562"/>
      <c r="X2515" s="562"/>
      <c r="Y2515" s="562"/>
    </row>
    <row r="2516" spans="22:25" x14ac:dyDescent="0.2">
      <c r="V2516" s="562"/>
      <c r="X2516" s="562"/>
      <c r="Y2516" s="562"/>
    </row>
    <row r="2517" spans="22:25" x14ac:dyDescent="0.2">
      <c r="V2517" s="562"/>
      <c r="X2517" s="562"/>
      <c r="Y2517" s="562"/>
    </row>
    <row r="2518" spans="22:25" x14ac:dyDescent="0.2">
      <c r="V2518" s="562"/>
      <c r="X2518" s="562"/>
      <c r="Y2518" s="562"/>
    </row>
    <row r="2519" spans="22:25" x14ac:dyDescent="0.2">
      <c r="V2519" s="562"/>
      <c r="X2519" s="562"/>
      <c r="Y2519" s="562"/>
    </row>
    <row r="2520" spans="22:25" x14ac:dyDescent="0.2">
      <c r="V2520" s="562"/>
      <c r="X2520" s="562"/>
      <c r="Y2520" s="562"/>
    </row>
    <row r="2521" spans="22:25" x14ac:dyDescent="0.2">
      <c r="V2521" s="562"/>
      <c r="X2521" s="562"/>
      <c r="Y2521" s="562"/>
    </row>
    <row r="2522" spans="22:25" x14ac:dyDescent="0.2">
      <c r="V2522" s="562"/>
      <c r="X2522" s="562"/>
      <c r="Y2522" s="562"/>
    </row>
    <row r="2523" spans="22:25" x14ac:dyDescent="0.2">
      <c r="V2523" s="562"/>
      <c r="X2523" s="562"/>
      <c r="Y2523" s="562"/>
    </row>
    <row r="2524" spans="22:25" x14ac:dyDescent="0.2">
      <c r="V2524" s="562"/>
      <c r="X2524" s="562"/>
      <c r="Y2524" s="562"/>
    </row>
    <row r="2525" spans="22:25" x14ac:dyDescent="0.2">
      <c r="V2525" s="562"/>
      <c r="X2525" s="562"/>
      <c r="Y2525" s="562"/>
    </row>
    <row r="2526" spans="22:25" x14ac:dyDescent="0.2">
      <c r="V2526" s="562"/>
      <c r="X2526" s="562"/>
      <c r="Y2526" s="562"/>
    </row>
    <row r="2527" spans="22:25" x14ac:dyDescent="0.2">
      <c r="V2527" s="562"/>
      <c r="X2527" s="562"/>
      <c r="Y2527" s="562"/>
    </row>
    <row r="2528" spans="22:25" x14ac:dyDescent="0.2">
      <c r="V2528" s="562"/>
      <c r="X2528" s="562"/>
      <c r="Y2528" s="562"/>
    </row>
    <row r="2529" spans="22:25" x14ac:dyDescent="0.2">
      <c r="V2529" s="562"/>
      <c r="X2529" s="562"/>
      <c r="Y2529" s="562"/>
    </row>
    <row r="2530" spans="22:25" x14ac:dyDescent="0.2">
      <c r="V2530" s="562"/>
      <c r="X2530" s="562"/>
      <c r="Y2530" s="562"/>
    </row>
    <row r="2531" spans="22:25" x14ac:dyDescent="0.2">
      <c r="V2531" s="562"/>
      <c r="X2531" s="562"/>
      <c r="Y2531" s="562"/>
    </row>
    <row r="2532" spans="22:25" x14ac:dyDescent="0.2">
      <c r="V2532" s="562"/>
      <c r="X2532" s="562"/>
      <c r="Y2532" s="562"/>
    </row>
    <row r="2533" spans="22:25" x14ac:dyDescent="0.2">
      <c r="V2533" s="562"/>
      <c r="X2533" s="562"/>
      <c r="Y2533" s="562"/>
    </row>
    <row r="2534" spans="22:25" x14ac:dyDescent="0.2">
      <c r="V2534" s="562"/>
      <c r="X2534" s="562"/>
      <c r="Y2534" s="562"/>
    </row>
    <row r="2535" spans="22:25" x14ac:dyDescent="0.2">
      <c r="V2535" s="562"/>
      <c r="X2535" s="562"/>
      <c r="Y2535" s="562"/>
    </row>
    <row r="2536" spans="22:25" x14ac:dyDescent="0.2">
      <c r="V2536" s="562"/>
      <c r="X2536" s="562"/>
      <c r="Y2536" s="562"/>
    </row>
    <row r="2537" spans="22:25" x14ac:dyDescent="0.2">
      <c r="V2537" s="562"/>
      <c r="X2537" s="562"/>
      <c r="Y2537" s="562"/>
    </row>
    <row r="2538" spans="22:25" x14ac:dyDescent="0.2">
      <c r="V2538" s="562"/>
      <c r="X2538" s="562"/>
      <c r="Y2538" s="562"/>
    </row>
    <row r="2539" spans="22:25" x14ac:dyDescent="0.2">
      <c r="V2539" s="562"/>
      <c r="X2539" s="562"/>
      <c r="Y2539" s="562"/>
    </row>
    <row r="2540" spans="22:25" x14ac:dyDescent="0.2">
      <c r="V2540" s="562"/>
      <c r="X2540" s="562"/>
      <c r="Y2540" s="562"/>
    </row>
    <row r="2541" spans="22:25" x14ac:dyDescent="0.2">
      <c r="V2541" s="562"/>
      <c r="X2541" s="562"/>
      <c r="Y2541" s="562"/>
    </row>
    <row r="2542" spans="22:25" x14ac:dyDescent="0.2">
      <c r="V2542" s="562"/>
      <c r="X2542" s="562"/>
      <c r="Y2542" s="562"/>
    </row>
    <row r="2543" spans="22:25" x14ac:dyDescent="0.2">
      <c r="V2543" s="562"/>
      <c r="X2543" s="562"/>
      <c r="Y2543" s="562"/>
    </row>
    <row r="2544" spans="22:25" x14ac:dyDescent="0.2">
      <c r="V2544" s="562"/>
      <c r="X2544" s="562"/>
      <c r="Y2544" s="562"/>
    </row>
    <row r="2545" spans="22:25" x14ac:dyDescent="0.2">
      <c r="V2545" s="562"/>
      <c r="X2545" s="562"/>
      <c r="Y2545" s="562"/>
    </row>
    <row r="2546" spans="22:25" x14ac:dyDescent="0.2">
      <c r="V2546" s="562"/>
      <c r="X2546" s="562"/>
      <c r="Y2546" s="562"/>
    </row>
    <row r="2547" spans="22:25" x14ac:dyDescent="0.2">
      <c r="V2547" s="562"/>
      <c r="X2547" s="562"/>
      <c r="Y2547" s="562"/>
    </row>
    <row r="2548" spans="22:25" x14ac:dyDescent="0.2">
      <c r="V2548" s="562"/>
      <c r="X2548" s="562"/>
      <c r="Y2548" s="562"/>
    </row>
    <row r="2549" spans="22:25" x14ac:dyDescent="0.2">
      <c r="V2549" s="562"/>
      <c r="X2549" s="562"/>
      <c r="Y2549" s="562"/>
    </row>
    <row r="2550" spans="22:25" x14ac:dyDescent="0.2">
      <c r="V2550" s="562"/>
      <c r="X2550" s="562"/>
      <c r="Y2550" s="562"/>
    </row>
    <row r="2551" spans="22:25" x14ac:dyDescent="0.2">
      <c r="V2551" s="562"/>
      <c r="X2551" s="562"/>
      <c r="Y2551" s="562"/>
    </row>
    <row r="2552" spans="22:25" x14ac:dyDescent="0.2">
      <c r="V2552" s="562"/>
      <c r="X2552" s="562"/>
      <c r="Y2552" s="562"/>
    </row>
    <row r="2553" spans="22:25" x14ac:dyDescent="0.2">
      <c r="V2553" s="562"/>
      <c r="X2553" s="562"/>
      <c r="Y2553" s="562"/>
    </row>
    <row r="2554" spans="22:25" x14ac:dyDescent="0.2">
      <c r="V2554" s="562"/>
      <c r="X2554" s="562"/>
      <c r="Y2554" s="562"/>
    </row>
    <row r="2555" spans="22:25" x14ac:dyDescent="0.2">
      <c r="V2555" s="562"/>
      <c r="X2555" s="562"/>
      <c r="Y2555" s="562"/>
    </row>
    <row r="2556" spans="22:25" x14ac:dyDescent="0.2">
      <c r="V2556" s="562"/>
      <c r="X2556" s="562"/>
      <c r="Y2556" s="562"/>
    </row>
    <row r="2557" spans="22:25" x14ac:dyDescent="0.2">
      <c r="V2557" s="562"/>
      <c r="X2557" s="562"/>
      <c r="Y2557" s="562"/>
    </row>
    <row r="2558" spans="22:25" x14ac:dyDescent="0.2">
      <c r="V2558" s="562"/>
      <c r="X2558" s="562"/>
      <c r="Y2558" s="562"/>
    </row>
    <row r="2559" spans="22:25" x14ac:dyDescent="0.2">
      <c r="V2559" s="562"/>
      <c r="X2559" s="562"/>
      <c r="Y2559" s="562"/>
    </row>
    <row r="2560" spans="22:25" x14ac:dyDescent="0.2">
      <c r="V2560" s="562"/>
      <c r="X2560" s="562"/>
      <c r="Y2560" s="562"/>
    </row>
    <row r="2561" spans="22:25" x14ac:dyDescent="0.2">
      <c r="V2561" s="562"/>
      <c r="X2561" s="562"/>
      <c r="Y2561" s="562"/>
    </row>
    <row r="2562" spans="22:25" x14ac:dyDescent="0.2">
      <c r="V2562" s="562"/>
      <c r="X2562" s="562"/>
      <c r="Y2562" s="562"/>
    </row>
    <row r="2563" spans="22:25" x14ac:dyDescent="0.2">
      <c r="V2563" s="562"/>
      <c r="X2563" s="562"/>
      <c r="Y2563" s="562"/>
    </row>
    <row r="2564" spans="22:25" x14ac:dyDescent="0.2">
      <c r="V2564" s="562"/>
      <c r="X2564" s="562"/>
      <c r="Y2564" s="562"/>
    </row>
    <row r="2565" spans="22:25" x14ac:dyDescent="0.2">
      <c r="V2565" s="562"/>
      <c r="X2565" s="562"/>
      <c r="Y2565" s="562"/>
    </row>
    <row r="2566" spans="22:25" x14ac:dyDescent="0.2">
      <c r="V2566" s="562"/>
      <c r="X2566" s="562"/>
      <c r="Y2566" s="562"/>
    </row>
    <row r="2567" spans="22:25" x14ac:dyDescent="0.2">
      <c r="V2567" s="562"/>
      <c r="X2567" s="562"/>
      <c r="Y2567" s="562"/>
    </row>
    <row r="2568" spans="22:25" x14ac:dyDescent="0.2">
      <c r="V2568" s="562"/>
      <c r="X2568" s="562"/>
      <c r="Y2568" s="562"/>
    </row>
    <row r="2569" spans="22:25" x14ac:dyDescent="0.2">
      <c r="V2569" s="562"/>
      <c r="X2569" s="562"/>
      <c r="Y2569" s="562"/>
    </row>
    <row r="2570" spans="22:25" x14ac:dyDescent="0.2">
      <c r="V2570" s="562"/>
      <c r="X2570" s="562"/>
      <c r="Y2570" s="562"/>
    </row>
    <row r="2571" spans="22:25" x14ac:dyDescent="0.2">
      <c r="V2571" s="562"/>
      <c r="X2571" s="562"/>
      <c r="Y2571" s="562"/>
    </row>
    <row r="2572" spans="22:25" x14ac:dyDescent="0.2">
      <c r="V2572" s="562"/>
      <c r="X2572" s="562"/>
      <c r="Y2572" s="562"/>
    </row>
    <row r="2573" spans="22:25" x14ac:dyDescent="0.2">
      <c r="V2573" s="562"/>
      <c r="X2573" s="562"/>
      <c r="Y2573" s="562"/>
    </row>
    <row r="2574" spans="22:25" x14ac:dyDescent="0.2">
      <c r="V2574" s="562"/>
      <c r="X2574" s="562"/>
      <c r="Y2574" s="562"/>
    </row>
    <row r="2575" spans="22:25" x14ac:dyDescent="0.2">
      <c r="V2575" s="562"/>
      <c r="X2575" s="562"/>
      <c r="Y2575" s="562"/>
    </row>
    <row r="2576" spans="22:25" x14ac:dyDescent="0.2">
      <c r="V2576" s="562"/>
      <c r="X2576" s="562"/>
      <c r="Y2576" s="562"/>
    </row>
    <row r="2577" spans="22:25" x14ac:dyDescent="0.2">
      <c r="V2577" s="562"/>
      <c r="X2577" s="562"/>
      <c r="Y2577" s="562"/>
    </row>
    <row r="2578" spans="22:25" x14ac:dyDescent="0.2">
      <c r="V2578" s="562"/>
      <c r="X2578" s="562"/>
      <c r="Y2578" s="562"/>
    </row>
    <row r="2579" spans="22:25" x14ac:dyDescent="0.2">
      <c r="V2579" s="562"/>
      <c r="X2579" s="562"/>
      <c r="Y2579" s="562"/>
    </row>
    <row r="2580" spans="22:25" x14ac:dyDescent="0.2">
      <c r="V2580" s="562"/>
      <c r="X2580" s="562"/>
      <c r="Y2580" s="562"/>
    </row>
    <row r="2581" spans="22:25" x14ac:dyDescent="0.2">
      <c r="V2581" s="562"/>
      <c r="X2581" s="562"/>
      <c r="Y2581" s="562"/>
    </row>
    <row r="2582" spans="22:25" x14ac:dyDescent="0.2">
      <c r="V2582" s="562"/>
      <c r="X2582" s="562"/>
      <c r="Y2582" s="562"/>
    </row>
    <row r="2583" spans="22:25" x14ac:dyDescent="0.2">
      <c r="V2583" s="562"/>
      <c r="X2583" s="562"/>
      <c r="Y2583" s="562"/>
    </row>
    <row r="2584" spans="22:25" x14ac:dyDescent="0.2">
      <c r="V2584" s="562"/>
      <c r="X2584" s="562"/>
      <c r="Y2584" s="562"/>
    </row>
    <row r="2585" spans="22:25" x14ac:dyDescent="0.2">
      <c r="V2585" s="562"/>
      <c r="X2585" s="562"/>
      <c r="Y2585" s="562"/>
    </row>
    <row r="2586" spans="22:25" x14ac:dyDescent="0.2">
      <c r="V2586" s="562"/>
      <c r="X2586" s="562"/>
      <c r="Y2586" s="562"/>
    </row>
    <row r="2587" spans="22:25" x14ac:dyDescent="0.2">
      <c r="V2587" s="562"/>
      <c r="X2587" s="562"/>
      <c r="Y2587" s="562"/>
    </row>
    <row r="2588" spans="22:25" x14ac:dyDescent="0.2">
      <c r="V2588" s="562"/>
      <c r="X2588" s="562"/>
      <c r="Y2588" s="562"/>
    </row>
    <row r="2589" spans="22:25" x14ac:dyDescent="0.2">
      <c r="V2589" s="562"/>
      <c r="X2589" s="562"/>
      <c r="Y2589" s="562"/>
    </row>
    <row r="2590" spans="22:25" x14ac:dyDescent="0.2">
      <c r="V2590" s="562"/>
      <c r="X2590" s="562"/>
      <c r="Y2590" s="562"/>
    </row>
    <row r="2591" spans="22:25" x14ac:dyDescent="0.2">
      <c r="V2591" s="562"/>
      <c r="X2591" s="562"/>
      <c r="Y2591" s="562"/>
    </row>
    <row r="2592" spans="22:25" x14ac:dyDescent="0.2">
      <c r="V2592" s="562"/>
      <c r="X2592" s="562"/>
      <c r="Y2592" s="562"/>
    </row>
    <row r="2593" spans="22:25" x14ac:dyDescent="0.2">
      <c r="V2593" s="562"/>
      <c r="X2593" s="562"/>
      <c r="Y2593" s="562"/>
    </row>
    <row r="2594" spans="22:25" x14ac:dyDescent="0.2">
      <c r="V2594" s="562"/>
      <c r="X2594" s="562"/>
      <c r="Y2594" s="562"/>
    </row>
    <row r="2595" spans="22:25" x14ac:dyDescent="0.2">
      <c r="V2595" s="562"/>
      <c r="X2595" s="562"/>
      <c r="Y2595" s="562"/>
    </row>
    <row r="2596" spans="22:25" x14ac:dyDescent="0.2">
      <c r="V2596" s="562"/>
      <c r="X2596" s="562"/>
      <c r="Y2596" s="562"/>
    </row>
    <row r="2597" spans="22:25" x14ac:dyDescent="0.2">
      <c r="V2597" s="562"/>
      <c r="X2597" s="562"/>
      <c r="Y2597" s="562"/>
    </row>
    <row r="2598" spans="22:25" x14ac:dyDescent="0.2">
      <c r="V2598" s="562"/>
      <c r="X2598" s="562"/>
      <c r="Y2598" s="562"/>
    </row>
    <row r="2599" spans="22:25" x14ac:dyDescent="0.2">
      <c r="V2599" s="562"/>
      <c r="X2599" s="562"/>
      <c r="Y2599" s="562"/>
    </row>
    <row r="2600" spans="22:25" x14ac:dyDescent="0.2">
      <c r="V2600" s="562"/>
      <c r="X2600" s="562"/>
      <c r="Y2600" s="562"/>
    </row>
    <row r="2601" spans="22:25" x14ac:dyDescent="0.2">
      <c r="V2601" s="562"/>
      <c r="X2601" s="562"/>
      <c r="Y2601" s="562"/>
    </row>
    <row r="2602" spans="22:25" x14ac:dyDescent="0.2">
      <c r="V2602" s="562"/>
      <c r="X2602" s="562"/>
      <c r="Y2602" s="562"/>
    </row>
    <row r="2603" spans="22:25" x14ac:dyDescent="0.2">
      <c r="V2603" s="562"/>
      <c r="X2603" s="562"/>
      <c r="Y2603" s="562"/>
    </row>
    <row r="2604" spans="22:25" x14ac:dyDescent="0.2">
      <c r="V2604" s="562"/>
      <c r="X2604" s="562"/>
      <c r="Y2604" s="562"/>
    </row>
    <row r="2605" spans="22:25" x14ac:dyDescent="0.2">
      <c r="V2605" s="562"/>
      <c r="X2605" s="562"/>
      <c r="Y2605" s="562"/>
    </row>
    <row r="2606" spans="22:25" x14ac:dyDescent="0.2">
      <c r="V2606" s="562"/>
      <c r="X2606" s="562"/>
      <c r="Y2606" s="562"/>
    </row>
    <row r="2607" spans="22:25" x14ac:dyDescent="0.2">
      <c r="V2607" s="562"/>
      <c r="X2607" s="562"/>
      <c r="Y2607" s="562"/>
    </row>
    <row r="2608" spans="22:25" x14ac:dyDescent="0.2">
      <c r="V2608" s="562"/>
      <c r="X2608" s="562"/>
      <c r="Y2608" s="562"/>
    </row>
    <row r="2609" spans="22:25" x14ac:dyDescent="0.2">
      <c r="V2609" s="562"/>
      <c r="X2609" s="562"/>
      <c r="Y2609" s="562"/>
    </row>
    <row r="2610" spans="22:25" x14ac:dyDescent="0.2">
      <c r="V2610" s="562"/>
      <c r="X2610" s="562"/>
      <c r="Y2610" s="562"/>
    </row>
    <row r="2611" spans="22:25" x14ac:dyDescent="0.2">
      <c r="V2611" s="562"/>
      <c r="X2611" s="562"/>
      <c r="Y2611" s="562"/>
    </row>
    <row r="2612" spans="22:25" x14ac:dyDescent="0.2">
      <c r="V2612" s="562"/>
      <c r="X2612" s="562"/>
      <c r="Y2612" s="562"/>
    </row>
    <row r="2613" spans="22:25" x14ac:dyDescent="0.2">
      <c r="V2613" s="562"/>
      <c r="X2613" s="562"/>
      <c r="Y2613" s="562"/>
    </row>
    <row r="2614" spans="22:25" x14ac:dyDescent="0.2">
      <c r="V2614" s="562"/>
      <c r="X2614" s="562"/>
      <c r="Y2614" s="562"/>
    </row>
    <row r="2615" spans="22:25" x14ac:dyDescent="0.2">
      <c r="V2615" s="562"/>
      <c r="X2615" s="562"/>
      <c r="Y2615" s="562"/>
    </row>
    <row r="2616" spans="22:25" x14ac:dyDescent="0.2">
      <c r="V2616" s="562"/>
      <c r="X2616" s="562"/>
      <c r="Y2616" s="562"/>
    </row>
    <row r="2617" spans="22:25" x14ac:dyDescent="0.2">
      <c r="V2617" s="562"/>
      <c r="X2617" s="562"/>
      <c r="Y2617" s="562"/>
    </row>
    <row r="2618" spans="22:25" x14ac:dyDescent="0.2">
      <c r="V2618" s="562"/>
      <c r="X2618" s="562"/>
      <c r="Y2618" s="562"/>
    </row>
    <row r="2619" spans="22:25" x14ac:dyDescent="0.2">
      <c r="V2619" s="562"/>
      <c r="X2619" s="562"/>
      <c r="Y2619" s="562"/>
    </row>
    <row r="2620" spans="22:25" x14ac:dyDescent="0.2">
      <c r="V2620" s="562"/>
      <c r="X2620" s="562"/>
      <c r="Y2620" s="562"/>
    </row>
    <row r="2621" spans="22:25" x14ac:dyDescent="0.2">
      <c r="V2621" s="562"/>
      <c r="X2621" s="562"/>
      <c r="Y2621" s="562"/>
    </row>
    <row r="2622" spans="22:25" x14ac:dyDescent="0.2">
      <c r="V2622" s="562"/>
      <c r="X2622" s="562"/>
      <c r="Y2622" s="562"/>
    </row>
    <row r="2623" spans="22:25" x14ac:dyDescent="0.2">
      <c r="V2623" s="562"/>
      <c r="X2623" s="562"/>
      <c r="Y2623" s="562"/>
    </row>
    <row r="2624" spans="22:25" x14ac:dyDescent="0.2">
      <c r="V2624" s="562"/>
      <c r="X2624" s="562"/>
      <c r="Y2624" s="562"/>
    </row>
    <row r="2625" spans="22:25" x14ac:dyDescent="0.2">
      <c r="V2625" s="562"/>
      <c r="X2625" s="562"/>
      <c r="Y2625" s="562"/>
    </row>
    <row r="2626" spans="22:25" x14ac:dyDescent="0.2">
      <c r="V2626" s="562"/>
      <c r="X2626" s="562"/>
      <c r="Y2626" s="562"/>
    </row>
    <row r="2627" spans="22:25" x14ac:dyDescent="0.2">
      <c r="V2627" s="562"/>
      <c r="X2627" s="562"/>
      <c r="Y2627" s="562"/>
    </row>
    <row r="2628" spans="22:25" x14ac:dyDescent="0.2">
      <c r="V2628" s="562"/>
      <c r="X2628" s="562"/>
      <c r="Y2628" s="562"/>
    </row>
    <row r="2629" spans="22:25" x14ac:dyDescent="0.2">
      <c r="V2629" s="562"/>
      <c r="X2629" s="562"/>
      <c r="Y2629" s="562"/>
    </row>
    <row r="2630" spans="22:25" x14ac:dyDescent="0.2">
      <c r="V2630" s="562"/>
      <c r="X2630" s="562"/>
      <c r="Y2630" s="562"/>
    </row>
    <row r="2631" spans="22:25" x14ac:dyDescent="0.2">
      <c r="V2631" s="562"/>
      <c r="X2631" s="562"/>
      <c r="Y2631" s="562"/>
    </row>
    <row r="2632" spans="22:25" x14ac:dyDescent="0.2">
      <c r="V2632" s="562"/>
      <c r="X2632" s="562"/>
      <c r="Y2632" s="562"/>
    </row>
    <row r="2633" spans="22:25" x14ac:dyDescent="0.2">
      <c r="V2633" s="562"/>
      <c r="X2633" s="562"/>
      <c r="Y2633" s="562"/>
    </row>
    <row r="2634" spans="22:25" x14ac:dyDescent="0.2">
      <c r="V2634" s="562"/>
      <c r="X2634" s="562"/>
      <c r="Y2634" s="562"/>
    </row>
    <row r="2635" spans="22:25" x14ac:dyDescent="0.2">
      <c r="V2635" s="562"/>
      <c r="X2635" s="562"/>
      <c r="Y2635" s="562"/>
    </row>
    <row r="2636" spans="22:25" x14ac:dyDescent="0.2">
      <c r="V2636" s="562"/>
      <c r="X2636" s="562"/>
      <c r="Y2636" s="562"/>
    </row>
    <row r="2637" spans="22:25" x14ac:dyDescent="0.2">
      <c r="V2637" s="562"/>
      <c r="X2637" s="562"/>
      <c r="Y2637" s="562"/>
    </row>
    <row r="2638" spans="22:25" x14ac:dyDescent="0.2">
      <c r="V2638" s="562"/>
      <c r="X2638" s="562"/>
      <c r="Y2638" s="562"/>
    </row>
    <row r="2639" spans="22:25" x14ac:dyDescent="0.2">
      <c r="V2639" s="562"/>
      <c r="X2639" s="562"/>
      <c r="Y2639" s="562"/>
    </row>
    <row r="2640" spans="22:25" x14ac:dyDescent="0.2">
      <c r="V2640" s="562"/>
      <c r="X2640" s="562"/>
      <c r="Y2640" s="562"/>
    </row>
    <row r="2641" spans="22:25" x14ac:dyDescent="0.2">
      <c r="V2641" s="562"/>
      <c r="X2641" s="562"/>
      <c r="Y2641" s="562"/>
    </row>
    <row r="2642" spans="22:25" x14ac:dyDescent="0.2">
      <c r="V2642" s="562"/>
      <c r="X2642" s="562"/>
      <c r="Y2642" s="562"/>
    </row>
    <row r="2643" spans="22:25" x14ac:dyDescent="0.2">
      <c r="V2643" s="562"/>
      <c r="X2643" s="562"/>
      <c r="Y2643" s="562"/>
    </row>
    <row r="2644" spans="22:25" x14ac:dyDescent="0.2">
      <c r="V2644" s="562"/>
      <c r="X2644" s="562"/>
      <c r="Y2644" s="562"/>
    </row>
    <row r="2645" spans="22:25" x14ac:dyDescent="0.2">
      <c r="V2645" s="562"/>
      <c r="X2645" s="562"/>
      <c r="Y2645" s="562"/>
    </row>
    <row r="2646" spans="22:25" x14ac:dyDescent="0.2">
      <c r="V2646" s="562"/>
      <c r="X2646" s="562"/>
      <c r="Y2646" s="562"/>
    </row>
    <row r="2647" spans="22:25" x14ac:dyDescent="0.2">
      <c r="V2647" s="562"/>
      <c r="X2647" s="562"/>
      <c r="Y2647" s="562"/>
    </row>
    <row r="2648" spans="22:25" x14ac:dyDescent="0.2">
      <c r="V2648" s="562"/>
      <c r="X2648" s="562"/>
      <c r="Y2648" s="562"/>
    </row>
    <row r="2649" spans="22:25" x14ac:dyDescent="0.2">
      <c r="V2649" s="562"/>
      <c r="X2649" s="562"/>
      <c r="Y2649" s="562"/>
    </row>
    <row r="2650" spans="22:25" x14ac:dyDescent="0.2">
      <c r="V2650" s="562"/>
      <c r="X2650" s="562"/>
      <c r="Y2650" s="562"/>
    </row>
    <row r="2651" spans="22:25" x14ac:dyDescent="0.2">
      <c r="V2651" s="562"/>
      <c r="X2651" s="562"/>
      <c r="Y2651" s="562"/>
    </row>
    <row r="2652" spans="22:25" x14ac:dyDescent="0.2">
      <c r="V2652" s="562"/>
      <c r="X2652" s="562"/>
      <c r="Y2652" s="562"/>
    </row>
    <row r="2653" spans="22:25" x14ac:dyDescent="0.2">
      <c r="V2653" s="562"/>
      <c r="X2653" s="562"/>
      <c r="Y2653" s="562"/>
    </row>
    <row r="2654" spans="22:25" x14ac:dyDescent="0.2">
      <c r="V2654" s="562"/>
      <c r="X2654" s="562"/>
      <c r="Y2654" s="562"/>
    </row>
    <row r="2655" spans="22:25" x14ac:dyDescent="0.2">
      <c r="V2655" s="562"/>
      <c r="X2655" s="562"/>
      <c r="Y2655" s="562"/>
    </row>
    <row r="2656" spans="22:25" x14ac:dyDescent="0.2">
      <c r="V2656" s="562"/>
      <c r="X2656" s="562"/>
      <c r="Y2656" s="562"/>
    </row>
    <row r="2657" spans="22:25" x14ac:dyDescent="0.2">
      <c r="V2657" s="562"/>
      <c r="X2657" s="562"/>
      <c r="Y2657" s="562"/>
    </row>
    <row r="2658" spans="22:25" x14ac:dyDescent="0.2">
      <c r="V2658" s="562"/>
      <c r="X2658" s="562"/>
      <c r="Y2658" s="562"/>
    </row>
    <row r="2659" spans="22:25" x14ac:dyDescent="0.2">
      <c r="V2659" s="562"/>
      <c r="X2659" s="562"/>
      <c r="Y2659" s="562"/>
    </row>
    <row r="2660" spans="22:25" x14ac:dyDescent="0.2">
      <c r="V2660" s="562"/>
      <c r="X2660" s="562"/>
      <c r="Y2660" s="562"/>
    </row>
    <row r="2661" spans="22:25" x14ac:dyDescent="0.2">
      <c r="V2661" s="562"/>
      <c r="X2661" s="562"/>
      <c r="Y2661" s="562"/>
    </row>
    <row r="2662" spans="22:25" x14ac:dyDescent="0.2">
      <c r="V2662" s="562"/>
      <c r="X2662" s="562"/>
      <c r="Y2662" s="562"/>
    </row>
    <row r="2663" spans="22:25" x14ac:dyDescent="0.2">
      <c r="V2663" s="562"/>
      <c r="X2663" s="562"/>
      <c r="Y2663" s="562"/>
    </row>
    <row r="2664" spans="22:25" x14ac:dyDescent="0.2">
      <c r="V2664" s="562"/>
      <c r="X2664" s="562"/>
      <c r="Y2664" s="562"/>
    </row>
    <row r="2665" spans="22:25" x14ac:dyDescent="0.2">
      <c r="V2665" s="562"/>
      <c r="X2665" s="562"/>
      <c r="Y2665" s="562"/>
    </row>
    <row r="2666" spans="22:25" x14ac:dyDescent="0.2">
      <c r="V2666" s="562"/>
      <c r="X2666" s="562"/>
      <c r="Y2666" s="562"/>
    </row>
    <row r="2667" spans="22:25" x14ac:dyDescent="0.2">
      <c r="V2667" s="562"/>
      <c r="X2667" s="562"/>
      <c r="Y2667" s="562"/>
    </row>
    <row r="2668" spans="22:25" x14ac:dyDescent="0.2">
      <c r="V2668" s="562"/>
      <c r="X2668" s="562"/>
      <c r="Y2668" s="562"/>
    </row>
    <row r="2669" spans="22:25" x14ac:dyDescent="0.2">
      <c r="V2669" s="562"/>
      <c r="X2669" s="562"/>
      <c r="Y2669" s="562"/>
    </row>
    <row r="2670" spans="22:25" x14ac:dyDescent="0.2">
      <c r="V2670" s="562"/>
      <c r="X2670" s="562"/>
      <c r="Y2670" s="562"/>
    </row>
    <row r="2671" spans="22:25" x14ac:dyDescent="0.2">
      <c r="V2671" s="562"/>
      <c r="X2671" s="562"/>
      <c r="Y2671" s="562"/>
    </row>
    <row r="2672" spans="22:25" x14ac:dyDescent="0.2">
      <c r="V2672" s="562"/>
      <c r="X2672" s="562"/>
      <c r="Y2672" s="562"/>
    </row>
    <row r="2673" spans="22:25" x14ac:dyDescent="0.2">
      <c r="V2673" s="562"/>
      <c r="X2673" s="562"/>
      <c r="Y2673" s="562"/>
    </row>
    <row r="2674" spans="22:25" x14ac:dyDescent="0.2">
      <c r="V2674" s="562"/>
      <c r="X2674" s="562"/>
      <c r="Y2674" s="562"/>
    </row>
    <row r="2675" spans="22:25" x14ac:dyDescent="0.2">
      <c r="V2675" s="562"/>
      <c r="X2675" s="562"/>
      <c r="Y2675" s="562"/>
    </row>
    <row r="2676" spans="22:25" x14ac:dyDescent="0.2">
      <c r="V2676" s="562"/>
      <c r="X2676" s="562"/>
      <c r="Y2676" s="562"/>
    </row>
    <row r="2677" spans="22:25" x14ac:dyDescent="0.2">
      <c r="V2677" s="562"/>
      <c r="X2677" s="562"/>
      <c r="Y2677" s="562"/>
    </row>
    <row r="2678" spans="22:25" x14ac:dyDescent="0.2">
      <c r="V2678" s="562"/>
      <c r="X2678" s="562"/>
      <c r="Y2678" s="562"/>
    </row>
    <row r="2679" spans="22:25" x14ac:dyDescent="0.2">
      <c r="V2679" s="562"/>
      <c r="X2679" s="562"/>
      <c r="Y2679" s="562"/>
    </row>
    <row r="2680" spans="22:25" x14ac:dyDescent="0.2">
      <c r="V2680" s="562"/>
      <c r="X2680" s="562"/>
      <c r="Y2680" s="562"/>
    </row>
    <row r="2681" spans="22:25" x14ac:dyDescent="0.2">
      <c r="V2681" s="562"/>
      <c r="X2681" s="562"/>
      <c r="Y2681" s="562"/>
    </row>
    <row r="2682" spans="22:25" x14ac:dyDescent="0.2">
      <c r="V2682" s="562"/>
      <c r="X2682" s="562"/>
      <c r="Y2682" s="562"/>
    </row>
    <row r="2683" spans="22:25" x14ac:dyDescent="0.2">
      <c r="V2683" s="562"/>
      <c r="X2683" s="562"/>
      <c r="Y2683" s="562"/>
    </row>
    <row r="2684" spans="22:25" x14ac:dyDescent="0.2">
      <c r="V2684" s="562"/>
      <c r="X2684" s="562"/>
      <c r="Y2684" s="562"/>
    </row>
    <row r="2685" spans="22:25" x14ac:dyDescent="0.2">
      <c r="V2685" s="562"/>
      <c r="X2685" s="562"/>
      <c r="Y2685" s="562"/>
    </row>
    <row r="2686" spans="22:25" x14ac:dyDescent="0.2">
      <c r="V2686" s="562"/>
      <c r="X2686" s="562"/>
      <c r="Y2686" s="562"/>
    </row>
    <row r="2687" spans="22:25" x14ac:dyDescent="0.2">
      <c r="V2687" s="562"/>
      <c r="X2687" s="562"/>
      <c r="Y2687" s="562"/>
    </row>
    <row r="2688" spans="22:25" x14ac:dyDescent="0.2">
      <c r="V2688" s="562"/>
      <c r="X2688" s="562"/>
      <c r="Y2688" s="562"/>
    </row>
    <row r="2689" spans="22:25" x14ac:dyDescent="0.2">
      <c r="V2689" s="562"/>
      <c r="X2689" s="562"/>
      <c r="Y2689" s="562"/>
    </row>
    <row r="2690" spans="22:25" x14ac:dyDescent="0.2">
      <c r="V2690" s="562"/>
      <c r="X2690" s="562"/>
      <c r="Y2690" s="562"/>
    </row>
    <row r="2691" spans="22:25" x14ac:dyDescent="0.2">
      <c r="V2691" s="562"/>
      <c r="X2691" s="562"/>
      <c r="Y2691" s="562"/>
    </row>
    <row r="2692" spans="22:25" x14ac:dyDescent="0.2">
      <c r="V2692" s="562"/>
      <c r="X2692" s="562"/>
      <c r="Y2692" s="562"/>
    </row>
    <row r="2693" spans="22:25" x14ac:dyDescent="0.2">
      <c r="V2693" s="562"/>
      <c r="X2693" s="562"/>
      <c r="Y2693" s="562"/>
    </row>
    <row r="2694" spans="22:25" x14ac:dyDescent="0.2">
      <c r="V2694" s="562"/>
      <c r="X2694" s="562"/>
      <c r="Y2694" s="562"/>
    </row>
    <row r="2695" spans="22:25" x14ac:dyDescent="0.2">
      <c r="V2695" s="562"/>
      <c r="X2695" s="562"/>
      <c r="Y2695" s="562"/>
    </row>
    <row r="2696" spans="22:25" x14ac:dyDescent="0.2">
      <c r="V2696" s="562"/>
      <c r="X2696" s="562"/>
      <c r="Y2696" s="562"/>
    </row>
    <row r="2697" spans="22:25" x14ac:dyDescent="0.2">
      <c r="V2697" s="562"/>
      <c r="X2697" s="562"/>
      <c r="Y2697" s="562"/>
    </row>
    <row r="2698" spans="22:25" x14ac:dyDescent="0.2">
      <c r="V2698" s="562"/>
      <c r="X2698" s="562"/>
      <c r="Y2698" s="562"/>
    </row>
    <row r="2699" spans="22:25" x14ac:dyDescent="0.2">
      <c r="V2699" s="562"/>
      <c r="X2699" s="562"/>
      <c r="Y2699" s="562"/>
    </row>
    <row r="2700" spans="22:25" x14ac:dyDescent="0.2">
      <c r="V2700" s="562"/>
      <c r="X2700" s="562"/>
      <c r="Y2700" s="562"/>
    </row>
    <row r="2701" spans="22:25" x14ac:dyDescent="0.2">
      <c r="V2701" s="562"/>
      <c r="X2701" s="562"/>
      <c r="Y2701" s="562"/>
    </row>
    <row r="2702" spans="22:25" x14ac:dyDescent="0.2">
      <c r="V2702" s="562"/>
      <c r="X2702" s="562"/>
      <c r="Y2702" s="562"/>
    </row>
    <row r="2703" spans="22:25" x14ac:dyDescent="0.2">
      <c r="V2703" s="562"/>
      <c r="X2703" s="562"/>
      <c r="Y2703" s="562"/>
    </row>
    <row r="2704" spans="22:25" x14ac:dyDescent="0.2">
      <c r="V2704" s="562"/>
      <c r="X2704" s="562"/>
      <c r="Y2704" s="562"/>
    </row>
    <row r="2705" spans="22:25" x14ac:dyDescent="0.2">
      <c r="V2705" s="562"/>
      <c r="X2705" s="562"/>
      <c r="Y2705" s="562"/>
    </row>
    <row r="2706" spans="22:25" x14ac:dyDescent="0.2">
      <c r="V2706" s="562"/>
      <c r="X2706" s="562"/>
      <c r="Y2706" s="562"/>
    </row>
    <row r="2707" spans="22:25" x14ac:dyDescent="0.2">
      <c r="V2707" s="562"/>
      <c r="X2707" s="562"/>
      <c r="Y2707" s="562"/>
    </row>
    <row r="2708" spans="22:25" x14ac:dyDescent="0.2">
      <c r="V2708" s="562"/>
      <c r="X2708" s="562"/>
      <c r="Y2708" s="562"/>
    </row>
    <row r="2709" spans="22:25" x14ac:dyDescent="0.2">
      <c r="V2709" s="562"/>
      <c r="X2709" s="562"/>
      <c r="Y2709" s="562"/>
    </row>
    <row r="2710" spans="22:25" x14ac:dyDescent="0.2">
      <c r="V2710" s="562"/>
      <c r="X2710" s="562"/>
      <c r="Y2710" s="562"/>
    </row>
    <row r="2711" spans="22:25" x14ac:dyDescent="0.2">
      <c r="V2711" s="562"/>
      <c r="X2711" s="562"/>
      <c r="Y2711" s="562"/>
    </row>
    <row r="2712" spans="22:25" x14ac:dyDescent="0.2">
      <c r="V2712" s="562"/>
      <c r="X2712" s="562"/>
      <c r="Y2712" s="562"/>
    </row>
    <row r="2713" spans="22:25" x14ac:dyDescent="0.2">
      <c r="V2713" s="562"/>
      <c r="X2713" s="562"/>
      <c r="Y2713" s="562"/>
    </row>
    <row r="2714" spans="22:25" x14ac:dyDescent="0.2">
      <c r="V2714" s="562"/>
      <c r="X2714" s="562"/>
      <c r="Y2714" s="562"/>
    </row>
    <row r="2715" spans="22:25" x14ac:dyDescent="0.2">
      <c r="V2715" s="562"/>
      <c r="X2715" s="562"/>
      <c r="Y2715" s="562"/>
    </row>
    <row r="2716" spans="22:25" x14ac:dyDescent="0.2">
      <c r="V2716" s="562"/>
      <c r="X2716" s="562"/>
      <c r="Y2716" s="562"/>
    </row>
    <row r="2717" spans="22:25" x14ac:dyDescent="0.2">
      <c r="V2717" s="562"/>
      <c r="X2717" s="562"/>
      <c r="Y2717" s="562"/>
    </row>
    <row r="2718" spans="22:25" x14ac:dyDescent="0.2">
      <c r="V2718" s="562"/>
      <c r="X2718" s="562"/>
      <c r="Y2718" s="562"/>
    </row>
    <row r="2719" spans="22:25" x14ac:dyDescent="0.2">
      <c r="V2719" s="562"/>
      <c r="X2719" s="562"/>
      <c r="Y2719" s="562"/>
    </row>
    <row r="2720" spans="22:25" x14ac:dyDescent="0.2">
      <c r="V2720" s="562"/>
      <c r="X2720" s="562"/>
      <c r="Y2720" s="562"/>
    </row>
    <row r="2721" spans="22:25" x14ac:dyDescent="0.2">
      <c r="V2721" s="562"/>
      <c r="X2721" s="562"/>
      <c r="Y2721" s="562"/>
    </row>
    <row r="2722" spans="22:25" x14ac:dyDescent="0.2">
      <c r="V2722" s="562"/>
      <c r="X2722" s="562"/>
      <c r="Y2722" s="562"/>
    </row>
    <row r="2723" spans="22:25" x14ac:dyDescent="0.2">
      <c r="V2723" s="562"/>
      <c r="X2723" s="562"/>
      <c r="Y2723" s="562"/>
    </row>
    <row r="2724" spans="22:25" x14ac:dyDescent="0.2">
      <c r="V2724" s="562"/>
      <c r="X2724" s="562"/>
      <c r="Y2724" s="562"/>
    </row>
    <row r="2725" spans="22:25" x14ac:dyDescent="0.2">
      <c r="V2725" s="562"/>
      <c r="X2725" s="562"/>
      <c r="Y2725" s="562"/>
    </row>
    <row r="2726" spans="22:25" x14ac:dyDescent="0.2">
      <c r="V2726" s="562"/>
      <c r="X2726" s="562"/>
      <c r="Y2726" s="562"/>
    </row>
    <row r="2727" spans="22:25" x14ac:dyDescent="0.2">
      <c r="V2727" s="562"/>
      <c r="X2727" s="562"/>
      <c r="Y2727" s="562"/>
    </row>
    <row r="2728" spans="22:25" x14ac:dyDescent="0.2">
      <c r="V2728" s="562"/>
      <c r="X2728" s="562"/>
      <c r="Y2728" s="562"/>
    </row>
    <row r="2729" spans="22:25" x14ac:dyDescent="0.2">
      <c r="V2729" s="562"/>
      <c r="X2729" s="562"/>
      <c r="Y2729" s="562"/>
    </row>
    <row r="2730" spans="22:25" x14ac:dyDescent="0.2">
      <c r="V2730" s="562"/>
      <c r="X2730" s="562"/>
      <c r="Y2730" s="562"/>
    </row>
    <row r="2731" spans="22:25" x14ac:dyDescent="0.2">
      <c r="V2731" s="562"/>
      <c r="X2731" s="562"/>
      <c r="Y2731" s="562"/>
    </row>
    <row r="2732" spans="22:25" x14ac:dyDescent="0.2">
      <c r="V2732" s="562"/>
      <c r="X2732" s="562"/>
      <c r="Y2732" s="562"/>
    </row>
    <row r="2733" spans="22:25" x14ac:dyDescent="0.2">
      <c r="V2733" s="562"/>
      <c r="X2733" s="562"/>
      <c r="Y2733" s="562"/>
    </row>
    <row r="2734" spans="22:25" x14ac:dyDescent="0.2">
      <c r="V2734" s="562"/>
      <c r="X2734" s="562"/>
      <c r="Y2734" s="562"/>
    </row>
    <row r="2735" spans="22:25" x14ac:dyDescent="0.2">
      <c r="V2735" s="562"/>
      <c r="X2735" s="562"/>
      <c r="Y2735" s="562"/>
    </row>
    <row r="2736" spans="22:25" x14ac:dyDescent="0.2">
      <c r="V2736" s="562"/>
      <c r="X2736" s="562"/>
      <c r="Y2736" s="562"/>
    </row>
    <row r="2737" spans="22:25" x14ac:dyDescent="0.2">
      <c r="V2737" s="562"/>
      <c r="X2737" s="562"/>
      <c r="Y2737" s="562"/>
    </row>
    <row r="2738" spans="22:25" x14ac:dyDescent="0.2">
      <c r="V2738" s="562"/>
      <c r="X2738" s="562"/>
      <c r="Y2738" s="562"/>
    </row>
    <row r="2739" spans="22:25" x14ac:dyDescent="0.2">
      <c r="V2739" s="562"/>
      <c r="X2739" s="562"/>
      <c r="Y2739" s="562"/>
    </row>
    <row r="2740" spans="22:25" x14ac:dyDescent="0.2">
      <c r="V2740" s="562"/>
      <c r="X2740" s="562"/>
      <c r="Y2740" s="562"/>
    </row>
    <row r="2741" spans="22:25" x14ac:dyDescent="0.2">
      <c r="V2741" s="562"/>
      <c r="X2741" s="562"/>
      <c r="Y2741" s="562"/>
    </row>
    <row r="2742" spans="22:25" x14ac:dyDescent="0.2">
      <c r="V2742" s="562"/>
      <c r="X2742" s="562"/>
      <c r="Y2742" s="562"/>
    </row>
    <row r="2743" spans="22:25" x14ac:dyDescent="0.2">
      <c r="V2743" s="562"/>
      <c r="X2743" s="562"/>
      <c r="Y2743" s="562"/>
    </row>
    <row r="2744" spans="22:25" x14ac:dyDescent="0.2">
      <c r="V2744" s="562"/>
      <c r="X2744" s="562"/>
      <c r="Y2744" s="562"/>
    </row>
    <row r="2745" spans="22:25" x14ac:dyDescent="0.2">
      <c r="V2745" s="562"/>
      <c r="X2745" s="562"/>
      <c r="Y2745" s="562"/>
    </row>
    <row r="2746" spans="22:25" x14ac:dyDescent="0.2">
      <c r="V2746" s="562"/>
      <c r="X2746" s="562"/>
      <c r="Y2746" s="562"/>
    </row>
    <row r="2747" spans="22:25" x14ac:dyDescent="0.2">
      <c r="V2747" s="562"/>
      <c r="X2747" s="562"/>
      <c r="Y2747" s="562"/>
    </row>
    <row r="2748" spans="22:25" x14ac:dyDescent="0.2">
      <c r="V2748" s="562"/>
      <c r="X2748" s="562"/>
      <c r="Y2748" s="562"/>
    </row>
    <row r="2749" spans="22:25" x14ac:dyDescent="0.2">
      <c r="V2749" s="562"/>
      <c r="X2749" s="562"/>
      <c r="Y2749" s="562"/>
    </row>
    <row r="2750" spans="22:25" x14ac:dyDescent="0.2">
      <c r="V2750" s="562"/>
      <c r="X2750" s="562"/>
      <c r="Y2750" s="562"/>
    </row>
    <row r="2751" spans="22:25" x14ac:dyDescent="0.2">
      <c r="V2751" s="562"/>
      <c r="X2751" s="562"/>
      <c r="Y2751" s="562"/>
    </row>
    <row r="2752" spans="22:25" x14ac:dyDescent="0.2">
      <c r="V2752" s="562"/>
      <c r="X2752" s="562"/>
      <c r="Y2752" s="562"/>
    </row>
    <row r="2753" spans="22:25" x14ac:dyDescent="0.2">
      <c r="V2753" s="562"/>
      <c r="X2753" s="562"/>
      <c r="Y2753" s="562"/>
    </row>
    <row r="2754" spans="22:25" x14ac:dyDescent="0.2">
      <c r="V2754" s="562"/>
      <c r="X2754" s="562"/>
      <c r="Y2754" s="562"/>
    </row>
    <row r="2755" spans="22:25" x14ac:dyDescent="0.2">
      <c r="V2755" s="562"/>
      <c r="X2755" s="562"/>
      <c r="Y2755" s="562"/>
    </row>
    <row r="2756" spans="22:25" x14ac:dyDescent="0.2">
      <c r="V2756" s="562"/>
      <c r="X2756" s="562"/>
      <c r="Y2756" s="562"/>
    </row>
    <row r="2757" spans="22:25" x14ac:dyDescent="0.2">
      <c r="V2757" s="562"/>
      <c r="X2757" s="562"/>
      <c r="Y2757" s="562"/>
    </row>
    <row r="2758" spans="22:25" x14ac:dyDescent="0.2">
      <c r="V2758" s="562"/>
      <c r="X2758" s="562"/>
      <c r="Y2758" s="562"/>
    </row>
    <row r="2759" spans="22:25" x14ac:dyDescent="0.2">
      <c r="V2759" s="562"/>
      <c r="X2759" s="562"/>
      <c r="Y2759" s="562"/>
    </row>
    <row r="2760" spans="22:25" x14ac:dyDescent="0.2">
      <c r="V2760" s="562"/>
      <c r="X2760" s="562"/>
      <c r="Y2760" s="562"/>
    </row>
    <row r="2761" spans="22:25" x14ac:dyDescent="0.2">
      <c r="V2761" s="562"/>
      <c r="X2761" s="562"/>
      <c r="Y2761" s="562"/>
    </row>
    <row r="2762" spans="22:25" x14ac:dyDescent="0.2">
      <c r="V2762" s="562"/>
      <c r="X2762" s="562"/>
      <c r="Y2762" s="562"/>
    </row>
    <row r="2763" spans="22:25" x14ac:dyDescent="0.2">
      <c r="V2763" s="562"/>
      <c r="X2763" s="562"/>
      <c r="Y2763" s="562"/>
    </row>
    <row r="2764" spans="22:25" x14ac:dyDescent="0.2">
      <c r="V2764" s="562"/>
      <c r="X2764" s="562"/>
      <c r="Y2764" s="562"/>
    </row>
    <row r="2765" spans="22:25" x14ac:dyDescent="0.2">
      <c r="V2765" s="562"/>
      <c r="X2765" s="562"/>
      <c r="Y2765" s="562"/>
    </row>
    <row r="2766" spans="22:25" x14ac:dyDescent="0.2">
      <c r="V2766" s="562"/>
      <c r="X2766" s="562"/>
      <c r="Y2766" s="562"/>
    </row>
    <row r="2767" spans="22:25" x14ac:dyDescent="0.2">
      <c r="V2767" s="562"/>
      <c r="X2767" s="562"/>
      <c r="Y2767" s="562"/>
    </row>
    <row r="2768" spans="22:25" x14ac:dyDescent="0.2">
      <c r="V2768" s="562"/>
      <c r="X2768" s="562"/>
      <c r="Y2768" s="562"/>
    </row>
    <row r="2769" spans="22:25" x14ac:dyDescent="0.2">
      <c r="V2769" s="562"/>
      <c r="X2769" s="562"/>
      <c r="Y2769" s="562"/>
    </row>
    <row r="2770" spans="22:25" x14ac:dyDescent="0.2">
      <c r="V2770" s="562"/>
      <c r="X2770" s="562"/>
      <c r="Y2770" s="562"/>
    </row>
    <row r="2771" spans="22:25" x14ac:dyDescent="0.2">
      <c r="V2771" s="562"/>
      <c r="X2771" s="562"/>
      <c r="Y2771" s="562"/>
    </row>
    <row r="2772" spans="22:25" x14ac:dyDescent="0.2">
      <c r="V2772" s="562"/>
      <c r="X2772" s="562"/>
      <c r="Y2772" s="562"/>
    </row>
    <row r="2773" spans="22:25" x14ac:dyDescent="0.2">
      <c r="V2773" s="562"/>
      <c r="X2773" s="562"/>
      <c r="Y2773" s="562"/>
    </row>
    <row r="2774" spans="22:25" x14ac:dyDescent="0.2">
      <c r="V2774" s="562"/>
      <c r="X2774" s="562"/>
      <c r="Y2774" s="562"/>
    </row>
    <row r="2775" spans="22:25" x14ac:dyDescent="0.2">
      <c r="V2775" s="562"/>
      <c r="X2775" s="562"/>
      <c r="Y2775" s="562"/>
    </row>
    <row r="2776" spans="22:25" x14ac:dyDescent="0.2">
      <c r="V2776" s="562"/>
      <c r="X2776" s="562"/>
      <c r="Y2776" s="562"/>
    </row>
    <row r="2777" spans="22:25" x14ac:dyDescent="0.2">
      <c r="V2777" s="562"/>
      <c r="X2777" s="562"/>
      <c r="Y2777" s="562"/>
    </row>
    <row r="2778" spans="22:25" x14ac:dyDescent="0.2">
      <c r="V2778" s="562"/>
      <c r="X2778" s="562"/>
      <c r="Y2778" s="562"/>
    </row>
    <row r="2779" spans="22:25" x14ac:dyDescent="0.2">
      <c r="V2779" s="562"/>
      <c r="X2779" s="562"/>
      <c r="Y2779" s="562"/>
    </row>
    <row r="2780" spans="22:25" x14ac:dyDescent="0.2">
      <c r="V2780" s="562"/>
      <c r="X2780" s="562"/>
      <c r="Y2780" s="562"/>
    </row>
    <row r="2781" spans="22:25" x14ac:dyDescent="0.2">
      <c r="V2781" s="562"/>
      <c r="X2781" s="562"/>
      <c r="Y2781" s="562"/>
    </row>
    <row r="2782" spans="22:25" x14ac:dyDescent="0.2">
      <c r="V2782" s="562"/>
      <c r="X2782" s="562"/>
      <c r="Y2782" s="562"/>
    </row>
    <row r="2783" spans="22:25" x14ac:dyDescent="0.2">
      <c r="V2783" s="562"/>
      <c r="X2783" s="562"/>
      <c r="Y2783" s="562"/>
    </row>
    <row r="2784" spans="22:25" x14ac:dyDescent="0.2">
      <c r="V2784" s="562"/>
      <c r="X2784" s="562"/>
      <c r="Y2784" s="562"/>
    </row>
    <row r="2785" spans="22:25" x14ac:dyDescent="0.2">
      <c r="V2785" s="562"/>
      <c r="X2785" s="562"/>
      <c r="Y2785" s="562"/>
    </row>
    <row r="2786" spans="22:25" x14ac:dyDescent="0.2">
      <c r="V2786" s="562"/>
      <c r="X2786" s="562"/>
      <c r="Y2786" s="562"/>
    </row>
    <row r="2787" spans="22:25" x14ac:dyDescent="0.2">
      <c r="V2787" s="562"/>
      <c r="X2787" s="562"/>
      <c r="Y2787" s="562"/>
    </row>
    <row r="2788" spans="22:25" x14ac:dyDescent="0.2">
      <c r="V2788" s="562"/>
      <c r="X2788" s="562"/>
      <c r="Y2788" s="562"/>
    </row>
    <row r="2789" spans="22:25" x14ac:dyDescent="0.2">
      <c r="V2789" s="562"/>
      <c r="X2789" s="562"/>
      <c r="Y2789" s="562"/>
    </row>
    <row r="2790" spans="22:25" x14ac:dyDescent="0.2">
      <c r="V2790" s="562"/>
      <c r="X2790" s="562"/>
      <c r="Y2790" s="562"/>
    </row>
    <row r="2791" spans="22:25" x14ac:dyDescent="0.2">
      <c r="V2791" s="562"/>
      <c r="X2791" s="562"/>
      <c r="Y2791" s="562"/>
    </row>
    <row r="2792" spans="22:25" x14ac:dyDescent="0.2">
      <c r="V2792" s="562"/>
      <c r="X2792" s="562"/>
      <c r="Y2792" s="562"/>
    </row>
    <row r="2793" spans="22:25" x14ac:dyDescent="0.2">
      <c r="V2793" s="562"/>
      <c r="X2793" s="562"/>
      <c r="Y2793" s="562"/>
    </row>
    <row r="2794" spans="22:25" x14ac:dyDescent="0.2">
      <c r="V2794" s="562"/>
      <c r="X2794" s="562"/>
      <c r="Y2794" s="562"/>
    </row>
    <row r="2795" spans="22:25" x14ac:dyDescent="0.2">
      <c r="V2795" s="562"/>
      <c r="X2795" s="562"/>
      <c r="Y2795" s="562"/>
    </row>
    <row r="2796" spans="22:25" x14ac:dyDescent="0.2">
      <c r="V2796" s="562"/>
      <c r="X2796" s="562"/>
      <c r="Y2796" s="562"/>
    </row>
    <row r="2797" spans="22:25" x14ac:dyDescent="0.2">
      <c r="V2797" s="562"/>
      <c r="X2797" s="562"/>
      <c r="Y2797" s="562"/>
    </row>
    <row r="2798" spans="22:25" x14ac:dyDescent="0.2">
      <c r="V2798" s="562"/>
      <c r="X2798" s="562"/>
      <c r="Y2798" s="562"/>
    </row>
    <row r="2799" spans="22:25" x14ac:dyDescent="0.2">
      <c r="V2799" s="562"/>
      <c r="X2799" s="562"/>
      <c r="Y2799" s="562"/>
    </row>
    <row r="2800" spans="22:25" x14ac:dyDescent="0.2">
      <c r="V2800" s="562"/>
      <c r="X2800" s="562"/>
      <c r="Y2800" s="562"/>
    </row>
    <row r="2801" spans="22:25" x14ac:dyDescent="0.2">
      <c r="V2801" s="562"/>
      <c r="X2801" s="562"/>
      <c r="Y2801" s="562"/>
    </row>
    <row r="2802" spans="22:25" x14ac:dyDescent="0.2">
      <c r="V2802" s="562"/>
      <c r="X2802" s="562"/>
      <c r="Y2802" s="562"/>
    </row>
    <row r="2803" spans="22:25" x14ac:dyDescent="0.2">
      <c r="V2803" s="562"/>
      <c r="X2803" s="562"/>
      <c r="Y2803" s="562"/>
    </row>
    <row r="2804" spans="22:25" x14ac:dyDescent="0.2">
      <c r="V2804" s="562"/>
      <c r="X2804" s="562"/>
      <c r="Y2804" s="562"/>
    </row>
    <row r="2805" spans="22:25" x14ac:dyDescent="0.2">
      <c r="V2805" s="562"/>
      <c r="X2805" s="562"/>
      <c r="Y2805" s="562"/>
    </row>
    <row r="2806" spans="22:25" x14ac:dyDescent="0.2">
      <c r="V2806" s="562"/>
      <c r="X2806" s="562"/>
      <c r="Y2806" s="562"/>
    </row>
    <row r="2807" spans="22:25" x14ac:dyDescent="0.2">
      <c r="V2807" s="562"/>
      <c r="X2807" s="562"/>
      <c r="Y2807" s="562"/>
    </row>
    <row r="2808" spans="22:25" x14ac:dyDescent="0.2">
      <c r="V2808" s="562"/>
      <c r="X2808" s="562"/>
      <c r="Y2808" s="562"/>
    </row>
    <row r="2809" spans="22:25" x14ac:dyDescent="0.2">
      <c r="V2809" s="562"/>
      <c r="X2809" s="562"/>
      <c r="Y2809" s="562"/>
    </row>
    <row r="2810" spans="22:25" x14ac:dyDescent="0.2">
      <c r="V2810" s="562"/>
      <c r="X2810" s="562"/>
      <c r="Y2810" s="562"/>
    </row>
    <row r="2811" spans="22:25" x14ac:dyDescent="0.2">
      <c r="V2811" s="562"/>
      <c r="X2811" s="562"/>
      <c r="Y2811" s="562"/>
    </row>
    <row r="2812" spans="22:25" x14ac:dyDescent="0.2">
      <c r="V2812" s="562"/>
      <c r="X2812" s="562"/>
      <c r="Y2812" s="562"/>
    </row>
    <row r="2813" spans="22:25" x14ac:dyDescent="0.2">
      <c r="V2813" s="562"/>
      <c r="X2813" s="562"/>
      <c r="Y2813" s="562"/>
    </row>
    <row r="2814" spans="22:25" x14ac:dyDescent="0.2">
      <c r="V2814" s="562"/>
      <c r="X2814" s="562"/>
      <c r="Y2814" s="562"/>
    </row>
    <row r="2815" spans="22:25" x14ac:dyDescent="0.2">
      <c r="V2815" s="562"/>
      <c r="X2815" s="562"/>
      <c r="Y2815" s="562"/>
    </row>
    <row r="2816" spans="22:25" x14ac:dyDescent="0.2">
      <c r="V2816" s="562"/>
      <c r="X2816" s="562"/>
      <c r="Y2816" s="562"/>
    </row>
    <row r="2817" spans="22:25" x14ac:dyDescent="0.2">
      <c r="V2817" s="562"/>
      <c r="X2817" s="562"/>
      <c r="Y2817" s="562"/>
    </row>
    <row r="2818" spans="22:25" x14ac:dyDescent="0.2">
      <c r="V2818" s="562"/>
      <c r="X2818" s="562"/>
      <c r="Y2818" s="562"/>
    </row>
    <row r="2819" spans="22:25" x14ac:dyDescent="0.2">
      <c r="V2819" s="562"/>
      <c r="X2819" s="562"/>
      <c r="Y2819" s="562"/>
    </row>
    <row r="2820" spans="22:25" x14ac:dyDescent="0.2">
      <c r="V2820" s="562"/>
      <c r="X2820" s="562"/>
      <c r="Y2820" s="562"/>
    </row>
    <row r="2821" spans="22:25" x14ac:dyDescent="0.2">
      <c r="V2821" s="562"/>
      <c r="X2821" s="562"/>
      <c r="Y2821" s="562"/>
    </row>
    <row r="2822" spans="22:25" x14ac:dyDescent="0.2">
      <c r="V2822" s="562"/>
      <c r="X2822" s="562"/>
      <c r="Y2822" s="562"/>
    </row>
    <row r="2823" spans="22:25" x14ac:dyDescent="0.2">
      <c r="V2823" s="562"/>
      <c r="X2823" s="562"/>
      <c r="Y2823" s="562"/>
    </row>
    <row r="2824" spans="22:25" x14ac:dyDescent="0.2">
      <c r="V2824" s="562"/>
      <c r="X2824" s="562"/>
      <c r="Y2824" s="562"/>
    </row>
    <row r="2825" spans="22:25" x14ac:dyDescent="0.2">
      <c r="V2825" s="562"/>
      <c r="X2825" s="562"/>
      <c r="Y2825" s="562"/>
    </row>
    <row r="2826" spans="22:25" x14ac:dyDescent="0.2">
      <c r="V2826" s="562"/>
      <c r="X2826" s="562"/>
      <c r="Y2826" s="562"/>
    </row>
    <row r="2827" spans="22:25" x14ac:dyDescent="0.2">
      <c r="V2827" s="562"/>
      <c r="X2827" s="562"/>
      <c r="Y2827" s="562"/>
    </row>
    <row r="2828" spans="22:25" x14ac:dyDescent="0.2">
      <c r="V2828" s="562"/>
      <c r="X2828" s="562"/>
      <c r="Y2828" s="562"/>
    </row>
    <row r="2829" spans="22:25" x14ac:dyDescent="0.2">
      <c r="V2829" s="562"/>
      <c r="X2829" s="562"/>
      <c r="Y2829" s="562"/>
    </row>
    <row r="2830" spans="22:25" x14ac:dyDescent="0.2">
      <c r="V2830" s="562"/>
      <c r="X2830" s="562"/>
      <c r="Y2830" s="562"/>
    </row>
    <row r="2831" spans="22:25" x14ac:dyDescent="0.2">
      <c r="V2831" s="562"/>
      <c r="X2831" s="562"/>
      <c r="Y2831" s="562"/>
    </row>
    <row r="2832" spans="22:25" x14ac:dyDescent="0.2">
      <c r="V2832" s="562"/>
      <c r="X2832" s="562"/>
      <c r="Y2832" s="562"/>
    </row>
    <row r="2833" spans="22:25" x14ac:dyDescent="0.2">
      <c r="V2833" s="562"/>
      <c r="X2833" s="562"/>
      <c r="Y2833" s="562"/>
    </row>
    <row r="2834" spans="22:25" x14ac:dyDescent="0.2">
      <c r="V2834" s="562"/>
      <c r="X2834" s="562"/>
      <c r="Y2834" s="562"/>
    </row>
    <row r="2835" spans="22:25" x14ac:dyDescent="0.2">
      <c r="V2835" s="562"/>
      <c r="X2835" s="562"/>
      <c r="Y2835" s="562"/>
    </row>
    <row r="2836" spans="22:25" x14ac:dyDescent="0.2">
      <c r="V2836" s="562"/>
      <c r="X2836" s="562"/>
      <c r="Y2836" s="562"/>
    </row>
    <row r="2837" spans="22:25" x14ac:dyDescent="0.2">
      <c r="V2837" s="562"/>
      <c r="X2837" s="562"/>
      <c r="Y2837" s="562"/>
    </row>
    <row r="2838" spans="22:25" x14ac:dyDescent="0.2">
      <c r="V2838" s="562"/>
      <c r="X2838" s="562"/>
      <c r="Y2838" s="562"/>
    </row>
    <row r="2839" spans="22:25" x14ac:dyDescent="0.2">
      <c r="V2839" s="562"/>
      <c r="X2839" s="562"/>
      <c r="Y2839" s="562"/>
    </row>
    <row r="2840" spans="22:25" x14ac:dyDescent="0.2">
      <c r="V2840" s="562"/>
      <c r="X2840" s="562"/>
      <c r="Y2840" s="562"/>
    </row>
    <row r="2841" spans="22:25" x14ac:dyDescent="0.2">
      <c r="V2841" s="562"/>
      <c r="X2841" s="562"/>
      <c r="Y2841" s="562"/>
    </row>
    <row r="2842" spans="22:25" x14ac:dyDescent="0.2">
      <c r="V2842" s="562"/>
      <c r="X2842" s="562"/>
      <c r="Y2842" s="562"/>
    </row>
    <row r="2843" spans="22:25" x14ac:dyDescent="0.2">
      <c r="V2843" s="562"/>
      <c r="X2843" s="562"/>
      <c r="Y2843" s="562"/>
    </row>
    <row r="2844" spans="22:25" x14ac:dyDescent="0.2">
      <c r="V2844" s="562"/>
      <c r="X2844" s="562"/>
      <c r="Y2844" s="562"/>
    </row>
    <row r="2845" spans="22:25" x14ac:dyDescent="0.2">
      <c r="V2845" s="562"/>
      <c r="X2845" s="562"/>
      <c r="Y2845" s="562"/>
    </row>
    <row r="2846" spans="22:25" x14ac:dyDescent="0.2">
      <c r="V2846" s="562"/>
      <c r="X2846" s="562"/>
      <c r="Y2846" s="562"/>
    </row>
    <row r="2847" spans="22:25" x14ac:dyDescent="0.2">
      <c r="V2847" s="562"/>
      <c r="X2847" s="562"/>
      <c r="Y2847" s="562"/>
    </row>
    <row r="2848" spans="22:25" x14ac:dyDescent="0.2">
      <c r="V2848" s="562"/>
      <c r="X2848" s="562"/>
      <c r="Y2848" s="562"/>
    </row>
    <row r="2849" spans="22:25" x14ac:dyDescent="0.2">
      <c r="V2849" s="562"/>
      <c r="X2849" s="562"/>
      <c r="Y2849" s="562"/>
    </row>
    <row r="2850" spans="22:25" x14ac:dyDescent="0.2">
      <c r="V2850" s="562"/>
      <c r="X2850" s="562"/>
      <c r="Y2850" s="562"/>
    </row>
    <row r="2851" spans="22:25" x14ac:dyDescent="0.2">
      <c r="V2851" s="562"/>
      <c r="X2851" s="562"/>
      <c r="Y2851" s="562"/>
    </row>
    <row r="2852" spans="22:25" x14ac:dyDescent="0.2">
      <c r="V2852" s="562"/>
      <c r="X2852" s="562"/>
      <c r="Y2852" s="562"/>
    </row>
    <row r="2853" spans="22:25" x14ac:dyDescent="0.2">
      <c r="V2853" s="562"/>
      <c r="X2853" s="562"/>
      <c r="Y2853" s="562"/>
    </row>
    <row r="2854" spans="22:25" x14ac:dyDescent="0.2">
      <c r="V2854" s="562"/>
      <c r="X2854" s="562"/>
      <c r="Y2854" s="562"/>
    </row>
    <row r="2855" spans="22:25" x14ac:dyDescent="0.2">
      <c r="V2855" s="562"/>
      <c r="X2855" s="562"/>
      <c r="Y2855" s="562"/>
    </row>
    <row r="2856" spans="22:25" x14ac:dyDescent="0.2">
      <c r="V2856" s="562"/>
      <c r="X2856" s="562"/>
      <c r="Y2856" s="562"/>
    </row>
    <row r="2857" spans="22:25" x14ac:dyDescent="0.2">
      <c r="V2857" s="562"/>
      <c r="X2857" s="562"/>
      <c r="Y2857" s="562"/>
    </row>
    <row r="2858" spans="22:25" x14ac:dyDescent="0.2">
      <c r="V2858" s="562"/>
      <c r="X2858" s="562"/>
      <c r="Y2858" s="562"/>
    </row>
    <row r="2859" spans="22:25" x14ac:dyDescent="0.2">
      <c r="V2859" s="562"/>
      <c r="X2859" s="562"/>
      <c r="Y2859" s="562"/>
    </row>
    <row r="2860" spans="22:25" x14ac:dyDescent="0.2">
      <c r="V2860" s="562"/>
      <c r="X2860" s="562"/>
      <c r="Y2860" s="562"/>
    </row>
    <row r="2861" spans="22:25" x14ac:dyDescent="0.2">
      <c r="V2861" s="562"/>
      <c r="X2861" s="562"/>
      <c r="Y2861" s="562"/>
    </row>
    <row r="2862" spans="22:25" x14ac:dyDescent="0.2">
      <c r="V2862" s="562"/>
      <c r="X2862" s="562"/>
      <c r="Y2862" s="562"/>
    </row>
    <row r="2863" spans="22:25" x14ac:dyDescent="0.2">
      <c r="V2863" s="562"/>
      <c r="X2863" s="562"/>
      <c r="Y2863" s="562"/>
    </row>
    <row r="2864" spans="22:25" x14ac:dyDescent="0.2">
      <c r="V2864" s="562"/>
      <c r="X2864" s="562"/>
      <c r="Y2864" s="562"/>
    </row>
    <row r="2865" spans="22:25" x14ac:dyDescent="0.2">
      <c r="V2865" s="562"/>
      <c r="X2865" s="562"/>
      <c r="Y2865" s="562"/>
    </row>
    <row r="2866" spans="22:25" x14ac:dyDescent="0.2">
      <c r="V2866" s="562"/>
      <c r="X2866" s="562"/>
      <c r="Y2866" s="562"/>
    </row>
    <row r="2867" spans="22:25" x14ac:dyDescent="0.2">
      <c r="V2867" s="562"/>
      <c r="X2867" s="562"/>
      <c r="Y2867" s="562"/>
    </row>
    <row r="2868" spans="22:25" x14ac:dyDescent="0.2">
      <c r="V2868" s="562"/>
      <c r="X2868" s="562"/>
      <c r="Y2868" s="562"/>
    </row>
    <row r="2869" spans="22:25" x14ac:dyDescent="0.2">
      <c r="V2869" s="562"/>
      <c r="X2869" s="562"/>
      <c r="Y2869" s="562"/>
    </row>
    <row r="2870" spans="22:25" x14ac:dyDescent="0.2">
      <c r="V2870" s="562"/>
      <c r="X2870" s="562"/>
      <c r="Y2870" s="562"/>
    </row>
    <row r="2871" spans="22:25" x14ac:dyDescent="0.2">
      <c r="V2871" s="562"/>
      <c r="X2871" s="562"/>
      <c r="Y2871" s="562"/>
    </row>
    <row r="2872" spans="22:25" x14ac:dyDescent="0.2">
      <c r="V2872" s="562"/>
      <c r="X2872" s="562"/>
      <c r="Y2872" s="562"/>
    </row>
    <row r="2873" spans="22:25" x14ac:dyDescent="0.2">
      <c r="V2873" s="562"/>
      <c r="X2873" s="562"/>
      <c r="Y2873" s="562"/>
    </row>
    <row r="2874" spans="22:25" x14ac:dyDescent="0.2">
      <c r="V2874" s="562"/>
      <c r="X2874" s="562"/>
      <c r="Y2874" s="562"/>
    </row>
    <row r="2875" spans="22:25" x14ac:dyDescent="0.2">
      <c r="V2875" s="562"/>
      <c r="X2875" s="562"/>
      <c r="Y2875" s="562"/>
    </row>
    <row r="2876" spans="22:25" x14ac:dyDescent="0.2">
      <c r="V2876" s="562"/>
      <c r="X2876" s="562"/>
      <c r="Y2876" s="562"/>
    </row>
    <row r="2877" spans="22:25" x14ac:dyDescent="0.2">
      <c r="V2877" s="562"/>
      <c r="X2877" s="562"/>
      <c r="Y2877" s="562"/>
    </row>
    <row r="2878" spans="22:25" x14ac:dyDescent="0.2">
      <c r="V2878" s="562"/>
      <c r="X2878" s="562"/>
      <c r="Y2878" s="562"/>
    </row>
    <row r="2879" spans="22:25" x14ac:dyDescent="0.2">
      <c r="V2879" s="562"/>
      <c r="X2879" s="562"/>
      <c r="Y2879" s="562"/>
    </row>
    <row r="2880" spans="22:25" x14ac:dyDescent="0.2">
      <c r="V2880" s="562"/>
      <c r="X2880" s="562"/>
      <c r="Y2880" s="562"/>
    </row>
    <row r="2881" spans="22:25" x14ac:dyDescent="0.2">
      <c r="V2881" s="562"/>
      <c r="X2881" s="562"/>
      <c r="Y2881" s="562"/>
    </row>
    <row r="2882" spans="22:25" x14ac:dyDescent="0.2">
      <c r="V2882" s="562"/>
      <c r="X2882" s="562"/>
      <c r="Y2882" s="562"/>
    </row>
    <row r="2883" spans="22:25" x14ac:dyDescent="0.2">
      <c r="V2883" s="562"/>
      <c r="X2883" s="562"/>
      <c r="Y2883" s="562"/>
    </row>
    <row r="2884" spans="22:25" x14ac:dyDescent="0.2">
      <c r="V2884" s="562"/>
      <c r="X2884" s="562"/>
      <c r="Y2884" s="562"/>
    </row>
    <row r="2885" spans="22:25" x14ac:dyDescent="0.2">
      <c r="V2885" s="562"/>
      <c r="X2885" s="562"/>
      <c r="Y2885" s="562"/>
    </row>
    <row r="2886" spans="22:25" x14ac:dyDescent="0.2">
      <c r="V2886" s="562"/>
      <c r="X2886" s="562"/>
      <c r="Y2886" s="562"/>
    </row>
    <row r="2887" spans="22:25" x14ac:dyDescent="0.2">
      <c r="V2887" s="562"/>
      <c r="X2887" s="562"/>
      <c r="Y2887" s="562"/>
    </row>
    <row r="2888" spans="22:25" x14ac:dyDescent="0.2">
      <c r="V2888" s="562"/>
      <c r="X2888" s="562"/>
      <c r="Y2888" s="562"/>
    </row>
    <row r="2889" spans="22:25" x14ac:dyDescent="0.2">
      <c r="V2889" s="562"/>
      <c r="X2889" s="562"/>
      <c r="Y2889" s="562"/>
    </row>
    <row r="2890" spans="22:25" x14ac:dyDescent="0.2">
      <c r="V2890" s="562"/>
      <c r="X2890" s="562"/>
      <c r="Y2890" s="562"/>
    </row>
    <row r="2891" spans="22:25" x14ac:dyDescent="0.2">
      <c r="V2891" s="562"/>
      <c r="X2891" s="562"/>
      <c r="Y2891" s="562"/>
    </row>
    <row r="2892" spans="22:25" x14ac:dyDescent="0.2">
      <c r="V2892" s="562"/>
      <c r="X2892" s="562"/>
      <c r="Y2892" s="562"/>
    </row>
    <row r="2893" spans="22:25" x14ac:dyDescent="0.2">
      <c r="V2893" s="562"/>
      <c r="X2893" s="562"/>
      <c r="Y2893" s="562"/>
    </row>
    <row r="2894" spans="22:25" x14ac:dyDescent="0.2">
      <c r="V2894" s="562"/>
      <c r="X2894" s="562"/>
      <c r="Y2894" s="562"/>
    </row>
    <row r="2895" spans="22:25" x14ac:dyDescent="0.2">
      <c r="V2895" s="562"/>
      <c r="X2895" s="562"/>
      <c r="Y2895" s="562"/>
    </row>
    <row r="2896" spans="22:25" x14ac:dyDescent="0.2">
      <c r="V2896" s="562"/>
      <c r="X2896" s="562"/>
      <c r="Y2896" s="562"/>
    </row>
    <row r="2897" spans="22:25" x14ac:dyDescent="0.2">
      <c r="V2897" s="562"/>
      <c r="X2897" s="562"/>
      <c r="Y2897" s="562"/>
    </row>
    <row r="2898" spans="22:25" x14ac:dyDescent="0.2">
      <c r="V2898" s="562"/>
      <c r="X2898" s="562"/>
      <c r="Y2898" s="562"/>
    </row>
    <row r="2899" spans="22:25" x14ac:dyDescent="0.2">
      <c r="V2899" s="562"/>
      <c r="X2899" s="562"/>
      <c r="Y2899" s="562"/>
    </row>
    <row r="2900" spans="22:25" x14ac:dyDescent="0.2">
      <c r="V2900" s="562"/>
      <c r="X2900" s="562"/>
      <c r="Y2900" s="562"/>
    </row>
    <row r="2901" spans="22:25" x14ac:dyDescent="0.2">
      <c r="V2901" s="562"/>
      <c r="X2901" s="562"/>
      <c r="Y2901" s="562"/>
    </row>
    <row r="2902" spans="22:25" x14ac:dyDescent="0.2">
      <c r="V2902" s="562"/>
      <c r="X2902" s="562"/>
      <c r="Y2902" s="562"/>
    </row>
    <row r="2903" spans="22:25" x14ac:dyDescent="0.2">
      <c r="V2903" s="562"/>
      <c r="X2903" s="562"/>
      <c r="Y2903" s="562"/>
    </row>
    <row r="2904" spans="22:25" x14ac:dyDescent="0.2">
      <c r="V2904" s="562"/>
      <c r="X2904" s="562"/>
      <c r="Y2904" s="562"/>
    </row>
    <row r="2905" spans="22:25" x14ac:dyDescent="0.2">
      <c r="V2905" s="562"/>
      <c r="X2905" s="562"/>
      <c r="Y2905" s="562"/>
    </row>
    <row r="2906" spans="22:25" x14ac:dyDescent="0.2">
      <c r="V2906" s="562"/>
      <c r="X2906" s="562"/>
      <c r="Y2906" s="562"/>
    </row>
    <row r="2907" spans="22:25" x14ac:dyDescent="0.2">
      <c r="V2907" s="562"/>
      <c r="X2907" s="562"/>
      <c r="Y2907" s="562"/>
    </row>
    <row r="2908" spans="22:25" x14ac:dyDescent="0.2">
      <c r="V2908" s="562"/>
      <c r="X2908" s="562"/>
      <c r="Y2908" s="562"/>
    </row>
    <row r="2909" spans="22:25" x14ac:dyDescent="0.2">
      <c r="V2909" s="562"/>
      <c r="X2909" s="562"/>
      <c r="Y2909" s="562"/>
    </row>
    <row r="2910" spans="22:25" x14ac:dyDescent="0.2">
      <c r="V2910" s="562"/>
      <c r="X2910" s="562"/>
      <c r="Y2910" s="562"/>
    </row>
    <row r="2911" spans="22:25" x14ac:dyDescent="0.2">
      <c r="V2911" s="562"/>
      <c r="X2911" s="562"/>
      <c r="Y2911" s="562"/>
    </row>
    <row r="2912" spans="22:25" x14ac:dyDescent="0.2">
      <c r="V2912" s="562"/>
      <c r="X2912" s="562"/>
      <c r="Y2912" s="562"/>
    </row>
    <row r="2913" spans="22:25" x14ac:dyDescent="0.2">
      <c r="V2913" s="562"/>
      <c r="X2913" s="562"/>
      <c r="Y2913" s="562"/>
    </row>
    <row r="2914" spans="22:25" x14ac:dyDescent="0.2">
      <c r="V2914" s="562"/>
      <c r="X2914" s="562"/>
      <c r="Y2914" s="562"/>
    </row>
    <row r="2915" spans="22:25" x14ac:dyDescent="0.2">
      <c r="V2915" s="562"/>
      <c r="X2915" s="562"/>
      <c r="Y2915" s="562"/>
    </row>
    <row r="2916" spans="22:25" x14ac:dyDescent="0.2">
      <c r="V2916" s="562"/>
      <c r="X2916" s="562"/>
      <c r="Y2916" s="562"/>
    </row>
    <row r="2917" spans="22:25" x14ac:dyDescent="0.2">
      <c r="V2917" s="562"/>
      <c r="X2917" s="562"/>
      <c r="Y2917" s="562"/>
    </row>
    <row r="2918" spans="22:25" x14ac:dyDescent="0.2">
      <c r="V2918" s="562"/>
      <c r="X2918" s="562"/>
      <c r="Y2918" s="562"/>
    </row>
    <row r="2919" spans="22:25" x14ac:dyDescent="0.2">
      <c r="V2919" s="562"/>
      <c r="X2919" s="562"/>
      <c r="Y2919" s="562"/>
    </row>
    <row r="2920" spans="22:25" x14ac:dyDescent="0.2">
      <c r="V2920" s="562"/>
      <c r="X2920" s="562"/>
      <c r="Y2920" s="562"/>
    </row>
    <row r="2921" spans="22:25" x14ac:dyDescent="0.2">
      <c r="V2921" s="562"/>
      <c r="X2921" s="562"/>
      <c r="Y2921" s="562"/>
    </row>
    <row r="2922" spans="22:25" x14ac:dyDescent="0.2">
      <c r="V2922" s="562"/>
      <c r="X2922" s="562"/>
      <c r="Y2922" s="562"/>
    </row>
    <row r="2923" spans="22:25" x14ac:dyDescent="0.2">
      <c r="V2923" s="562"/>
      <c r="X2923" s="562"/>
      <c r="Y2923" s="562"/>
    </row>
    <row r="2924" spans="22:25" x14ac:dyDescent="0.2">
      <c r="V2924" s="562"/>
      <c r="X2924" s="562"/>
      <c r="Y2924" s="562"/>
    </row>
    <row r="2925" spans="22:25" x14ac:dyDescent="0.2">
      <c r="V2925" s="562"/>
      <c r="X2925" s="562"/>
      <c r="Y2925" s="562"/>
    </row>
    <row r="2926" spans="22:25" x14ac:dyDescent="0.2">
      <c r="V2926" s="562"/>
      <c r="X2926" s="562"/>
      <c r="Y2926" s="562"/>
    </row>
    <row r="2927" spans="22:25" x14ac:dyDescent="0.2">
      <c r="V2927" s="562"/>
      <c r="X2927" s="562"/>
      <c r="Y2927" s="562"/>
    </row>
    <row r="2928" spans="22:25" x14ac:dyDescent="0.2">
      <c r="V2928" s="562"/>
      <c r="X2928" s="562"/>
      <c r="Y2928" s="562"/>
    </row>
    <row r="2929" spans="22:25" x14ac:dyDescent="0.2">
      <c r="V2929" s="562"/>
      <c r="X2929" s="562"/>
      <c r="Y2929" s="562"/>
    </row>
    <row r="2930" spans="22:25" x14ac:dyDescent="0.2">
      <c r="V2930" s="562"/>
      <c r="X2930" s="562"/>
      <c r="Y2930" s="562"/>
    </row>
    <row r="2931" spans="22:25" x14ac:dyDescent="0.2">
      <c r="V2931" s="562"/>
      <c r="X2931" s="562"/>
      <c r="Y2931" s="562"/>
    </row>
    <row r="2932" spans="22:25" x14ac:dyDescent="0.2">
      <c r="V2932" s="562"/>
      <c r="X2932" s="562"/>
      <c r="Y2932" s="562"/>
    </row>
    <row r="2933" spans="22:25" x14ac:dyDescent="0.2">
      <c r="V2933" s="562"/>
      <c r="X2933" s="562"/>
      <c r="Y2933" s="562"/>
    </row>
    <row r="2934" spans="22:25" x14ac:dyDescent="0.2">
      <c r="V2934" s="562"/>
      <c r="X2934" s="562"/>
      <c r="Y2934" s="562"/>
    </row>
    <row r="2935" spans="22:25" x14ac:dyDescent="0.2">
      <c r="V2935" s="562"/>
      <c r="X2935" s="562"/>
      <c r="Y2935" s="562"/>
    </row>
    <row r="2936" spans="22:25" x14ac:dyDescent="0.2">
      <c r="V2936" s="562"/>
      <c r="X2936" s="562"/>
      <c r="Y2936" s="562"/>
    </row>
    <row r="2937" spans="22:25" x14ac:dyDescent="0.2">
      <c r="V2937" s="562"/>
      <c r="X2937" s="562"/>
      <c r="Y2937" s="562"/>
    </row>
    <row r="2938" spans="22:25" x14ac:dyDescent="0.2">
      <c r="V2938" s="562"/>
      <c r="X2938" s="562"/>
      <c r="Y2938" s="562"/>
    </row>
    <row r="2939" spans="22:25" x14ac:dyDescent="0.2">
      <c r="V2939" s="562"/>
      <c r="X2939" s="562"/>
      <c r="Y2939" s="562"/>
    </row>
    <row r="2940" spans="22:25" x14ac:dyDescent="0.2">
      <c r="V2940" s="562"/>
      <c r="X2940" s="562"/>
      <c r="Y2940" s="562"/>
    </row>
    <row r="2941" spans="22:25" x14ac:dyDescent="0.2">
      <c r="V2941" s="562"/>
      <c r="X2941" s="562"/>
      <c r="Y2941" s="562"/>
    </row>
    <row r="2942" spans="22:25" x14ac:dyDescent="0.2">
      <c r="V2942" s="562"/>
      <c r="X2942" s="562"/>
      <c r="Y2942" s="562"/>
    </row>
    <row r="2943" spans="22:25" x14ac:dyDescent="0.2">
      <c r="V2943" s="562"/>
      <c r="X2943" s="562"/>
      <c r="Y2943" s="562"/>
    </row>
    <row r="2944" spans="22:25" x14ac:dyDescent="0.2">
      <c r="V2944" s="562"/>
      <c r="X2944" s="562"/>
      <c r="Y2944" s="562"/>
    </row>
    <row r="2945" spans="22:25" x14ac:dyDescent="0.2">
      <c r="V2945" s="562"/>
      <c r="X2945" s="562"/>
      <c r="Y2945" s="562"/>
    </row>
    <row r="2946" spans="22:25" x14ac:dyDescent="0.2">
      <c r="V2946" s="562"/>
      <c r="X2946" s="562"/>
      <c r="Y2946" s="562"/>
    </row>
    <row r="2947" spans="22:25" x14ac:dyDescent="0.2">
      <c r="V2947" s="562"/>
      <c r="X2947" s="562"/>
      <c r="Y2947" s="562"/>
    </row>
    <row r="2948" spans="22:25" x14ac:dyDescent="0.2">
      <c r="V2948" s="562"/>
      <c r="X2948" s="562"/>
      <c r="Y2948" s="562"/>
    </row>
    <row r="2949" spans="22:25" x14ac:dyDescent="0.2">
      <c r="V2949" s="562"/>
      <c r="X2949" s="562"/>
      <c r="Y2949" s="562"/>
    </row>
    <row r="2950" spans="22:25" x14ac:dyDescent="0.2">
      <c r="V2950" s="562"/>
      <c r="X2950" s="562"/>
      <c r="Y2950" s="562"/>
    </row>
    <row r="2951" spans="22:25" x14ac:dyDescent="0.2">
      <c r="V2951" s="562"/>
      <c r="X2951" s="562"/>
      <c r="Y2951" s="562"/>
    </row>
    <row r="2952" spans="22:25" x14ac:dyDescent="0.2">
      <c r="V2952" s="562"/>
      <c r="X2952" s="562"/>
      <c r="Y2952" s="562"/>
    </row>
    <row r="2953" spans="22:25" x14ac:dyDescent="0.2">
      <c r="V2953" s="562"/>
      <c r="X2953" s="562"/>
      <c r="Y2953" s="562"/>
    </row>
    <row r="2954" spans="22:25" x14ac:dyDescent="0.2">
      <c r="V2954" s="562"/>
      <c r="X2954" s="562"/>
      <c r="Y2954" s="562"/>
    </row>
    <row r="2955" spans="22:25" x14ac:dyDescent="0.2">
      <c r="V2955" s="562"/>
      <c r="X2955" s="562"/>
      <c r="Y2955" s="562"/>
    </row>
    <row r="2956" spans="22:25" x14ac:dyDescent="0.2">
      <c r="V2956" s="562"/>
      <c r="X2956" s="562"/>
      <c r="Y2956" s="562"/>
    </row>
    <row r="2957" spans="22:25" x14ac:dyDescent="0.2">
      <c r="V2957" s="562"/>
      <c r="X2957" s="562"/>
      <c r="Y2957" s="562"/>
    </row>
    <row r="2958" spans="22:25" x14ac:dyDescent="0.2">
      <c r="V2958" s="562"/>
      <c r="X2958" s="562"/>
      <c r="Y2958" s="562"/>
    </row>
    <row r="2959" spans="22:25" x14ac:dyDescent="0.2">
      <c r="V2959" s="562"/>
      <c r="X2959" s="562"/>
      <c r="Y2959" s="562"/>
    </row>
    <row r="2960" spans="22:25" x14ac:dyDescent="0.2">
      <c r="V2960" s="562"/>
      <c r="X2960" s="562"/>
      <c r="Y2960" s="562"/>
    </row>
    <row r="2961" spans="22:25" x14ac:dyDescent="0.2">
      <c r="V2961" s="562"/>
      <c r="X2961" s="562"/>
      <c r="Y2961" s="562"/>
    </row>
    <row r="2962" spans="22:25" x14ac:dyDescent="0.2">
      <c r="V2962" s="562"/>
      <c r="X2962" s="562"/>
      <c r="Y2962" s="562"/>
    </row>
    <row r="2963" spans="22:25" x14ac:dyDescent="0.2">
      <c r="V2963" s="562"/>
      <c r="X2963" s="562"/>
      <c r="Y2963" s="562"/>
    </row>
    <row r="2964" spans="22:25" x14ac:dyDescent="0.2">
      <c r="V2964" s="562"/>
      <c r="X2964" s="562"/>
      <c r="Y2964" s="562"/>
    </row>
    <row r="2965" spans="22:25" x14ac:dyDescent="0.2">
      <c r="V2965" s="562"/>
      <c r="X2965" s="562"/>
      <c r="Y2965" s="562"/>
    </row>
    <row r="2966" spans="22:25" x14ac:dyDescent="0.2">
      <c r="V2966" s="562"/>
      <c r="X2966" s="562"/>
      <c r="Y2966" s="562"/>
    </row>
    <row r="2967" spans="22:25" x14ac:dyDescent="0.2">
      <c r="V2967" s="562"/>
      <c r="X2967" s="562"/>
      <c r="Y2967" s="562"/>
    </row>
    <row r="2968" spans="22:25" x14ac:dyDescent="0.2">
      <c r="V2968" s="562"/>
      <c r="X2968" s="562"/>
      <c r="Y2968" s="562"/>
    </row>
    <row r="2969" spans="22:25" x14ac:dyDescent="0.2">
      <c r="V2969" s="562"/>
      <c r="X2969" s="562"/>
      <c r="Y2969" s="562"/>
    </row>
    <row r="2970" spans="22:25" x14ac:dyDescent="0.2">
      <c r="V2970" s="562"/>
      <c r="X2970" s="562"/>
      <c r="Y2970" s="562"/>
    </row>
    <row r="2971" spans="22:25" x14ac:dyDescent="0.2">
      <c r="V2971" s="562"/>
      <c r="X2971" s="562"/>
      <c r="Y2971" s="562"/>
    </row>
    <row r="2972" spans="22:25" x14ac:dyDescent="0.2">
      <c r="V2972" s="562"/>
      <c r="X2972" s="562"/>
      <c r="Y2972" s="562"/>
    </row>
    <row r="2973" spans="22:25" x14ac:dyDescent="0.2">
      <c r="V2973" s="562"/>
      <c r="X2973" s="562"/>
      <c r="Y2973" s="562"/>
    </row>
    <row r="2974" spans="22:25" x14ac:dyDescent="0.2">
      <c r="V2974" s="562"/>
      <c r="X2974" s="562"/>
      <c r="Y2974" s="562"/>
    </row>
    <row r="2975" spans="22:25" x14ac:dyDescent="0.2">
      <c r="V2975" s="562"/>
      <c r="X2975" s="562"/>
      <c r="Y2975" s="562"/>
    </row>
    <row r="2976" spans="22:25" x14ac:dyDescent="0.2">
      <c r="V2976" s="562"/>
      <c r="X2976" s="562"/>
      <c r="Y2976" s="562"/>
    </row>
    <row r="2977" spans="22:25" x14ac:dyDescent="0.2">
      <c r="V2977" s="562"/>
      <c r="X2977" s="562"/>
      <c r="Y2977" s="562"/>
    </row>
    <row r="2978" spans="22:25" x14ac:dyDescent="0.2">
      <c r="V2978" s="562"/>
      <c r="X2978" s="562"/>
      <c r="Y2978" s="562"/>
    </row>
    <row r="2979" spans="22:25" x14ac:dyDescent="0.2">
      <c r="V2979" s="562"/>
      <c r="X2979" s="562"/>
      <c r="Y2979" s="562"/>
    </row>
    <row r="2980" spans="22:25" x14ac:dyDescent="0.2">
      <c r="V2980" s="562"/>
      <c r="X2980" s="562"/>
      <c r="Y2980" s="562"/>
    </row>
    <row r="2981" spans="22:25" x14ac:dyDescent="0.2">
      <c r="V2981" s="562"/>
      <c r="X2981" s="562"/>
      <c r="Y2981" s="562"/>
    </row>
    <row r="2982" spans="22:25" x14ac:dyDescent="0.2">
      <c r="V2982" s="562"/>
      <c r="X2982" s="562"/>
      <c r="Y2982" s="562"/>
    </row>
    <row r="2983" spans="22:25" x14ac:dyDescent="0.2">
      <c r="V2983" s="562"/>
      <c r="X2983" s="562"/>
      <c r="Y2983" s="562"/>
    </row>
    <row r="2984" spans="22:25" x14ac:dyDescent="0.2">
      <c r="V2984" s="562"/>
      <c r="X2984" s="562"/>
      <c r="Y2984" s="562"/>
    </row>
    <row r="2985" spans="22:25" x14ac:dyDescent="0.2">
      <c r="V2985" s="562"/>
      <c r="X2985" s="562"/>
      <c r="Y2985" s="562"/>
    </row>
    <row r="2986" spans="22:25" x14ac:dyDescent="0.2">
      <c r="V2986" s="562"/>
      <c r="X2986" s="562"/>
      <c r="Y2986" s="562"/>
    </row>
    <row r="2987" spans="22:25" x14ac:dyDescent="0.2">
      <c r="V2987" s="562"/>
      <c r="X2987" s="562"/>
      <c r="Y2987" s="562"/>
    </row>
    <row r="2988" spans="22:25" x14ac:dyDescent="0.2">
      <c r="V2988" s="562"/>
      <c r="X2988" s="562"/>
      <c r="Y2988" s="562"/>
    </row>
    <row r="2989" spans="22:25" x14ac:dyDescent="0.2">
      <c r="V2989" s="562"/>
      <c r="X2989" s="562"/>
      <c r="Y2989" s="562"/>
    </row>
    <row r="2990" spans="22:25" x14ac:dyDescent="0.2">
      <c r="V2990" s="562"/>
      <c r="X2990" s="562"/>
      <c r="Y2990" s="562"/>
    </row>
    <row r="2991" spans="22:25" x14ac:dyDescent="0.2">
      <c r="V2991" s="562"/>
      <c r="X2991" s="562"/>
      <c r="Y2991" s="562"/>
    </row>
    <row r="2992" spans="22:25" x14ac:dyDescent="0.2">
      <c r="V2992" s="562"/>
      <c r="X2992" s="562"/>
      <c r="Y2992" s="562"/>
    </row>
    <row r="2993" spans="22:25" x14ac:dyDescent="0.2">
      <c r="V2993" s="562"/>
      <c r="X2993" s="562"/>
      <c r="Y2993" s="562"/>
    </row>
    <row r="2994" spans="22:25" x14ac:dyDescent="0.2">
      <c r="V2994" s="562"/>
      <c r="X2994" s="562"/>
      <c r="Y2994" s="562"/>
    </row>
    <row r="2995" spans="22:25" x14ac:dyDescent="0.2">
      <c r="V2995" s="562"/>
      <c r="X2995" s="562"/>
      <c r="Y2995" s="562"/>
    </row>
    <row r="2996" spans="22:25" x14ac:dyDescent="0.2">
      <c r="V2996" s="562"/>
      <c r="X2996" s="562"/>
      <c r="Y2996" s="562"/>
    </row>
    <row r="2997" spans="22:25" x14ac:dyDescent="0.2">
      <c r="V2997" s="562"/>
      <c r="X2997" s="562"/>
      <c r="Y2997" s="562"/>
    </row>
    <row r="2998" spans="22:25" x14ac:dyDescent="0.2">
      <c r="V2998" s="562"/>
      <c r="X2998" s="562"/>
      <c r="Y2998" s="562"/>
    </row>
    <row r="2999" spans="22:25" x14ac:dyDescent="0.2">
      <c r="V2999" s="562"/>
      <c r="X2999" s="562"/>
      <c r="Y2999" s="562"/>
    </row>
    <row r="3000" spans="22:25" x14ac:dyDescent="0.2">
      <c r="V3000" s="562"/>
      <c r="X3000" s="562"/>
      <c r="Y3000" s="562"/>
    </row>
    <row r="3001" spans="22:25" x14ac:dyDescent="0.2">
      <c r="V3001" s="562"/>
      <c r="X3001" s="562"/>
      <c r="Y3001" s="562"/>
    </row>
    <row r="3002" spans="22:25" x14ac:dyDescent="0.2">
      <c r="V3002" s="562"/>
      <c r="X3002" s="562"/>
      <c r="Y3002" s="562"/>
    </row>
    <row r="3003" spans="22:25" x14ac:dyDescent="0.2">
      <c r="V3003" s="562"/>
      <c r="X3003" s="562"/>
      <c r="Y3003" s="562"/>
    </row>
    <row r="3004" spans="22:25" x14ac:dyDescent="0.2">
      <c r="V3004" s="562"/>
      <c r="X3004" s="562"/>
      <c r="Y3004" s="562"/>
    </row>
    <row r="3005" spans="22:25" x14ac:dyDescent="0.2">
      <c r="V3005" s="562"/>
      <c r="X3005" s="562"/>
      <c r="Y3005" s="562"/>
    </row>
    <row r="3006" spans="22:25" x14ac:dyDescent="0.2">
      <c r="V3006" s="562"/>
      <c r="X3006" s="562"/>
      <c r="Y3006" s="562"/>
    </row>
    <row r="3007" spans="22:25" x14ac:dyDescent="0.2">
      <c r="V3007" s="562"/>
      <c r="X3007" s="562"/>
      <c r="Y3007" s="562"/>
    </row>
    <row r="3008" spans="22:25" x14ac:dyDescent="0.2">
      <c r="V3008" s="562"/>
      <c r="X3008" s="562"/>
      <c r="Y3008" s="562"/>
    </row>
    <row r="3009" spans="22:25" x14ac:dyDescent="0.2">
      <c r="V3009" s="562"/>
      <c r="X3009" s="562"/>
      <c r="Y3009" s="562"/>
    </row>
    <row r="3010" spans="22:25" x14ac:dyDescent="0.2">
      <c r="V3010" s="562"/>
      <c r="X3010" s="562"/>
      <c r="Y3010" s="562"/>
    </row>
    <row r="3011" spans="22:25" x14ac:dyDescent="0.2">
      <c r="V3011" s="562"/>
      <c r="X3011" s="562"/>
      <c r="Y3011" s="562"/>
    </row>
    <row r="3012" spans="22:25" x14ac:dyDescent="0.2">
      <c r="V3012" s="562"/>
      <c r="X3012" s="562"/>
      <c r="Y3012" s="562"/>
    </row>
    <row r="3013" spans="22:25" x14ac:dyDescent="0.2">
      <c r="V3013" s="562"/>
      <c r="X3013" s="562"/>
      <c r="Y3013" s="562"/>
    </row>
    <row r="3014" spans="22:25" x14ac:dyDescent="0.2">
      <c r="V3014" s="562"/>
      <c r="X3014" s="562"/>
      <c r="Y3014" s="562"/>
    </row>
    <row r="3015" spans="22:25" x14ac:dyDescent="0.2">
      <c r="V3015" s="562"/>
      <c r="X3015" s="562"/>
      <c r="Y3015" s="562"/>
    </row>
    <row r="3016" spans="22:25" x14ac:dyDescent="0.2">
      <c r="V3016" s="562"/>
      <c r="X3016" s="562"/>
      <c r="Y3016" s="562"/>
    </row>
    <row r="3017" spans="22:25" x14ac:dyDescent="0.2">
      <c r="V3017" s="562"/>
      <c r="X3017" s="562"/>
      <c r="Y3017" s="562"/>
    </row>
    <row r="3018" spans="22:25" x14ac:dyDescent="0.2">
      <c r="V3018" s="562"/>
      <c r="X3018" s="562"/>
      <c r="Y3018" s="562"/>
    </row>
    <row r="3019" spans="22:25" x14ac:dyDescent="0.2">
      <c r="V3019" s="562"/>
      <c r="X3019" s="562"/>
      <c r="Y3019" s="562"/>
    </row>
    <row r="3020" spans="22:25" x14ac:dyDescent="0.2">
      <c r="V3020" s="562"/>
      <c r="X3020" s="562"/>
      <c r="Y3020" s="562"/>
    </row>
    <row r="3021" spans="22:25" x14ac:dyDescent="0.2">
      <c r="V3021" s="562"/>
      <c r="X3021" s="562"/>
      <c r="Y3021" s="562"/>
    </row>
    <row r="3022" spans="22:25" x14ac:dyDescent="0.2">
      <c r="V3022" s="562"/>
      <c r="X3022" s="562"/>
      <c r="Y3022" s="562"/>
    </row>
    <row r="3023" spans="22:25" x14ac:dyDescent="0.2">
      <c r="V3023" s="562"/>
      <c r="X3023" s="562"/>
      <c r="Y3023" s="562"/>
    </row>
    <row r="3024" spans="22:25" x14ac:dyDescent="0.2">
      <c r="V3024" s="562"/>
      <c r="X3024" s="562"/>
      <c r="Y3024" s="562"/>
    </row>
    <row r="3025" spans="22:25" x14ac:dyDescent="0.2">
      <c r="V3025" s="562"/>
      <c r="X3025" s="562"/>
      <c r="Y3025" s="562"/>
    </row>
    <row r="3026" spans="22:25" x14ac:dyDescent="0.2">
      <c r="V3026" s="562"/>
      <c r="X3026" s="562"/>
      <c r="Y3026" s="562"/>
    </row>
    <row r="3027" spans="22:25" x14ac:dyDescent="0.2">
      <c r="V3027" s="562"/>
      <c r="X3027" s="562"/>
      <c r="Y3027" s="562"/>
    </row>
    <row r="3028" spans="22:25" x14ac:dyDescent="0.2">
      <c r="V3028" s="562"/>
      <c r="X3028" s="562"/>
      <c r="Y3028" s="562"/>
    </row>
    <row r="3029" spans="22:25" x14ac:dyDescent="0.2">
      <c r="V3029" s="562"/>
      <c r="X3029" s="562"/>
      <c r="Y3029" s="562"/>
    </row>
    <row r="3030" spans="22:25" x14ac:dyDescent="0.2">
      <c r="V3030" s="562"/>
      <c r="X3030" s="562"/>
      <c r="Y3030" s="562"/>
    </row>
    <row r="3031" spans="22:25" x14ac:dyDescent="0.2">
      <c r="V3031" s="562"/>
      <c r="X3031" s="562"/>
      <c r="Y3031" s="562"/>
    </row>
    <row r="3032" spans="22:25" x14ac:dyDescent="0.2">
      <c r="V3032" s="562"/>
      <c r="X3032" s="562"/>
      <c r="Y3032" s="562"/>
    </row>
    <row r="3033" spans="22:25" x14ac:dyDescent="0.2">
      <c r="V3033" s="562"/>
      <c r="X3033" s="562"/>
      <c r="Y3033" s="562"/>
    </row>
    <row r="3034" spans="22:25" x14ac:dyDescent="0.2">
      <c r="V3034" s="562"/>
      <c r="X3034" s="562"/>
      <c r="Y3034" s="562"/>
    </row>
    <row r="3035" spans="22:25" x14ac:dyDescent="0.2">
      <c r="V3035" s="562"/>
      <c r="X3035" s="562"/>
      <c r="Y3035" s="562"/>
    </row>
    <row r="3036" spans="22:25" x14ac:dyDescent="0.2">
      <c r="V3036" s="562"/>
      <c r="X3036" s="562"/>
      <c r="Y3036" s="562"/>
    </row>
    <row r="3037" spans="22:25" x14ac:dyDescent="0.2">
      <c r="V3037" s="562"/>
      <c r="X3037" s="562"/>
      <c r="Y3037" s="562"/>
    </row>
    <row r="3038" spans="22:25" x14ac:dyDescent="0.2">
      <c r="V3038" s="562"/>
      <c r="X3038" s="562"/>
      <c r="Y3038" s="562"/>
    </row>
    <row r="3039" spans="22:25" x14ac:dyDescent="0.2">
      <c r="V3039" s="562"/>
      <c r="X3039" s="562"/>
      <c r="Y3039" s="562"/>
    </row>
    <row r="3040" spans="22:25" x14ac:dyDescent="0.2">
      <c r="V3040" s="562"/>
      <c r="X3040" s="562"/>
      <c r="Y3040" s="562"/>
    </row>
    <row r="3041" spans="22:25" x14ac:dyDescent="0.2">
      <c r="V3041" s="562"/>
      <c r="X3041" s="562"/>
      <c r="Y3041" s="562"/>
    </row>
    <row r="3042" spans="22:25" x14ac:dyDescent="0.2">
      <c r="V3042" s="562"/>
      <c r="X3042" s="562"/>
      <c r="Y3042" s="562"/>
    </row>
    <row r="3043" spans="22:25" x14ac:dyDescent="0.2">
      <c r="V3043" s="562"/>
      <c r="X3043" s="562"/>
      <c r="Y3043" s="562"/>
    </row>
    <row r="3044" spans="22:25" x14ac:dyDescent="0.2">
      <c r="V3044" s="562"/>
      <c r="X3044" s="562"/>
      <c r="Y3044" s="562"/>
    </row>
    <row r="3045" spans="22:25" x14ac:dyDescent="0.2">
      <c r="V3045" s="562"/>
      <c r="X3045" s="562"/>
      <c r="Y3045" s="562"/>
    </row>
    <row r="3046" spans="22:25" x14ac:dyDescent="0.2">
      <c r="V3046" s="562"/>
      <c r="X3046" s="562"/>
      <c r="Y3046" s="562"/>
    </row>
    <row r="3047" spans="22:25" x14ac:dyDescent="0.2">
      <c r="V3047" s="562"/>
      <c r="X3047" s="562"/>
      <c r="Y3047" s="562"/>
    </row>
    <row r="3048" spans="22:25" x14ac:dyDescent="0.2">
      <c r="V3048" s="562"/>
      <c r="X3048" s="562"/>
      <c r="Y3048" s="562"/>
    </row>
    <row r="3049" spans="22:25" x14ac:dyDescent="0.2">
      <c r="V3049" s="562"/>
      <c r="X3049" s="562"/>
      <c r="Y3049" s="562"/>
    </row>
    <row r="3050" spans="22:25" x14ac:dyDescent="0.2">
      <c r="V3050" s="562"/>
      <c r="X3050" s="562"/>
      <c r="Y3050" s="562"/>
    </row>
    <row r="3051" spans="22:25" x14ac:dyDescent="0.2">
      <c r="V3051" s="562"/>
      <c r="X3051" s="562"/>
      <c r="Y3051" s="562"/>
    </row>
    <row r="3052" spans="22:25" x14ac:dyDescent="0.2">
      <c r="V3052" s="562"/>
      <c r="X3052" s="562"/>
      <c r="Y3052" s="562"/>
    </row>
    <row r="3053" spans="22:25" x14ac:dyDescent="0.2">
      <c r="V3053" s="562"/>
      <c r="X3053" s="562"/>
      <c r="Y3053" s="562"/>
    </row>
    <row r="3054" spans="22:25" x14ac:dyDescent="0.2">
      <c r="V3054" s="562"/>
      <c r="X3054" s="562"/>
      <c r="Y3054" s="562"/>
    </row>
    <row r="3055" spans="22:25" x14ac:dyDescent="0.2">
      <c r="V3055" s="562"/>
      <c r="X3055" s="562"/>
      <c r="Y3055" s="562"/>
    </row>
    <row r="3056" spans="22:25" x14ac:dyDescent="0.2">
      <c r="V3056" s="562"/>
      <c r="X3056" s="562"/>
      <c r="Y3056" s="562"/>
    </row>
    <row r="3057" spans="22:25" x14ac:dyDescent="0.2">
      <c r="V3057" s="562"/>
      <c r="X3057" s="562"/>
      <c r="Y3057" s="562"/>
    </row>
    <row r="3058" spans="22:25" x14ac:dyDescent="0.2">
      <c r="V3058" s="562"/>
      <c r="X3058" s="562"/>
      <c r="Y3058" s="562"/>
    </row>
    <row r="3059" spans="22:25" x14ac:dyDescent="0.2">
      <c r="V3059" s="562"/>
      <c r="X3059" s="562"/>
      <c r="Y3059" s="562"/>
    </row>
    <row r="3060" spans="22:25" x14ac:dyDescent="0.2">
      <c r="V3060" s="562"/>
      <c r="X3060" s="562"/>
      <c r="Y3060" s="562"/>
    </row>
    <row r="3061" spans="22:25" x14ac:dyDescent="0.2">
      <c r="V3061" s="562"/>
      <c r="X3061" s="562"/>
      <c r="Y3061" s="562"/>
    </row>
    <row r="3062" spans="22:25" x14ac:dyDescent="0.2">
      <c r="V3062" s="562"/>
      <c r="X3062" s="562"/>
      <c r="Y3062" s="562"/>
    </row>
    <row r="3063" spans="22:25" x14ac:dyDescent="0.2">
      <c r="V3063" s="562"/>
      <c r="X3063" s="562"/>
      <c r="Y3063" s="562"/>
    </row>
    <row r="3064" spans="22:25" x14ac:dyDescent="0.2">
      <c r="V3064" s="562"/>
      <c r="X3064" s="562"/>
      <c r="Y3064" s="562"/>
    </row>
    <row r="3065" spans="22:25" x14ac:dyDescent="0.2">
      <c r="V3065" s="562"/>
      <c r="X3065" s="562"/>
      <c r="Y3065" s="562"/>
    </row>
    <row r="3066" spans="22:25" x14ac:dyDescent="0.2">
      <c r="V3066" s="562"/>
      <c r="X3066" s="562"/>
      <c r="Y3066" s="562"/>
    </row>
    <row r="3067" spans="22:25" x14ac:dyDescent="0.2">
      <c r="V3067" s="562"/>
      <c r="X3067" s="562"/>
      <c r="Y3067" s="562"/>
    </row>
    <row r="3068" spans="22:25" x14ac:dyDescent="0.2">
      <c r="V3068" s="562"/>
      <c r="X3068" s="562"/>
      <c r="Y3068" s="562"/>
    </row>
    <row r="3069" spans="22:25" x14ac:dyDescent="0.2">
      <c r="V3069" s="562"/>
      <c r="X3069" s="562"/>
      <c r="Y3069" s="562"/>
    </row>
    <row r="3070" spans="22:25" x14ac:dyDescent="0.2">
      <c r="V3070" s="562"/>
      <c r="X3070" s="562"/>
      <c r="Y3070" s="562"/>
    </row>
    <row r="3071" spans="22:25" x14ac:dyDescent="0.2">
      <c r="V3071" s="562"/>
      <c r="X3071" s="562"/>
      <c r="Y3071" s="562"/>
    </row>
    <row r="3072" spans="22:25" x14ac:dyDescent="0.2">
      <c r="V3072" s="562"/>
      <c r="X3072" s="562"/>
      <c r="Y3072" s="562"/>
    </row>
    <row r="3073" spans="22:25" x14ac:dyDescent="0.2">
      <c r="V3073" s="562"/>
      <c r="X3073" s="562"/>
      <c r="Y3073" s="562"/>
    </row>
    <row r="3074" spans="22:25" x14ac:dyDescent="0.2">
      <c r="V3074" s="562"/>
      <c r="X3074" s="562"/>
      <c r="Y3074" s="562"/>
    </row>
    <row r="3075" spans="22:25" x14ac:dyDescent="0.2">
      <c r="V3075" s="562"/>
      <c r="X3075" s="562"/>
      <c r="Y3075" s="562"/>
    </row>
    <row r="3076" spans="22:25" x14ac:dyDescent="0.2">
      <c r="V3076" s="562"/>
      <c r="X3076" s="562"/>
      <c r="Y3076" s="562"/>
    </row>
    <row r="3077" spans="22:25" x14ac:dyDescent="0.2">
      <c r="V3077" s="562"/>
      <c r="X3077" s="562"/>
      <c r="Y3077" s="562"/>
    </row>
    <row r="3078" spans="22:25" x14ac:dyDescent="0.2">
      <c r="V3078" s="562"/>
      <c r="X3078" s="562"/>
      <c r="Y3078" s="562"/>
    </row>
    <row r="3079" spans="22:25" x14ac:dyDescent="0.2">
      <c r="V3079" s="562"/>
      <c r="X3079" s="562"/>
      <c r="Y3079" s="562"/>
    </row>
    <row r="3080" spans="22:25" x14ac:dyDescent="0.2">
      <c r="V3080" s="562"/>
      <c r="X3080" s="562"/>
      <c r="Y3080" s="562"/>
    </row>
    <row r="3081" spans="22:25" x14ac:dyDescent="0.2">
      <c r="V3081" s="562"/>
      <c r="X3081" s="562"/>
      <c r="Y3081" s="562"/>
    </row>
    <row r="3082" spans="22:25" x14ac:dyDescent="0.2">
      <c r="V3082" s="562"/>
      <c r="X3082" s="562"/>
      <c r="Y3082" s="562"/>
    </row>
    <row r="3083" spans="22:25" x14ac:dyDescent="0.2">
      <c r="V3083" s="562"/>
      <c r="X3083" s="562"/>
      <c r="Y3083" s="562"/>
    </row>
    <row r="3084" spans="22:25" x14ac:dyDescent="0.2">
      <c r="V3084" s="562"/>
      <c r="X3084" s="562"/>
      <c r="Y3084" s="562"/>
    </row>
    <row r="3085" spans="22:25" x14ac:dyDescent="0.2">
      <c r="V3085" s="562"/>
      <c r="X3085" s="562"/>
      <c r="Y3085" s="562"/>
    </row>
    <row r="3086" spans="22:25" x14ac:dyDescent="0.2">
      <c r="V3086" s="562"/>
      <c r="X3086" s="562"/>
      <c r="Y3086" s="562"/>
    </row>
    <row r="3087" spans="22:25" x14ac:dyDescent="0.2">
      <c r="V3087" s="562"/>
      <c r="X3087" s="562"/>
      <c r="Y3087" s="562"/>
    </row>
    <row r="3088" spans="22:25" x14ac:dyDescent="0.2">
      <c r="V3088" s="562"/>
      <c r="X3088" s="562"/>
      <c r="Y3088" s="562"/>
    </row>
    <row r="3089" spans="22:25" x14ac:dyDescent="0.2">
      <c r="V3089" s="562"/>
      <c r="X3089" s="562"/>
      <c r="Y3089" s="562"/>
    </row>
    <row r="3090" spans="22:25" x14ac:dyDescent="0.2">
      <c r="V3090" s="562"/>
      <c r="X3090" s="562"/>
      <c r="Y3090" s="562"/>
    </row>
    <row r="3091" spans="22:25" x14ac:dyDescent="0.2">
      <c r="V3091" s="562"/>
      <c r="X3091" s="562"/>
      <c r="Y3091" s="562"/>
    </row>
    <row r="3092" spans="22:25" x14ac:dyDescent="0.2">
      <c r="V3092" s="562"/>
      <c r="X3092" s="562"/>
      <c r="Y3092" s="562"/>
    </row>
    <row r="3093" spans="22:25" x14ac:dyDescent="0.2">
      <c r="V3093" s="562"/>
      <c r="X3093" s="562"/>
      <c r="Y3093" s="562"/>
    </row>
    <row r="3094" spans="22:25" x14ac:dyDescent="0.2">
      <c r="V3094" s="562"/>
      <c r="X3094" s="562"/>
      <c r="Y3094" s="562"/>
    </row>
    <row r="3095" spans="22:25" x14ac:dyDescent="0.2">
      <c r="V3095" s="562"/>
      <c r="X3095" s="562"/>
      <c r="Y3095" s="562"/>
    </row>
    <row r="3096" spans="22:25" x14ac:dyDescent="0.2">
      <c r="V3096" s="562"/>
      <c r="X3096" s="562"/>
      <c r="Y3096" s="562"/>
    </row>
    <row r="3097" spans="22:25" x14ac:dyDescent="0.2">
      <c r="V3097" s="562"/>
      <c r="X3097" s="562"/>
      <c r="Y3097" s="562"/>
    </row>
    <row r="3098" spans="22:25" x14ac:dyDescent="0.2">
      <c r="V3098" s="562"/>
      <c r="X3098" s="562"/>
      <c r="Y3098" s="562"/>
    </row>
    <row r="3099" spans="22:25" x14ac:dyDescent="0.2">
      <c r="V3099" s="562"/>
      <c r="X3099" s="562"/>
      <c r="Y3099" s="562"/>
    </row>
    <row r="3100" spans="22:25" x14ac:dyDescent="0.2">
      <c r="V3100" s="562"/>
      <c r="X3100" s="562"/>
      <c r="Y3100" s="562"/>
    </row>
    <row r="3101" spans="22:25" x14ac:dyDescent="0.2">
      <c r="V3101" s="562"/>
      <c r="X3101" s="562"/>
      <c r="Y3101" s="562"/>
    </row>
    <row r="3102" spans="22:25" x14ac:dyDescent="0.2">
      <c r="V3102" s="562"/>
      <c r="X3102" s="562"/>
      <c r="Y3102" s="562"/>
    </row>
    <row r="3103" spans="22:25" x14ac:dyDescent="0.2">
      <c r="V3103" s="562"/>
      <c r="X3103" s="562"/>
      <c r="Y3103" s="562"/>
    </row>
    <row r="3104" spans="22:25" x14ac:dyDescent="0.2">
      <c r="V3104" s="562"/>
      <c r="X3104" s="562"/>
      <c r="Y3104" s="562"/>
    </row>
    <row r="3105" spans="22:25" x14ac:dyDescent="0.2">
      <c r="V3105" s="562"/>
      <c r="X3105" s="562"/>
      <c r="Y3105" s="562"/>
    </row>
    <row r="3106" spans="22:25" x14ac:dyDescent="0.2">
      <c r="V3106" s="562"/>
      <c r="X3106" s="562"/>
      <c r="Y3106" s="562"/>
    </row>
    <row r="3107" spans="22:25" x14ac:dyDescent="0.2">
      <c r="V3107" s="562"/>
      <c r="X3107" s="562"/>
      <c r="Y3107" s="562"/>
    </row>
    <row r="3108" spans="22:25" x14ac:dyDescent="0.2">
      <c r="V3108" s="562"/>
      <c r="X3108" s="562"/>
      <c r="Y3108" s="562"/>
    </row>
    <row r="3109" spans="22:25" x14ac:dyDescent="0.2">
      <c r="V3109" s="562"/>
      <c r="X3109" s="562"/>
      <c r="Y3109" s="562"/>
    </row>
    <row r="3110" spans="22:25" x14ac:dyDescent="0.2">
      <c r="V3110" s="562"/>
      <c r="X3110" s="562"/>
      <c r="Y3110" s="562"/>
    </row>
    <row r="3111" spans="22:25" x14ac:dyDescent="0.2">
      <c r="V3111" s="562"/>
      <c r="X3111" s="562"/>
      <c r="Y3111" s="562"/>
    </row>
    <row r="3112" spans="22:25" x14ac:dyDescent="0.2">
      <c r="V3112" s="562"/>
      <c r="X3112" s="562"/>
      <c r="Y3112" s="562"/>
    </row>
    <row r="3113" spans="22:25" x14ac:dyDescent="0.2">
      <c r="V3113" s="562"/>
      <c r="X3113" s="562"/>
      <c r="Y3113" s="562"/>
    </row>
    <row r="3114" spans="22:25" x14ac:dyDescent="0.2">
      <c r="V3114" s="562"/>
      <c r="X3114" s="562"/>
      <c r="Y3114" s="562"/>
    </row>
    <row r="3115" spans="22:25" x14ac:dyDescent="0.2">
      <c r="V3115" s="562"/>
      <c r="X3115" s="562"/>
      <c r="Y3115" s="562"/>
    </row>
    <row r="3116" spans="22:25" x14ac:dyDescent="0.2">
      <c r="V3116" s="562"/>
      <c r="X3116" s="562"/>
      <c r="Y3116" s="562"/>
    </row>
    <row r="3117" spans="22:25" x14ac:dyDescent="0.2">
      <c r="V3117" s="562"/>
      <c r="X3117" s="562"/>
      <c r="Y3117" s="562"/>
    </row>
    <row r="3118" spans="22:25" x14ac:dyDescent="0.2">
      <c r="V3118" s="562"/>
      <c r="X3118" s="562"/>
      <c r="Y3118" s="562"/>
    </row>
    <row r="3119" spans="22:25" x14ac:dyDescent="0.2">
      <c r="V3119" s="562"/>
      <c r="X3119" s="562"/>
      <c r="Y3119" s="562"/>
    </row>
    <row r="3120" spans="22:25" x14ac:dyDescent="0.2">
      <c r="V3120" s="562"/>
      <c r="X3120" s="562"/>
      <c r="Y3120" s="562"/>
    </row>
    <row r="3121" spans="22:25" x14ac:dyDescent="0.2">
      <c r="V3121" s="562"/>
      <c r="X3121" s="562"/>
      <c r="Y3121" s="562"/>
    </row>
    <row r="3122" spans="22:25" x14ac:dyDescent="0.2">
      <c r="V3122" s="562"/>
      <c r="X3122" s="562"/>
      <c r="Y3122" s="562"/>
    </row>
    <row r="3123" spans="22:25" x14ac:dyDescent="0.2">
      <c r="V3123" s="562"/>
      <c r="X3123" s="562"/>
      <c r="Y3123" s="562"/>
    </row>
    <row r="3124" spans="22:25" x14ac:dyDescent="0.2">
      <c r="V3124" s="562"/>
      <c r="X3124" s="562"/>
      <c r="Y3124" s="562"/>
    </row>
    <row r="3125" spans="22:25" x14ac:dyDescent="0.2">
      <c r="V3125" s="562"/>
      <c r="X3125" s="562"/>
      <c r="Y3125" s="562"/>
    </row>
    <row r="3126" spans="22:25" x14ac:dyDescent="0.2">
      <c r="V3126" s="562"/>
      <c r="X3126" s="562"/>
      <c r="Y3126" s="562"/>
    </row>
    <row r="3127" spans="22:25" x14ac:dyDescent="0.2">
      <c r="V3127" s="562"/>
      <c r="X3127" s="562"/>
      <c r="Y3127" s="562"/>
    </row>
    <row r="3128" spans="22:25" x14ac:dyDescent="0.2">
      <c r="V3128" s="562"/>
      <c r="X3128" s="562"/>
      <c r="Y3128" s="562"/>
    </row>
    <row r="3129" spans="22:25" x14ac:dyDescent="0.2">
      <c r="V3129" s="562"/>
      <c r="X3129" s="562"/>
      <c r="Y3129" s="562"/>
    </row>
    <row r="3130" spans="22:25" x14ac:dyDescent="0.2">
      <c r="V3130" s="562"/>
      <c r="X3130" s="562"/>
      <c r="Y3130" s="562"/>
    </row>
    <row r="3131" spans="22:25" x14ac:dyDescent="0.2">
      <c r="V3131" s="562"/>
      <c r="X3131" s="562"/>
      <c r="Y3131" s="562"/>
    </row>
    <row r="3132" spans="22:25" x14ac:dyDescent="0.2">
      <c r="V3132" s="562"/>
      <c r="X3132" s="562"/>
      <c r="Y3132" s="562"/>
    </row>
    <row r="3133" spans="22:25" x14ac:dyDescent="0.2">
      <c r="V3133" s="562"/>
      <c r="X3133" s="562"/>
      <c r="Y3133" s="562"/>
    </row>
    <row r="3134" spans="22:25" x14ac:dyDescent="0.2">
      <c r="V3134" s="562"/>
      <c r="X3134" s="562"/>
      <c r="Y3134" s="562"/>
    </row>
    <row r="3135" spans="22:25" x14ac:dyDescent="0.2">
      <c r="V3135" s="562"/>
      <c r="X3135" s="562"/>
      <c r="Y3135" s="562"/>
    </row>
    <row r="3136" spans="22:25" x14ac:dyDescent="0.2">
      <c r="V3136" s="562"/>
      <c r="X3136" s="562"/>
      <c r="Y3136" s="562"/>
    </row>
    <row r="3137" spans="22:25" x14ac:dyDescent="0.2">
      <c r="V3137" s="562"/>
      <c r="X3137" s="562"/>
      <c r="Y3137" s="562"/>
    </row>
    <row r="3138" spans="22:25" x14ac:dyDescent="0.2">
      <c r="V3138" s="562"/>
      <c r="X3138" s="562"/>
      <c r="Y3138" s="562"/>
    </row>
    <row r="3139" spans="22:25" x14ac:dyDescent="0.2">
      <c r="V3139" s="562"/>
      <c r="X3139" s="562"/>
      <c r="Y3139" s="562"/>
    </row>
    <row r="3140" spans="22:25" x14ac:dyDescent="0.2">
      <c r="V3140" s="562"/>
      <c r="X3140" s="562"/>
      <c r="Y3140" s="562"/>
    </row>
    <row r="3141" spans="22:25" x14ac:dyDescent="0.2">
      <c r="V3141" s="562"/>
      <c r="X3141" s="562"/>
      <c r="Y3141" s="562"/>
    </row>
    <row r="3142" spans="22:25" x14ac:dyDescent="0.2">
      <c r="V3142" s="562"/>
      <c r="X3142" s="562"/>
      <c r="Y3142" s="562"/>
    </row>
    <row r="3143" spans="22:25" x14ac:dyDescent="0.2">
      <c r="V3143" s="562"/>
      <c r="X3143" s="562"/>
      <c r="Y3143" s="562"/>
    </row>
    <row r="3144" spans="22:25" x14ac:dyDescent="0.2">
      <c r="V3144" s="562"/>
      <c r="X3144" s="562"/>
      <c r="Y3144" s="562"/>
    </row>
    <row r="3145" spans="22:25" x14ac:dyDescent="0.2">
      <c r="V3145" s="562"/>
      <c r="X3145" s="562"/>
      <c r="Y3145" s="562"/>
    </row>
    <row r="3146" spans="22:25" x14ac:dyDescent="0.2">
      <c r="V3146" s="562"/>
      <c r="X3146" s="562"/>
      <c r="Y3146" s="562"/>
    </row>
    <row r="3147" spans="22:25" x14ac:dyDescent="0.2">
      <c r="V3147" s="562"/>
      <c r="X3147" s="562"/>
      <c r="Y3147" s="562"/>
    </row>
    <row r="3148" spans="22:25" x14ac:dyDescent="0.2">
      <c r="V3148" s="562"/>
      <c r="X3148" s="562"/>
      <c r="Y3148" s="562"/>
    </row>
    <row r="3149" spans="22:25" x14ac:dyDescent="0.2">
      <c r="V3149" s="562"/>
      <c r="X3149" s="562"/>
      <c r="Y3149" s="562"/>
    </row>
    <row r="3150" spans="22:25" x14ac:dyDescent="0.2">
      <c r="V3150" s="562"/>
      <c r="X3150" s="562"/>
      <c r="Y3150" s="562"/>
    </row>
    <row r="3151" spans="22:25" x14ac:dyDescent="0.2">
      <c r="V3151" s="562"/>
      <c r="X3151" s="562"/>
      <c r="Y3151" s="562"/>
    </row>
    <row r="3152" spans="22:25" x14ac:dyDescent="0.2">
      <c r="V3152" s="562"/>
      <c r="X3152" s="562"/>
      <c r="Y3152" s="562"/>
    </row>
    <row r="3153" spans="22:25" x14ac:dyDescent="0.2">
      <c r="V3153" s="562"/>
      <c r="X3153" s="562"/>
      <c r="Y3153" s="562"/>
    </row>
    <row r="3154" spans="22:25" x14ac:dyDescent="0.2">
      <c r="V3154" s="562"/>
      <c r="X3154" s="562"/>
      <c r="Y3154" s="562"/>
    </row>
    <row r="3155" spans="22:25" x14ac:dyDescent="0.2">
      <c r="V3155" s="562"/>
      <c r="X3155" s="562"/>
      <c r="Y3155" s="562"/>
    </row>
    <row r="3156" spans="22:25" x14ac:dyDescent="0.2">
      <c r="V3156" s="562"/>
      <c r="X3156" s="562"/>
      <c r="Y3156" s="562"/>
    </row>
    <row r="3157" spans="22:25" x14ac:dyDescent="0.2">
      <c r="V3157" s="562"/>
      <c r="X3157" s="562"/>
      <c r="Y3157" s="562"/>
    </row>
    <row r="3158" spans="22:25" x14ac:dyDescent="0.2">
      <c r="V3158" s="562"/>
      <c r="X3158" s="562"/>
      <c r="Y3158" s="562"/>
    </row>
    <row r="3159" spans="22:25" x14ac:dyDescent="0.2">
      <c r="V3159" s="562"/>
      <c r="X3159" s="562"/>
      <c r="Y3159" s="562"/>
    </row>
    <row r="3160" spans="22:25" x14ac:dyDescent="0.2">
      <c r="V3160" s="562"/>
      <c r="X3160" s="562"/>
      <c r="Y3160" s="562"/>
    </row>
    <row r="3161" spans="22:25" x14ac:dyDescent="0.2">
      <c r="V3161" s="562"/>
      <c r="X3161" s="562"/>
      <c r="Y3161" s="562"/>
    </row>
    <row r="3162" spans="22:25" x14ac:dyDescent="0.2">
      <c r="V3162" s="562"/>
      <c r="X3162" s="562"/>
      <c r="Y3162" s="562"/>
    </row>
    <row r="3163" spans="22:25" x14ac:dyDescent="0.2">
      <c r="V3163" s="562"/>
      <c r="X3163" s="562"/>
      <c r="Y3163" s="562"/>
    </row>
    <row r="3164" spans="22:25" x14ac:dyDescent="0.2">
      <c r="V3164" s="562"/>
      <c r="X3164" s="562"/>
      <c r="Y3164" s="562"/>
    </row>
    <row r="3165" spans="22:25" x14ac:dyDescent="0.2">
      <c r="V3165" s="562"/>
      <c r="X3165" s="562"/>
      <c r="Y3165" s="562"/>
    </row>
    <row r="3166" spans="22:25" x14ac:dyDescent="0.2">
      <c r="V3166" s="562"/>
      <c r="X3166" s="562"/>
      <c r="Y3166" s="562"/>
    </row>
    <row r="3167" spans="22:25" x14ac:dyDescent="0.2">
      <c r="V3167" s="562"/>
      <c r="X3167" s="562"/>
      <c r="Y3167" s="562"/>
    </row>
    <row r="3168" spans="22:25" x14ac:dyDescent="0.2">
      <c r="V3168" s="562"/>
      <c r="X3168" s="562"/>
      <c r="Y3168" s="562"/>
    </row>
    <row r="3169" spans="22:25" x14ac:dyDescent="0.2">
      <c r="V3169" s="562"/>
      <c r="X3169" s="562"/>
      <c r="Y3169" s="562"/>
    </row>
    <row r="3170" spans="22:25" x14ac:dyDescent="0.2">
      <c r="V3170" s="562"/>
      <c r="X3170" s="562"/>
      <c r="Y3170" s="562"/>
    </row>
    <row r="3171" spans="22:25" x14ac:dyDescent="0.2">
      <c r="V3171" s="562"/>
      <c r="X3171" s="562"/>
      <c r="Y3171" s="562"/>
    </row>
    <row r="3172" spans="22:25" x14ac:dyDescent="0.2">
      <c r="V3172" s="562"/>
      <c r="X3172" s="562"/>
      <c r="Y3172" s="562"/>
    </row>
    <row r="3173" spans="22:25" x14ac:dyDescent="0.2">
      <c r="V3173" s="562"/>
      <c r="X3173" s="562"/>
      <c r="Y3173" s="562"/>
    </row>
    <row r="3174" spans="22:25" x14ac:dyDescent="0.2">
      <c r="V3174" s="562"/>
      <c r="X3174" s="562"/>
      <c r="Y3174" s="562"/>
    </row>
    <row r="3175" spans="22:25" x14ac:dyDescent="0.2">
      <c r="V3175" s="562"/>
      <c r="X3175" s="562"/>
      <c r="Y3175" s="562"/>
    </row>
    <row r="3176" spans="22:25" x14ac:dyDescent="0.2">
      <c r="V3176" s="562"/>
      <c r="X3176" s="562"/>
      <c r="Y3176" s="562"/>
    </row>
    <row r="3177" spans="22:25" x14ac:dyDescent="0.2">
      <c r="V3177" s="562"/>
      <c r="X3177" s="562"/>
      <c r="Y3177" s="562"/>
    </row>
    <row r="3178" spans="22:25" x14ac:dyDescent="0.2">
      <c r="V3178" s="562"/>
      <c r="X3178" s="562"/>
      <c r="Y3178" s="562"/>
    </row>
    <row r="3179" spans="22:25" x14ac:dyDescent="0.2">
      <c r="V3179" s="562"/>
      <c r="X3179" s="562"/>
      <c r="Y3179" s="562"/>
    </row>
    <row r="3180" spans="22:25" x14ac:dyDescent="0.2">
      <c r="V3180" s="562"/>
      <c r="X3180" s="562"/>
      <c r="Y3180" s="562"/>
    </row>
    <row r="3181" spans="22:25" x14ac:dyDescent="0.2">
      <c r="V3181" s="562"/>
      <c r="X3181" s="562"/>
      <c r="Y3181" s="562"/>
    </row>
    <row r="3182" spans="22:25" x14ac:dyDescent="0.2">
      <c r="V3182" s="562"/>
      <c r="X3182" s="562"/>
      <c r="Y3182" s="562"/>
    </row>
    <row r="3183" spans="22:25" x14ac:dyDescent="0.2">
      <c r="V3183" s="562"/>
      <c r="X3183" s="562"/>
      <c r="Y3183" s="562"/>
    </row>
    <row r="3184" spans="22:25" x14ac:dyDescent="0.2">
      <c r="V3184" s="562"/>
      <c r="X3184" s="562"/>
      <c r="Y3184" s="562"/>
    </row>
    <row r="3185" spans="22:25" x14ac:dyDescent="0.2">
      <c r="V3185" s="562"/>
      <c r="X3185" s="562"/>
      <c r="Y3185" s="562"/>
    </row>
    <row r="3186" spans="22:25" x14ac:dyDescent="0.2">
      <c r="V3186" s="562"/>
      <c r="X3186" s="562"/>
      <c r="Y3186" s="562"/>
    </row>
    <row r="3187" spans="22:25" x14ac:dyDescent="0.2">
      <c r="V3187" s="562"/>
      <c r="X3187" s="562"/>
      <c r="Y3187" s="562"/>
    </row>
    <row r="3188" spans="22:25" x14ac:dyDescent="0.2">
      <c r="V3188" s="562"/>
      <c r="X3188" s="562"/>
      <c r="Y3188" s="562"/>
    </row>
    <row r="3189" spans="22:25" x14ac:dyDescent="0.2">
      <c r="V3189" s="562"/>
      <c r="X3189" s="562"/>
      <c r="Y3189" s="562"/>
    </row>
    <row r="3190" spans="22:25" x14ac:dyDescent="0.2">
      <c r="V3190" s="562"/>
      <c r="X3190" s="562"/>
      <c r="Y3190" s="562"/>
    </row>
    <row r="3191" spans="22:25" x14ac:dyDescent="0.2">
      <c r="V3191" s="562"/>
      <c r="X3191" s="562"/>
      <c r="Y3191" s="562"/>
    </row>
    <row r="3192" spans="22:25" x14ac:dyDescent="0.2">
      <c r="V3192" s="562"/>
      <c r="X3192" s="562"/>
      <c r="Y3192" s="562"/>
    </row>
    <row r="3193" spans="22:25" x14ac:dyDescent="0.2">
      <c r="V3193" s="562"/>
      <c r="X3193" s="562"/>
      <c r="Y3193" s="562"/>
    </row>
    <row r="3194" spans="22:25" x14ac:dyDescent="0.2">
      <c r="V3194" s="562"/>
      <c r="X3194" s="562"/>
      <c r="Y3194" s="562"/>
    </row>
    <row r="3195" spans="22:25" x14ac:dyDescent="0.2">
      <c r="V3195" s="562"/>
      <c r="X3195" s="562"/>
      <c r="Y3195" s="562"/>
    </row>
    <row r="3196" spans="22:25" x14ac:dyDescent="0.2">
      <c r="V3196" s="562"/>
      <c r="X3196" s="562"/>
      <c r="Y3196" s="562"/>
    </row>
    <row r="3197" spans="22:25" x14ac:dyDescent="0.2">
      <c r="V3197" s="562"/>
      <c r="X3197" s="562"/>
      <c r="Y3197" s="562"/>
    </row>
    <row r="3198" spans="22:25" x14ac:dyDescent="0.2">
      <c r="V3198" s="562"/>
      <c r="X3198" s="562"/>
      <c r="Y3198" s="562"/>
    </row>
    <row r="3199" spans="22:25" x14ac:dyDescent="0.2">
      <c r="V3199" s="562"/>
      <c r="X3199" s="562"/>
      <c r="Y3199" s="562"/>
    </row>
    <row r="3200" spans="22:25" x14ac:dyDescent="0.2">
      <c r="V3200" s="562"/>
      <c r="X3200" s="562"/>
      <c r="Y3200" s="562"/>
    </row>
    <row r="3201" spans="22:25" x14ac:dyDescent="0.2">
      <c r="V3201" s="562"/>
      <c r="X3201" s="562"/>
      <c r="Y3201" s="562"/>
    </row>
    <row r="3202" spans="22:25" x14ac:dyDescent="0.2">
      <c r="V3202" s="562"/>
      <c r="X3202" s="562"/>
      <c r="Y3202" s="562"/>
    </row>
    <row r="3203" spans="22:25" x14ac:dyDescent="0.2">
      <c r="V3203" s="562"/>
      <c r="X3203" s="562"/>
      <c r="Y3203" s="562"/>
    </row>
    <row r="3204" spans="22:25" x14ac:dyDescent="0.2">
      <c r="V3204" s="562"/>
      <c r="X3204" s="562"/>
      <c r="Y3204" s="562"/>
    </row>
    <row r="3205" spans="22:25" x14ac:dyDescent="0.2">
      <c r="V3205" s="562"/>
      <c r="X3205" s="562"/>
      <c r="Y3205" s="562"/>
    </row>
    <row r="3206" spans="22:25" x14ac:dyDescent="0.2">
      <c r="V3206" s="562"/>
      <c r="X3206" s="562"/>
      <c r="Y3206" s="562"/>
    </row>
    <row r="3207" spans="22:25" x14ac:dyDescent="0.2">
      <c r="V3207" s="562"/>
      <c r="X3207" s="562"/>
      <c r="Y3207" s="562"/>
    </row>
    <row r="3208" spans="22:25" x14ac:dyDescent="0.2">
      <c r="V3208" s="562"/>
      <c r="X3208" s="562"/>
      <c r="Y3208" s="562"/>
    </row>
    <row r="3209" spans="22:25" x14ac:dyDescent="0.2">
      <c r="V3209" s="562"/>
      <c r="X3209" s="562"/>
      <c r="Y3209" s="562"/>
    </row>
    <row r="3210" spans="22:25" x14ac:dyDescent="0.2">
      <c r="V3210" s="562"/>
      <c r="X3210" s="562"/>
      <c r="Y3210" s="562"/>
    </row>
    <row r="3211" spans="22:25" x14ac:dyDescent="0.2">
      <c r="V3211" s="562"/>
      <c r="X3211" s="562"/>
      <c r="Y3211" s="562"/>
    </row>
    <row r="3212" spans="22:25" x14ac:dyDescent="0.2">
      <c r="V3212" s="562"/>
      <c r="X3212" s="562"/>
      <c r="Y3212" s="562"/>
    </row>
    <row r="3213" spans="22:25" x14ac:dyDescent="0.2">
      <c r="V3213" s="562"/>
      <c r="X3213" s="562"/>
      <c r="Y3213" s="562"/>
    </row>
    <row r="3214" spans="22:25" x14ac:dyDescent="0.2">
      <c r="V3214" s="562"/>
      <c r="X3214" s="562"/>
      <c r="Y3214" s="562"/>
    </row>
    <row r="3215" spans="22:25" x14ac:dyDescent="0.2">
      <c r="V3215" s="562"/>
      <c r="X3215" s="562"/>
      <c r="Y3215" s="562"/>
    </row>
    <row r="3216" spans="22:25" x14ac:dyDescent="0.2">
      <c r="V3216" s="562"/>
      <c r="X3216" s="562"/>
      <c r="Y3216" s="562"/>
    </row>
    <row r="3217" spans="22:25" x14ac:dyDescent="0.2">
      <c r="V3217" s="562"/>
      <c r="X3217" s="562"/>
      <c r="Y3217" s="562"/>
    </row>
    <row r="3218" spans="22:25" x14ac:dyDescent="0.2">
      <c r="V3218" s="562"/>
      <c r="X3218" s="562"/>
      <c r="Y3218" s="562"/>
    </row>
    <row r="3219" spans="22:25" x14ac:dyDescent="0.2">
      <c r="V3219" s="562"/>
      <c r="X3219" s="562"/>
      <c r="Y3219" s="562"/>
    </row>
    <row r="3220" spans="22:25" x14ac:dyDescent="0.2">
      <c r="V3220" s="562"/>
      <c r="X3220" s="562"/>
      <c r="Y3220" s="562"/>
    </row>
    <row r="3221" spans="22:25" x14ac:dyDescent="0.2">
      <c r="V3221" s="562"/>
      <c r="X3221" s="562"/>
      <c r="Y3221" s="562"/>
    </row>
    <row r="3222" spans="22:25" x14ac:dyDescent="0.2">
      <c r="V3222" s="562"/>
      <c r="X3222" s="562"/>
      <c r="Y3222" s="562"/>
    </row>
    <row r="3223" spans="22:25" x14ac:dyDescent="0.2">
      <c r="V3223" s="562"/>
      <c r="X3223" s="562"/>
      <c r="Y3223" s="562"/>
    </row>
    <row r="3224" spans="22:25" x14ac:dyDescent="0.2">
      <c r="V3224" s="562"/>
      <c r="X3224" s="562"/>
      <c r="Y3224" s="562"/>
    </row>
    <row r="3225" spans="22:25" x14ac:dyDescent="0.2">
      <c r="V3225" s="562"/>
      <c r="X3225" s="562"/>
      <c r="Y3225" s="562"/>
    </row>
    <row r="3226" spans="22:25" x14ac:dyDescent="0.2">
      <c r="V3226" s="562"/>
      <c r="X3226" s="562"/>
      <c r="Y3226" s="562"/>
    </row>
    <row r="3227" spans="22:25" x14ac:dyDescent="0.2">
      <c r="V3227" s="562"/>
      <c r="X3227" s="562"/>
      <c r="Y3227" s="562"/>
    </row>
    <row r="3228" spans="22:25" x14ac:dyDescent="0.2">
      <c r="V3228" s="562"/>
      <c r="X3228" s="562"/>
      <c r="Y3228" s="562"/>
    </row>
    <row r="3229" spans="22:25" x14ac:dyDescent="0.2">
      <c r="V3229" s="562"/>
      <c r="X3229" s="562"/>
      <c r="Y3229" s="562"/>
    </row>
    <row r="3230" spans="22:25" x14ac:dyDescent="0.2">
      <c r="V3230" s="562"/>
      <c r="X3230" s="562"/>
      <c r="Y3230" s="562"/>
    </row>
    <row r="3231" spans="22:25" x14ac:dyDescent="0.2">
      <c r="V3231" s="562"/>
      <c r="X3231" s="562"/>
      <c r="Y3231" s="562"/>
    </row>
    <row r="3232" spans="22:25" x14ac:dyDescent="0.2">
      <c r="V3232" s="562"/>
      <c r="X3232" s="562"/>
      <c r="Y3232" s="562"/>
    </row>
    <row r="3233" spans="22:25" x14ac:dyDescent="0.2">
      <c r="V3233" s="562"/>
      <c r="X3233" s="562"/>
      <c r="Y3233" s="562"/>
    </row>
    <row r="3234" spans="22:25" x14ac:dyDescent="0.2">
      <c r="V3234" s="562"/>
      <c r="X3234" s="562"/>
      <c r="Y3234" s="562"/>
    </row>
    <row r="3235" spans="22:25" x14ac:dyDescent="0.2">
      <c r="V3235" s="562"/>
      <c r="X3235" s="562"/>
      <c r="Y3235" s="562"/>
    </row>
    <row r="3236" spans="22:25" x14ac:dyDescent="0.2">
      <c r="V3236" s="562"/>
      <c r="X3236" s="562"/>
      <c r="Y3236" s="562"/>
    </row>
    <row r="3237" spans="22:25" x14ac:dyDescent="0.2">
      <c r="V3237" s="562"/>
      <c r="X3237" s="562"/>
      <c r="Y3237" s="562"/>
    </row>
    <row r="3238" spans="22:25" x14ac:dyDescent="0.2">
      <c r="V3238" s="562"/>
      <c r="X3238" s="562"/>
      <c r="Y3238" s="562"/>
    </row>
    <row r="3239" spans="22:25" x14ac:dyDescent="0.2">
      <c r="V3239" s="562"/>
      <c r="X3239" s="562"/>
      <c r="Y3239" s="562"/>
    </row>
    <row r="3240" spans="22:25" x14ac:dyDescent="0.2">
      <c r="V3240" s="562"/>
      <c r="X3240" s="562"/>
      <c r="Y3240" s="562"/>
    </row>
    <row r="3241" spans="22:25" x14ac:dyDescent="0.2">
      <c r="V3241" s="562"/>
      <c r="X3241" s="562"/>
      <c r="Y3241" s="562"/>
    </row>
    <row r="3242" spans="22:25" x14ac:dyDescent="0.2">
      <c r="V3242" s="562"/>
      <c r="X3242" s="562"/>
      <c r="Y3242" s="562"/>
    </row>
    <row r="3243" spans="22:25" x14ac:dyDescent="0.2">
      <c r="V3243" s="562"/>
      <c r="X3243" s="562"/>
      <c r="Y3243" s="562"/>
    </row>
    <row r="3244" spans="22:25" x14ac:dyDescent="0.2">
      <c r="V3244" s="562"/>
      <c r="X3244" s="562"/>
      <c r="Y3244" s="562"/>
    </row>
    <row r="3245" spans="22:25" x14ac:dyDescent="0.2">
      <c r="V3245" s="562"/>
      <c r="X3245" s="562"/>
      <c r="Y3245" s="562"/>
    </row>
    <row r="3246" spans="22:25" x14ac:dyDescent="0.2">
      <c r="V3246" s="562"/>
      <c r="X3246" s="562"/>
      <c r="Y3246" s="562"/>
    </row>
    <row r="3247" spans="22:25" x14ac:dyDescent="0.2">
      <c r="V3247" s="562"/>
      <c r="X3247" s="562"/>
      <c r="Y3247" s="562"/>
    </row>
    <row r="3248" spans="22:25" x14ac:dyDescent="0.2">
      <c r="V3248" s="562"/>
      <c r="X3248" s="562"/>
      <c r="Y3248" s="562"/>
    </row>
    <row r="3249" spans="22:25" x14ac:dyDescent="0.2">
      <c r="V3249" s="562"/>
      <c r="X3249" s="562"/>
      <c r="Y3249" s="562"/>
    </row>
    <row r="3250" spans="22:25" x14ac:dyDescent="0.2">
      <c r="V3250" s="562"/>
      <c r="X3250" s="562"/>
      <c r="Y3250" s="562"/>
    </row>
    <row r="3251" spans="22:25" x14ac:dyDescent="0.2">
      <c r="V3251" s="562"/>
      <c r="X3251" s="562"/>
      <c r="Y3251" s="562"/>
    </row>
    <row r="3252" spans="22:25" x14ac:dyDescent="0.2">
      <c r="V3252" s="562"/>
      <c r="X3252" s="562"/>
      <c r="Y3252" s="562"/>
    </row>
    <row r="3253" spans="22:25" x14ac:dyDescent="0.2">
      <c r="V3253" s="562"/>
      <c r="X3253" s="562"/>
      <c r="Y3253" s="562"/>
    </row>
    <row r="3254" spans="22:25" x14ac:dyDescent="0.2">
      <c r="V3254" s="562"/>
      <c r="X3254" s="562"/>
      <c r="Y3254" s="562"/>
    </row>
    <row r="3255" spans="22:25" x14ac:dyDescent="0.2">
      <c r="V3255" s="562"/>
      <c r="X3255" s="562"/>
      <c r="Y3255" s="562"/>
    </row>
    <row r="3256" spans="22:25" x14ac:dyDescent="0.2">
      <c r="V3256" s="562"/>
      <c r="X3256" s="562"/>
      <c r="Y3256" s="562"/>
    </row>
    <row r="3257" spans="22:25" x14ac:dyDescent="0.2">
      <c r="V3257" s="562"/>
      <c r="X3257" s="562"/>
      <c r="Y3257" s="562"/>
    </row>
    <row r="3258" spans="22:25" x14ac:dyDescent="0.2">
      <c r="V3258" s="562"/>
      <c r="X3258" s="562"/>
      <c r="Y3258" s="562"/>
    </row>
    <row r="3259" spans="22:25" x14ac:dyDescent="0.2">
      <c r="V3259" s="562"/>
      <c r="X3259" s="562"/>
      <c r="Y3259" s="562"/>
    </row>
    <row r="3260" spans="22:25" x14ac:dyDescent="0.2">
      <c r="V3260" s="562"/>
      <c r="X3260" s="562"/>
      <c r="Y3260" s="562"/>
    </row>
    <row r="3261" spans="22:25" x14ac:dyDescent="0.2">
      <c r="V3261" s="562"/>
      <c r="X3261" s="562"/>
      <c r="Y3261" s="562"/>
    </row>
    <row r="3262" spans="22:25" x14ac:dyDescent="0.2">
      <c r="V3262" s="562"/>
      <c r="X3262" s="562"/>
      <c r="Y3262" s="562"/>
    </row>
    <row r="3263" spans="22:25" x14ac:dyDescent="0.2">
      <c r="V3263" s="562"/>
      <c r="X3263" s="562"/>
      <c r="Y3263" s="562"/>
    </row>
    <row r="3264" spans="22:25" x14ac:dyDescent="0.2">
      <c r="V3264" s="562"/>
      <c r="X3264" s="562"/>
      <c r="Y3264" s="562"/>
    </row>
    <row r="3265" spans="22:25" x14ac:dyDescent="0.2">
      <c r="V3265" s="562"/>
      <c r="X3265" s="562"/>
      <c r="Y3265" s="562"/>
    </row>
    <row r="3266" spans="22:25" x14ac:dyDescent="0.2">
      <c r="V3266" s="562"/>
      <c r="X3266" s="562"/>
      <c r="Y3266" s="562"/>
    </row>
    <row r="3267" spans="22:25" x14ac:dyDescent="0.2">
      <c r="V3267" s="562"/>
      <c r="X3267" s="562"/>
      <c r="Y3267" s="562"/>
    </row>
    <row r="3268" spans="22:25" x14ac:dyDescent="0.2">
      <c r="V3268" s="562"/>
      <c r="X3268" s="562"/>
      <c r="Y3268" s="562"/>
    </row>
    <row r="3269" spans="22:25" x14ac:dyDescent="0.2">
      <c r="V3269" s="562"/>
      <c r="X3269" s="562"/>
      <c r="Y3269" s="562"/>
    </row>
    <row r="3270" spans="22:25" x14ac:dyDescent="0.2">
      <c r="V3270" s="562"/>
      <c r="X3270" s="562"/>
      <c r="Y3270" s="562"/>
    </row>
    <row r="3271" spans="22:25" x14ac:dyDescent="0.2">
      <c r="V3271" s="562"/>
      <c r="X3271" s="562"/>
      <c r="Y3271" s="562"/>
    </row>
    <row r="3272" spans="22:25" x14ac:dyDescent="0.2">
      <c r="V3272" s="562"/>
      <c r="X3272" s="562"/>
      <c r="Y3272" s="562"/>
    </row>
    <row r="3273" spans="22:25" x14ac:dyDescent="0.2">
      <c r="V3273" s="562"/>
      <c r="X3273" s="562"/>
      <c r="Y3273" s="562"/>
    </row>
    <row r="3274" spans="22:25" x14ac:dyDescent="0.2">
      <c r="V3274" s="562"/>
      <c r="X3274" s="562"/>
      <c r="Y3274" s="562"/>
    </row>
    <row r="3275" spans="22:25" x14ac:dyDescent="0.2">
      <c r="V3275" s="562"/>
      <c r="X3275" s="562"/>
      <c r="Y3275" s="562"/>
    </row>
    <row r="3276" spans="22:25" x14ac:dyDescent="0.2">
      <c r="V3276" s="562"/>
      <c r="X3276" s="562"/>
      <c r="Y3276" s="562"/>
    </row>
    <row r="3277" spans="22:25" x14ac:dyDescent="0.2">
      <c r="V3277" s="562"/>
      <c r="X3277" s="562"/>
      <c r="Y3277" s="562"/>
    </row>
    <row r="3278" spans="22:25" x14ac:dyDescent="0.2">
      <c r="V3278" s="562"/>
      <c r="X3278" s="562"/>
      <c r="Y3278" s="562"/>
    </row>
    <row r="3279" spans="22:25" x14ac:dyDescent="0.2">
      <c r="V3279" s="562"/>
      <c r="X3279" s="562"/>
      <c r="Y3279" s="562"/>
    </row>
    <row r="3280" spans="22:25" x14ac:dyDescent="0.2">
      <c r="V3280" s="562"/>
      <c r="X3280" s="562"/>
      <c r="Y3280" s="562"/>
    </row>
    <row r="3281" spans="22:25" x14ac:dyDescent="0.2">
      <c r="V3281" s="562"/>
      <c r="X3281" s="562"/>
      <c r="Y3281" s="562"/>
    </row>
    <row r="3282" spans="22:25" x14ac:dyDescent="0.2">
      <c r="V3282" s="562"/>
      <c r="X3282" s="562"/>
      <c r="Y3282" s="562"/>
    </row>
    <row r="3283" spans="22:25" x14ac:dyDescent="0.2">
      <c r="V3283" s="562"/>
      <c r="X3283" s="562"/>
      <c r="Y3283" s="562"/>
    </row>
    <row r="3284" spans="22:25" x14ac:dyDescent="0.2">
      <c r="V3284" s="562"/>
      <c r="X3284" s="562"/>
      <c r="Y3284" s="562"/>
    </row>
    <row r="3285" spans="22:25" x14ac:dyDescent="0.2">
      <c r="V3285" s="562"/>
      <c r="X3285" s="562"/>
      <c r="Y3285" s="562"/>
    </row>
    <row r="3286" spans="22:25" x14ac:dyDescent="0.2">
      <c r="V3286" s="562"/>
      <c r="X3286" s="562"/>
      <c r="Y3286" s="562"/>
    </row>
    <row r="3287" spans="22:25" x14ac:dyDescent="0.2">
      <c r="V3287" s="562"/>
      <c r="X3287" s="562"/>
      <c r="Y3287" s="562"/>
    </row>
    <row r="3288" spans="22:25" x14ac:dyDescent="0.2">
      <c r="V3288" s="562"/>
      <c r="X3288" s="562"/>
      <c r="Y3288" s="562"/>
    </row>
    <row r="3289" spans="22:25" x14ac:dyDescent="0.2">
      <c r="V3289" s="562"/>
      <c r="X3289" s="562"/>
      <c r="Y3289" s="562"/>
    </row>
    <row r="3290" spans="22:25" x14ac:dyDescent="0.2">
      <c r="V3290" s="562"/>
      <c r="X3290" s="562"/>
      <c r="Y3290" s="562"/>
    </row>
    <row r="3291" spans="22:25" x14ac:dyDescent="0.2">
      <c r="V3291" s="562"/>
      <c r="X3291" s="562"/>
      <c r="Y3291" s="562"/>
    </row>
    <row r="3292" spans="22:25" x14ac:dyDescent="0.2">
      <c r="V3292" s="562"/>
      <c r="X3292" s="562"/>
      <c r="Y3292" s="562"/>
    </row>
    <row r="3293" spans="22:25" x14ac:dyDescent="0.2">
      <c r="V3293" s="562"/>
      <c r="X3293" s="562"/>
      <c r="Y3293" s="562"/>
    </row>
    <row r="3294" spans="22:25" x14ac:dyDescent="0.2">
      <c r="V3294" s="562"/>
      <c r="X3294" s="562"/>
      <c r="Y3294" s="562"/>
    </row>
    <row r="3295" spans="22:25" x14ac:dyDescent="0.2">
      <c r="V3295" s="562"/>
      <c r="X3295" s="562"/>
      <c r="Y3295" s="562"/>
    </row>
    <row r="3296" spans="22:25" x14ac:dyDescent="0.2">
      <c r="V3296" s="562"/>
      <c r="X3296" s="562"/>
      <c r="Y3296" s="562"/>
    </row>
    <row r="3297" spans="22:25" x14ac:dyDescent="0.2">
      <c r="V3297" s="562"/>
      <c r="X3297" s="562"/>
      <c r="Y3297" s="562"/>
    </row>
    <row r="3298" spans="22:25" x14ac:dyDescent="0.2">
      <c r="V3298" s="562"/>
      <c r="X3298" s="562"/>
      <c r="Y3298" s="562"/>
    </row>
    <row r="3299" spans="22:25" x14ac:dyDescent="0.2">
      <c r="V3299" s="562"/>
      <c r="X3299" s="562"/>
      <c r="Y3299" s="562"/>
    </row>
    <row r="3300" spans="22:25" x14ac:dyDescent="0.2">
      <c r="V3300" s="562"/>
      <c r="X3300" s="562"/>
      <c r="Y3300" s="562"/>
    </row>
    <row r="3301" spans="22:25" x14ac:dyDescent="0.2">
      <c r="V3301" s="562"/>
      <c r="X3301" s="562"/>
      <c r="Y3301" s="562"/>
    </row>
    <row r="3302" spans="22:25" x14ac:dyDescent="0.2">
      <c r="V3302" s="562"/>
      <c r="X3302" s="562"/>
      <c r="Y3302" s="562"/>
    </row>
    <row r="3303" spans="22:25" x14ac:dyDescent="0.2">
      <c r="V3303" s="562"/>
      <c r="X3303" s="562"/>
      <c r="Y3303" s="562"/>
    </row>
    <row r="3304" spans="22:25" x14ac:dyDescent="0.2">
      <c r="V3304" s="562"/>
      <c r="X3304" s="562"/>
      <c r="Y3304" s="562"/>
    </row>
    <row r="3305" spans="22:25" x14ac:dyDescent="0.2">
      <c r="V3305" s="562"/>
      <c r="X3305" s="562"/>
      <c r="Y3305" s="562"/>
    </row>
    <row r="3306" spans="22:25" x14ac:dyDescent="0.2">
      <c r="V3306" s="562"/>
      <c r="X3306" s="562"/>
      <c r="Y3306" s="562"/>
    </row>
    <row r="3307" spans="22:25" x14ac:dyDescent="0.2">
      <c r="V3307" s="562"/>
      <c r="X3307" s="562"/>
      <c r="Y3307" s="562"/>
    </row>
    <row r="3308" spans="22:25" x14ac:dyDescent="0.2">
      <c r="V3308" s="562"/>
      <c r="X3308" s="562"/>
      <c r="Y3308" s="562"/>
    </row>
    <row r="3309" spans="22:25" x14ac:dyDescent="0.2">
      <c r="V3309" s="562"/>
      <c r="X3309" s="562"/>
      <c r="Y3309" s="562"/>
    </row>
    <row r="3310" spans="22:25" x14ac:dyDescent="0.2">
      <c r="V3310" s="562"/>
      <c r="X3310" s="562"/>
      <c r="Y3310" s="562"/>
    </row>
    <row r="3311" spans="22:25" x14ac:dyDescent="0.2">
      <c r="V3311" s="562"/>
      <c r="X3311" s="562"/>
      <c r="Y3311" s="562"/>
    </row>
    <row r="3312" spans="22:25" x14ac:dyDescent="0.2">
      <c r="V3312" s="562"/>
      <c r="X3312" s="562"/>
      <c r="Y3312" s="562"/>
    </row>
    <row r="3313" spans="22:25" x14ac:dyDescent="0.2">
      <c r="V3313" s="562"/>
      <c r="X3313" s="562"/>
      <c r="Y3313" s="562"/>
    </row>
    <row r="3314" spans="22:25" x14ac:dyDescent="0.2">
      <c r="V3314" s="562"/>
      <c r="X3314" s="562"/>
      <c r="Y3314" s="562"/>
    </row>
    <row r="3315" spans="22:25" x14ac:dyDescent="0.2">
      <c r="V3315" s="562"/>
      <c r="X3315" s="562"/>
      <c r="Y3315" s="562"/>
    </row>
    <row r="3316" spans="22:25" x14ac:dyDescent="0.2">
      <c r="V3316" s="562"/>
      <c r="X3316" s="562"/>
      <c r="Y3316" s="562"/>
    </row>
    <row r="3317" spans="22:25" x14ac:dyDescent="0.2">
      <c r="V3317" s="562"/>
      <c r="X3317" s="562"/>
      <c r="Y3317" s="562"/>
    </row>
    <row r="3318" spans="22:25" x14ac:dyDescent="0.2">
      <c r="V3318" s="562"/>
      <c r="X3318" s="562"/>
      <c r="Y3318" s="562"/>
    </row>
    <row r="3319" spans="22:25" x14ac:dyDescent="0.2">
      <c r="V3319" s="562"/>
      <c r="X3319" s="562"/>
      <c r="Y3319" s="562"/>
    </row>
    <row r="3320" spans="22:25" x14ac:dyDescent="0.2">
      <c r="V3320" s="562"/>
      <c r="X3320" s="562"/>
      <c r="Y3320" s="562"/>
    </row>
    <row r="3321" spans="22:25" x14ac:dyDescent="0.2">
      <c r="V3321" s="562"/>
      <c r="X3321" s="562"/>
      <c r="Y3321" s="562"/>
    </row>
    <row r="3322" spans="22:25" x14ac:dyDescent="0.2">
      <c r="V3322" s="562"/>
      <c r="X3322" s="562"/>
      <c r="Y3322" s="562"/>
    </row>
    <row r="3323" spans="22:25" x14ac:dyDescent="0.2">
      <c r="V3323" s="562"/>
      <c r="X3323" s="562"/>
      <c r="Y3323" s="562"/>
    </row>
    <row r="3324" spans="22:25" x14ac:dyDescent="0.2">
      <c r="V3324" s="562"/>
      <c r="X3324" s="562"/>
      <c r="Y3324" s="562"/>
    </row>
    <row r="3325" spans="22:25" x14ac:dyDescent="0.2">
      <c r="V3325" s="562"/>
      <c r="X3325" s="562"/>
      <c r="Y3325" s="562"/>
    </row>
    <row r="3326" spans="22:25" x14ac:dyDescent="0.2">
      <c r="V3326" s="562"/>
      <c r="X3326" s="562"/>
      <c r="Y3326" s="562"/>
    </row>
    <row r="3327" spans="22:25" x14ac:dyDescent="0.2">
      <c r="V3327" s="562"/>
      <c r="X3327" s="562"/>
      <c r="Y3327" s="562"/>
    </row>
    <row r="3328" spans="22:25" x14ac:dyDescent="0.2">
      <c r="V3328" s="562"/>
      <c r="X3328" s="562"/>
      <c r="Y3328" s="562"/>
    </row>
    <row r="3329" spans="22:25" x14ac:dyDescent="0.2">
      <c r="V3329" s="562"/>
      <c r="X3329" s="562"/>
      <c r="Y3329" s="562"/>
    </row>
    <row r="3330" spans="22:25" x14ac:dyDescent="0.2">
      <c r="V3330" s="562"/>
      <c r="X3330" s="562"/>
      <c r="Y3330" s="562"/>
    </row>
    <row r="3331" spans="22:25" x14ac:dyDescent="0.2">
      <c r="V3331" s="562"/>
      <c r="X3331" s="562"/>
      <c r="Y3331" s="562"/>
    </row>
    <row r="3332" spans="22:25" x14ac:dyDescent="0.2">
      <c r="V3332" s="562"/>
      <c r="X3332" s="562"/>
      <c r="Y3332" s="562"/>
    </row>
    <row r="3333" spans="22:25" x14ac:dyDescent="0.2">
      <c r="V3333" s="562"/>
      <c r="X3333" s="562"/>
      <c r="Y3333" s="562"/>
    </row>
    <row r="3334" spans="22:25" x14ac:dyDescent="0.2">
      <c r="V3334" s="562"/>
      <c r="X3334" s="562"/>
      <c r="Y3334" s="562"/>
    </row>
    <row r="3335" spans="22:25" x14ac:dyDescent="0.2">
      <c r="V3335" s="562"/>
      <c r="X3335" s="562"/>
      <c r="Y3335" s="562"/>
    </row>
    <row r="3336" spans="22:25" x14ac:dyDescent="0.2">
      <c r="V3336" s="562"/>
      <c r="X3336" s="562"/>
      <c r="Y3336" s="562"/>
    </row>
    <row r="3337" spans="22:25" x14ac:dyDescent="0.2">
      <c r="V3337" s="562"/>
      <c r="X3337" s="562"/>
      <c r="Y3337" s="562"/>
    </row>
    <row r="3338" spans="22:25" x14ac:dyDescent="0.2">
      <c r="V3338" s="562"/>
      <c r="X3338" s="562"/>
      <c r="Y3338" s="562"/>
    </row>
    <row r="3339" spans="22:25" x14ac:dyDescent="0.2">
      <c r="V3339" s="562"/>
      <c r="X3339" s="562"/>
      <c r="Y3339" s="562"/>
    </row>
    <row r="3340" spans="22:25" x14ac:dyDescent="0.2">
      <c r="V3340" s="562"/>
      <c r="X3340" s="562"/>
      <c r="Y3340" s="562"/>
    </row>
    <row r="3341" spans="22:25" x14ac:dyDescent="0.2">
      <c r="V3341" s="562"/>
      <c r="X3341" s="562"/>
      <c r="Y3341" s="562"/>
    </row>
    <row r="3342" spans="22:25" x14ac:dyDescent="0.2">
      <c r="V3342" s="562"/>
      <c r="X3342" s="562"/>
      <c r="Y3342" s="562"/>
    </row>
    <row r="3343" spans="22:25" x14ac:dyDescent="0.2">
      <c r="V3343" s="562"/>
      <c r="X3343" s="562"/>
      <c r="Y3343" s="562"/>
    </row>
    <row r="3344" spans="22:25" x14ac:dyDescent="0.2">
      <c r="V3344" s="562"/>
      <c r="X3344" s="562"/>
      <c r="Y3344" s="562"/>
    </row>
    <row r="3345" spans="22:25" x14ac:dyDescent="0.2">
      <c r="V3345" s="562"/>
      <c r="X3345" s="562"/>
      <c r="Y3345" s="562"/>
    </row>
    <row r="3346" spans="22:25" x14ac:dyDescent="0.2">
      <c r="V3346" s="562"/>
      <c r="X3346" s="562"/>
      <c r="Y3346" s="562"/>
    </row>
    <row r="3347" spans="22:25" x14ac:dyDescent="0.2">
      <c r="V3347" s="562"/>
      <c r="X3347" s="562"/>
      <c r="Y3347" s="562"/>
    </row>
    <row r="3348" spans="22:25" x14ac:dyDescent="0.2">
      <c r="V3348" s="562"/>
      <c r="X3348" s="562"/>
      <c r="Y3348" s="562"/>
    </row>
    <row r="3349" spans="22:25" x14ac:dyDescent="0.2">
      <c r="V3349" s="562"/>
      <c r="X3349" s="562"/>
      <c r="Y3349" s="562"/>
    </row>
    <row r="3350" spans="22:25" x14ac:dyDescent="0.2">
      <c r="V3350" s="562"/>
      <c r="X3350" s="562"/>
      <c r="Y3350" s="562"/>
    </row>
    <row r="3351" spans="22:25" x14ac:dyDescent="0.2">
      <c r="V3351" s="562"/>
      <c r="X3351" s="562"/>
      <c r="Y3351" s="562"/>
    </row>
    <row r="3352" spans="22:25" x14ac:dyDescent="0.2">
      <c r="V3352" s="562"/>
      <c r="X3352" s="562"/>
      <c r="Y3352" s="562"/>
    </row>
    <row r="3353" spans="22:25" x14ac:dyDescent="0.2">
      <c r="V3353" s="562"/>
      <c r="X3353" s="562"/>
      <c r="Y3353" s="562"/>
    </row>
    <row r="3354" spans="22:25" x14ac:dyDescent="0.2">
      <c r="V3354" s="562"/>
      <c r="X3354" s="562"/>
      <c r="Y3354" s="562"/>
    </row>
    <row r="3355" spans="22:25" x14ac:dyDescent="0.2">
      <c r="V3355" s="562"/>
      <c r="X3355" s="562"/>
      <c r="Y3355" s="562"/>
    </row>
    <row r="3356" spans="22:25" x14ac:dyDescent="0.2">
      <c r="V3356" s="562"/>
      <c r="X3356" s="562"/>
      <c r="Y3356" s="562"/>
    </row>
    <row r="3357" spans="22:25" x14ac:dyDescent="0.2">
      <c r="V3357" s="562"/>
      <c r="X3357" s="562"/>
      <c r="Y3357" s="562"/>
    </row>
    <row r="3358" spans="22:25" x14ac:dyDescent="0.2">
      <c r="V3358" s="562"/>
      <c r="X3358" s="562"/>
      <c r="Y3358" s="562"/>
    </row>
    <row r="3359" spans="22:25" x14ac:dyDescent="0.2">
      <c r="V3359" s="562"/>
      <c r="X3359" s="562"/>
      <c r="Y3359" s="562"/>
    </row>
    <row r="3360" spans="22:25" x14ac:dyDescent="0.2">
      <c r="V3360" s="562"/>
      <c r="X3360" s="562"/>
      <c r="Y3360" s="562"/>
    </row>
    <row r="3361" spans="22:25" x14ac:dyDescent="0.2">
      <c r="V3361" s="562"/>
      <c r="X3361" s="562"/>
      <c r="Y3361" s="562"/>
    </row>
    <row r="3362" spans="22:25" x14ac:dyDescent="0.2">
      <c r="V3362" s="562"/>
      <c r="X3362" s="562"/>
      <c r="Y3362" s="562"/>
    </row>
    <row r="3363" spans="22:25" x14ac:dyDescent="0.2">
      <c r="V3363" s="562"/>
      <c r="X3363" s="562"/>
      <c r="Y3363" s="562"/>
    </row>
    <row r="3364" spans="22:25" x14ac:dyDescent="0.2">
      <c r="V3364" s="562"/>
      <c r="X3364" s="562"/>
      <c r="Y3364" s="562"/>
    </row>
    <row r="3365" spans="22:25" x14ac:dyDescent="0.2">
      <c r="V3365" s="562"/>
      <c r="X3365" s="562"/>
      <c r="Y3365" s="562"/>
    </row>
    <row r="3366" spans="22:25" x14ac:dyDescent="0.2">
      <c r="V3366" s="562"/>
      <c r="X3366" s="562"/>
      <c r="Y3366" s="562"/>
    </row>
    <row r="3367" spans="22:25" x14ac:dyDescent="0.2">
      <c r="V3367" s="562"/>
      <c r="X3367" s="562"/>
      <c r="Y3367" s="562"/>
    </row>
    <row r="3368" spans="22:25" x14ac:dyDescent="0.2">
      <c r="V3368" s="562"/>
      <c r="X3368" s="562"/>
      <c r="Y3368" s="562"/>
    </row>
    <row r="3369" spans="22:25" x14ac:dyDescent="0.2">
      <c r="V3369" s="562"/>
      <c r="X3369" s="562"/>
      <c r="Y3369" s="562"/>
    </row>
    <row r="3370" spans="22:25" x14ac:dyDescent="0.2">
      <c r="V3370" s="562"/>
      <c r="X3370" s="562"/>
      <c r="Y3370" s="562"/>
    </row>
    <row r="3371" spans="22:25" x14ac:dyDescent="0.2">
      <c r="V3371" s="562"/>
      <c r="X3371" s="562"/>
      <c r="Y3371" s="562"/>
    </row>
    <row r="3372" spans="22:25" x14ac:dyDescent="0.2">
      <c r="V3372" s="562"/>
      <c r="X3372" s="562"/>
      <c r="Y3372" s="562"/>
    </row>
    <row r="3373" spans="22:25" x14ac:dyDescent="0.2">
      <c r="V3373" s="562"/>
      <c r="X3373" s="562"/>
      <c r="Y3373" s="562"/>
    </row>
    <row r="3374" spans="22:25" x14ac:dyDescent="0.2">
      <c r="V3374" s="562"/>
      <c r="X3374" s="562"/>
      <c r="Y3374" s="562"/>
    </row>
    <row r="3375" spans="22:25" x14ac:dyDescent="0.2">
      <c r="V3375" s="562"/>
      <c r="X3375" s="562"/>
      <c r="Y3375" s="562"/>
    </row>
    <row r="3376" spans="22:25" x14ac:dyDescent="0.2">
      <c r="V3376" s="562"/>
      <c r="X3376" s="562"/>
      <c r="Y3376" s="562"/>
    </row>
    <row r="3377" spans="22:25" x14ac:dyDescent="0.2">
      <c r="V3377" s="562"/>
      <c r="X3377" s="562"/>
      <c r="Y3377" s="562"/>
    </row>
    <row r="3378" spans="22:25" x14ac:dyDescent="0.2">
      <c r="V3378" s="562"/>
      <c r="X3378" s="562"/>
      <c r="Y3378" s="562"/>
    </row>
    <row r="3379" spans="22:25" x14ac:dyDescent="0.2">
      <c r="V3379" s="562"/>
      <c r="X3379" s="562"/>
      <c r="Y3379" s="562"/>
    </row>
    <row r="3380" spans="22:25" x14ac:dyDescent="0.2">
      <c r="V3380" s="562"/>
      <c r="X3380" s="562"/>
      <c r="Y3380" s="562"/>
    </row>
    <row r="3381" spans="22:25" x14ac:dyDescent="0.2">
      <c r="V3381" s="562"/>
      <c r="X3381" s="562"/>
      <c r="Y3381" s="562"/>
    </row>
    <row r="3382" spans="22:25" x14ac:dyDescent="0.2">
      <c r="V3382" s="562"/>
      <c r="X3382" s="562"/>
      <c r="Y3382" s="562"/>
    </row>
    <row r="3383" spans="22:25" x14ac:dyDescent="0.2">
      <c r="V3383" s="562"/>
      <c r="X3383" s="562"/>
      <c r="Y3383" s="562"/>
    </row>
    <row r="3384" spans="22:25" x14ac:dyDescent="0.2">
      <c r="V3384" s="562"/>
      <c r="X3384" s="562"/>
      <c r="Y3384" s="562"/>
    </row>
    <row r="3385" spans="22:25" x14ac:dyDescent="0.2">
      <c r="V3385" s="562"/>
      <c r="X3385" s="562"/>
      <c r="Y3385" s="562"/>
    </row>
    <row r="3386" spans="22:25" x14ac:dyDescent="0.2">
      <c r="V3386" s="562"/>
      <c r="X3386" s="562"/>
      <c r="Y3386" s="562"/>
    </row>
    <row r="3387" spans="22:25" x14ac:dyDescent="0.2">
      <c r="V3387" s="562"/>
      <c r="X3387" s="562"/>
      <c r="Y3387" s="562"/>
    </row>
    <row r="3388" spans="22:25" x14ac:dyDescent="0.2">
      <c r="V3388" s="562"/>
      <c r="X3388" s="562"/>
      <c r="Y3388" s="562"/>
    </row>
    <row r="3389" spans="22:25" x14ac:dyDescent="0.2">
      <c r="V3389" s="562"/>
      <c r="X3389" s="562"/>
      <c r="Y3389" s="562"/>
    </row>
    <row r="3390" spans="22:25" x14ac:dyDescent="0.2">
      <c r="V3390" s="562"/>
      <c r="X3390" s="562"/>
      <c r="Y3390" s="562"/>
    </row>
    <row r="3391" spans="22:25" x14ac:dyDescent="0.2">
      <c r="V3391" s="562"/>
      <c r="X3391" s="562"/>
      <c r="Y3391" s="562"/>
    </row>
    <row r="3392" spans="22:25" x14ac:dyDescent="0.2">
      <c r="V3392" s="562"/>
      <c r="X3392" s="562"/>
      <c r="Y3392" s="562"/>
    </row>
    <row r="3393" spans="22:25" x14ac:dyDescent="0.2">
      <c r="V3393" s="562"/>
      <c r="X3393" s="562"/>
      <c r="Y3393" s="562"/>
    </row>
    <row r="3394" spans="22:25" x14ac:dyDescent="0.2">
      <c r="V3394" s="562"/>
      <c r="X3394" s="562"/>
      <c r="Y3394" s="562"/>
    </row>
    <row r="3395" spans="22:25" x14ac:dyDescent="0.2">
      <c r="V3395" s="562"/>
      <c r="X3395" s="562"/>
      <c r="Y3395" s="562"/>
    </row>
    <row r="3396" spans="22:25" x14ac:dyDescent="0.2">
      <c r="V3396" s="562"/>
      <c r="X3396" s="562"/>
      <c r="Y3396" s="562"/>
    </row>
    <row r="3397" spans="22:25" x14ac:dyDescent="0.2">
      <c r="V3397" s="562"/>
      <c r="X3397" s="562"/>
      <c r="Y3397" s="562"/>
    </row>
    <row r="3398" spans="22:25" x14ac:dyDescent="0.2">
      <c r="V3398" s="562"/>
      <c r="X3398" s="562"/>
      <c r="Y3398" s="562"/>
    </row>
    <row r="3399" spans="22:25" x14ac:dyDescent="0.2">
      <c r="V3399" s="562"/>
      <c r="X3399" s="562"/>
      <c r="Y3399" s="562"/>
    </row>
    <row r="3400" spans="22:25" x14ac:dyDescent="0.2">
      <c r="V3400" s="562"/>
      <c r="X3400" s="562"/>
      <c r="Y3400" s="562"/>
    </row>
    <row r="3401" spans="22:25" x14ac:dyDescent="0.2">
      <c r="V3401" s="562"/>
      <c r="X3401" s="562"/>
      <c r="Y3401" s="562"/>
    </row>
    <row r="3402" spans="22:25" x14ac:dyDescent="0.2">
      <c r="V3402" s="562"/>
      <c r="X3402" s="562"/>
      <c r="Y3402" s="562"/>
    </row>
    <row r="3403" spans="22:25" x14ac:dyDescent="0.2">
      <c r="V3403" s="562"/>
      <c r="X3403" s="562"/>
      <c r="Y3403" s="562"/>
    </row>
    <row r="3404" spans="22:25" x14ac:dyDescent="0.2">
      <c r="V3404" s="562"/>
      <c r="X3404" s="562"/>
      <c r="Y3404" s="562"/>
    </row>
    <row r="3405" spans="22:25" x14ac:dyDescent="0.2">
      <c r="V3405" s="562"/>
      <c r="X3405" s="562"/>
      <c r="Y3405" s="562"/>
    </row>
    <row r="3406" spans="22:25" x14ac:dyDescent="0.2">
      <c r="V3406" s="562"/>
      <c r="X3406" s="562"/>
      <c r="Y3406" s="562"/>
    </row>
    <row r="3407" spans="22:25" x14ac:dyDescent="0.2">
      <c r="V3407" s="562"/>
      <c r="X3407" s="562"/>
      <c r="Y3407" s="562"/>
    </row>
    <row r="3408" spans="22:25" x14ac:dyDescent="0.2">
      <c r="V3408" s="562"/>
      <c r="X3408" s="562"/>
      <c r="Y3408" s="562"/>
    </row>
    <row r="3409" spans="22:25" x14ac:dyDescent="0.2">
      <c r="V3409" s="562"/>
      <c r="X3409" s="562"/>
      <c r="Y3409" s="562"/>
    </row>
    <row r="3410" spans="22:25" x14ac:dyDescent="0.2">
      <c r="V3410" s="562"/>
      <c r="X3410" s="562"/>
      <c r="Y3410" s="562"/>
    </row>
    <row r="3411" spans="22:25" x14ac:dyDescent="0.2">
      <c r="V3411" s="562"/>
      <c r="X3411" s="562"/>
      <c r="Y3411" s="562"/>
    </row>
    <row r="3412" spans="22:25" x14ac:dyDescent="0.2">
      <c r="V3412" s="562"/>
      <c r="X3412" s="562"/>
      <c r="Y3412" s="562"/>
    </row>
    <row r="3413" spans="22:25" x14ac:dyDescent="0.2">
      <c r="V3413" s="562"/>
      <c r="X3413" s="562"/>
      <c r="Y3413" s="562"/>
    </row>
    <row r="3414" spans="22:25" x14ac:dyDescent="0.2">
      <c r="V3414" s="562"/>
      <c r="X3414" s="562"/>
      <c r="Y3414" s="562"/>
    </row>
    <row r="3415" spans="22:25" x14ac:dyDescent="0.2">
      <c r="V3415" s="562"/>
      <c r="X3415" s="562"/>
      <c r="Y3415" s="562"/>
    </row>
    <row r="3416" spans="22:25" x14ac:dyDescent="0.2">
      <c r="V3416" s="562"/>
      <c r="X3416" s="562"/>
      <c r="Y3416" s="562"/>
    </row>
    <row r="3417" spans="22:25" x14ac:dyDescent="0.2">
      <c r="V3417" s="562"/>
      <c r="X3417" s="562"/>
      <c r="Y3417" s="562"/>
    </row>
    <row r="3418" spans="22:25" x14ac:dyDescent="0.2">
      <c r="V3418" s="562"/>
      <c r="X3418" s="562"/>
      <c r="Y3418" s="562"/>
    </row>
    <row r="3419" spans="22:25" x14ac:dyDescent="0.2">
      <c r="V3419" s="562"/>
      <c r="X3419" s="562"/>
      <c r="Y3419" s="562"/>
    </row>
    <row r="3420" spans="22:25" x14ac:dyDescent="0.2">
      <c r="V3420" s="562"/>
      <c r="X3420" s="562"/>
      <c r="Y3420" s="562"/>
    </row>
    <row r="3421" spans="22:25" x14ac:dyDescent="0.2">
      <c r="V3421" s="562"/>
      <c r="X3421" s="562"/>
      <c r="Y3421" s="562"/>
    </row>
    <row r="3422" spans="22:25" x14ac:dyDescent="0.2">
      <c r="V3422" s="562"/>
      <c r="X3422" s="562"/>
      <c r="Y3422" s="562"/>
    </row>
    <row r="3423" spans="22:25" x14ac:dyDescent="0.2">
      <c r="V3423" s="562"/>
      <c r="X3423" s="562"/>
      <c r="Y3423" s="562"/>
    </row>
    <row r="3424" spans="22:25" x14ac:dyDescent="0.2">
      <c r="V3424" s="562"/>
      <c r="X3424" s="562"/>
      <c r="Y3424" s="562"/>
    </row>
    <row r="3425" spans="22:25" x14ac:dyDescent="0.2">
      <c r="V3425" s="562"/>
      <c r="X3425" s="562"/>
      <c r="Y3425" s="562"/>
    </row>
    <row r="3426" spans="22:25" x14ac:dyDescent="0.2">
      <c r="V3426" s="562"/>
      <c r="X3426" s="562"/>
      <c r="Y3426" s="562"/>
    </row>
    <row r="3427" spans="22:25" x14ac:dyDescent="0.2">
      <c r="V3427" s="562"/>
      <c r="X3427" s="562"/>
      <c r="Y3427" s="562"/>
    </row>
    <row r="3428" spans="22:25" x14ac:dyDescent="0.2">
      <c r="V3428" s="562"/>
      <c r="X3428" s="562"/>
      <c r="Y3428" s="562"/>
    </row>
    <row r="3429" spans="22:25" x14ac:dyDescent="0.2">
      <c r="V3429" s="562"/>
      <c r="X3429" s="562"/>
      <c r="Y3429" s="562"/>
    </row>
    <row r="3430" spans="22:25" x14ac:dyDescent="0.2">
      <c r="V3430" s="562"/>
      <c r="X3430" s="562"/>
      <c r="Y3430" s="562"/>
    </row>
    <row r="3431" spans="22:25" x14ac:dyDescent="0.2">
      <c r="V3431" s="562"/>
      <c r="X3431" s="562"/>
      <c r="Y3431" s="562"/>
    </row>
    <row r="3432" spans="22:25" x14ac:dyDescent="0.2">
      <c r="V3432" s="562"/>
      <c r="X3432" s="562"/>
      <c r="Y3432" s="562"/>
    </row>
    <row r="3433" spans="22:25" x14ac:dyDescent="0.2">
      <c r="V3433" s="562"/>
      <c r="X3433" s="562"/>
      <c r="Y3433" s="562"/>
    </row>
    <row r="3434" spans="22:25" x14ac:dyDescent="0.2">
      <c r="V3434" s="562"/>
      <c r="X3434" s="562"/>
      <c r="Y3434" s="562"/>
    </row>
    <row r="3435" spans="22:25" x14ac:dyDescent="0.2">
      <c r="V3435" s="562"/>
      <c r="X3435" s="562"/>
      <c r="Y3435" s="562"/>
    </row>
    <row r="3436" spans="22:25" x14ac:dyDescent="0.2">
      <c r="V3436" s="562"/>
      <c r="X3436" s="562"/>
      <c r="Y3436" s="562"/>
    </row>
    <row r="3437" spans="22:25" x14ac:dyDescent="0.2">
      <c r="V3437" s="562"/>
      <c r="X3437" s="562"/>
      <c r="Y3437" s="562"/>
    </row>
    <row r="3438" spans="22:25" x14ac:dyDescent="0.2">
      <c r="V3438" s="562"/>
      <c r="X3438" s="562"/>
      <c r="Y3438" s="562"/>
    </row>
    <row r="3439" spans="22:25" x14ac:dyDescent="0.2">
      <c r="V3439" s="562"/>
      <c r="X3439" s="562"/>
      <c r="Y3439" s="562"/>
    </row>
    <row r="3440" spans="22:25" x14ac:dyDescent="0.2">
      <c r="V3440" s="562"/>
      <c r="X3440" s="562"/>
      <c r="Y3440" s="562"/>
    </row>
    <row r="3441" spans="22:25" x14ac:dyDescent="0.2">
      <c r="V3441" s="562"/>
      <c r="X3441" s="562"/>
      <c r="Y3441" s="562"/>
    </row>
    <row r="3442" spans="22:25" x14ac:dyDescent="0.2">
      <c r="V3442" s="562"/>
      <c r="X3442" s="562"/>
      <c r="Y3442" s="562"/>
    </row>
    <row r="3443" spans="22:25" x14ac:dyDescent="0.2">
      <c r="V3443" s="562"/>
      <c r="X3443" s="562"/>
      <c r="Y3443" s="562"/>
    </row>
    <row r="3444" spans="22:25" x14ac:dyDescent="0.2">
      <c r="V3444" s="562"/>
      <c r="X3444" s="562"/>
      <c r="Y3444" s="562"/>
    </row>
    <row r="3445" spans="22:25" x14ac:dyDescent="0.2">
      <c r="V3445" s="562"/>
      <c r="X3445" s="562"/>
      <c r="Y3445" s="562"/>
    </row>
    <row r="3446" spans="22:25" x14ac:dyDescent="0.2">
      <c r="V3446" s="562"/>
      <c r="X3446" s="562"/>
      <c r="Y3446" s="562"/>
    </row>
    <row r="3447" spans="22:25" x14ac:dyDescent="0.2">
      <c r="V3447" s="562"/>
      <c r="X3447" s="562"/>
      <c r="Y3447" s="562"/>
    </row>
    <row r="3448" spans="22:25" x14ac:dyDescent="0.2">
      <c r="V3448" s="562"/>
      <c r="X3448" s="562"/>
      <c r="Y3448" s="562"/>
    </row>
    <row r="3449" spans="22:25" x14ac:dyDescent="0.2">
      <c r="V3449" s="562"/>
      <c r="X3449" s="562"/>
      <c r="Y3449" s="562"/>
    </row>
    <row r="3450" spans="22:25" x14ac:dyDescent="0.2">
      <c r="V3450" s="562"/>
      <c r="X3450" s="562"/>
      <c r="Y3450" s="562"/>
    </row>
    <row r="3451" spans="22:25" x14ac:dyDescent="0.2">
      <c r="V3451" s="562"/>
      <c r="X3451" s="562"/>
      <c r="Y3451" s="562"/>
    </row>
    <row r="3452" spans="22:25" x14ac:dyDescent="0.2">
      <c r="V3452" s="562"/>
      <c r="X3452" s="562"/>
      <c r="Y3452" s="562"/>
    </row>
    <row r="3453" spans="22:25" x14ac:dyDescent="0.2">
      <c r="V3453" s="562"/>
      <c r="X3453" s="562"/>
      <c r="Y3453" s="562"/>
    </row>
    <row r="3454" spans="22:25" x14ac:dyDescent="0.2">
      <c r="V3454" s="562"/>
      <c r="X3454" s="562"/>
      <c r="Y3454" s="562"/>
    </row>
    <row r="3455" spans="22:25" x14ac:dyDescent="0.2">
      <c r="V3455" s="562"/>
      <c r="X3455" s="562"/>
      <c r="Y3455" s="562"/>
    </row>
    <row r="3456" spans="22:25" x14ac:dyDescent="0.2">
      <c r="V3456" s="562"/>
      <c r="X3456" s="562"/>
      <c r="Y3456" s="562"/>
    </row>
    <row r="3457" spans="22:25" x14ac:dyDescent="0.2">
      <c r="V3457" s="562"/>
      <c r="X3457" s="562"/>
      <c r="Y3457" s="562"/>
    </row>
    <row r="3458" spans="22:25" x14ac:dyDescent="0.2">
      <c r="V3458" s="562"/>
      <c r="X3458" s="562"/>
      <c r="Y3458" s="562"/>
    </row>
    <row r="3459" spans="22:25" x14ac:dyDescent="0.2">
      <c r="V3459" s="562"/>
      <c r="X3459" s="562"/>
      <c r="Y3459" s="562"/>
    </row>
    <row r="3460" spans="22:25" x14ac:dyDescent="0.2">
      <c r="V3460" s="562"/>
      <c r="X3460" s="562"/>
      <c r="Y3460" s="562"/>
    </row>
    <row r="3461" spans="22:25" x14ac:dyDescent="0.2">
      <c r="V3461" s="562"/>
      <c r="X3461" s="562"/>
      <c r="Y3461" s="562"/>
    </row>
    <row r="3462" spans="22:25" x14ac:dyDescent="0.2">
      <c r="V3462" s="562"/>
      <c r="X3462" s="562"/>
      <c r="Y3462" s="562"/>
    </row>
    <row r="3463" spans="22:25" x14ac:dyDescent="0.2">
      <c r="V3463" s="562"/>
      <c r="X3463" s="562"/>
      <c r="Y3463" s="562"/>
    </row>
    <row r="3464" spans="22:25" x14ac:dyDescent="0.2">
      <c r="V3464" s="562"/>
      <c r="X3464" s="562"/>
      <c r="Y3464" s="562"/>
    </row>
    <row r="3465" spans="22:25" x14ac:dyDescent="0.2">
      <c r="V3465" s="562"/>
      <c r="X3465" s="562"/>
      <c r="Y3465" s="562"/>
    </row>
    <row r="3466" spans="22:25" x14ac:dyDescent="0.2">
      <c r="V3466" s="562"/>
      <c r="X3466" s="562"/>
      <c r="Y3466" s="562"/>
    </row>
    <row r="3467" spans="22:25" x14ac:dyDescent="0.2">
      <c r="V3467" s="562"/>
      <c r="X3467" s="562"/>
      <c r="Y3467" s="562"/>
    </row>
    <row r="3468" spans="22:25" x14ac:dyDescent="0.2">
      <c r="V3468" s="562"/>
      <c r="X3468" s="562"/>
      <c r="Y3468" s="562"/>
    </row>
    <row r="3469" spans="22:25" x14ac:dyDescent="0.2">
      <c r="V3469" s="562"/>
      <c r="X3469" s="562"/>
      <c r="Y3469" s="562"/>
    </row>
    <row r="3470" spans="22:25" x14ac:dyDescent="0.2">
      <c r="V3470" s="562"/>
      <c r="X3470" s="562"/>
      <c r="Y3470" s="562"/>
    </row>
    <row r="3471" spans="22:25" x14ac:dyDescent="0.2">
      <c r="V3471" s="562"/>
      <c r="X3471" s="562"/>
      <c r="Y3471" s="562"/>
    </row>
    <row r="3472" spans="22:25" x14ac:dyDescent="0.2">
      <c r="V3472" s="562"/>
      <c r="X3472" s="562"/>
      <c r="Y3472" s="562"/>
    </row>
    <row r="3473" spans="22:25" x14ac:dyDescent="0.2">
      <c r="V3473" s="562"/>
      <c r="X3473" s="562"/>
      <c r="Y3473" s="562"/>
    </row>
    <row r="3474" spans="22:25" x14ac:dyDescent="0.2">
      <c r="V3474" s="562"/>
      <c r="X3474" s="562"/>
      <c r="Y3474" s="562"/>
    </row>
    <row r="3475" spans="22:25" x14ac:dyDescent="0.2">
      <c r="V3475" s="562"/>
      <c r="X3475" s="562"/>
      <c r="Y3475" s="562"/>
    </row>
    <row r="3476" spans="22:25" x14ac:dyDescent="0.2">
      <c r="V3476" s="562"/>
      <c r="X3476" s="562"/>
      <c r="Y3476" s="562"/>
    </row>
    <row r="3477" spans="22:25" x14ac:dyDescent="0.2">
      <c r="V3477" s="562"/>
      <c r="X3477" s="562"/>
      <c r="Y3477" s="562"/>
    </row>
    <row r="3478" spans="22:25" x14ac:dyDescent="0.2">
      <c r="V3478" s="562"/>
      <c r="X3478" s="562"/>
      <c r="Y3478" s="562"/>
    </row>
    <row r="3479" spans="22:25" x14ac:dyDescent="0.2">
      <c r="V3479" s="562"/>
      <c r="X3479" s="562"/>
      <c r="Y3479" s="562"/>
    </row>
    <row r="3480" spans="22:25" x14ac:dyDescent="0.2">
      <c r="V3480" s="562"/>
      <c r="X3480" s="562"/>
      <c r="Y3480" s="562"/>
    </row>
    <row r="3481" spans="22:25" x14ac:dyDescent="0.2">
      <c r="V3481" s="562"/>
      <c r="X3481" s="562"/>
      <c r="Y3481" s="562"/>
    </row>
    <row r="3482" spans="22:25" x14ac:dyDescent="0.2">
      <c r="V3482" s="562"/>
      <c r="X3482" s="562"/>
      <c r="Y3482" s="562"/>
    </row>
    <row r="3483" spans="22:25" x14ac:dyDescent="0.2">
      <c r="V3483" s="562"/>
      <c r="X3483" s="562"/>
      <c r="Y3483" s="562"/>
    </row>
    <row r="3484" spans="22:25" x14ac:dyDescent="0.2">
      <c r="V3484" s="562"/>
      <c r="X3484" s="562"/>
      <c r="Y3484" s="562"/>
    </row>
    <row r="3485" spans="22:25" x14ac:dyDescent="0.2">
      <c r="V3485" s="562"/>
      <c r="X3485" s="562"/>
      <c r="Y3485" s="562"/>
    </row>
    <row r="3486" spans="22:25" x14ac:dyDescent="0.2">
      <c r="V3486" s="562"/>
      <c r="X3486" s="562"/>
      <c r="Y3486" s="562"/>
    </row>
    <row r="3487" spans="22:25" x14ac:dyDescent="0.2">
      <c r="V3487" s="562"/>
      <c r="X3487" s="562"/>
      <c r="Y3487" s="562"/>
    </row>
    <row r="3488" spans="22:25" x14ac:dyDescent="0.2">
      <c r="V3488" s="562"/>
      <c r="X3488" s="562"/>
      <c r="Y3488" s="562"/>
    </row>
    <row r="3489" spans="22:25" x14ac:dyDescent="0.2">
      <c r="V3489" s="562"/>
      <c r="X3489" s="562"/>
      <c r="Y3489" s="562"/>
    </row>
    <row r="3490" spans="22:25" x14ac:dyDescent="0.2">
      <c r="V3490" s="562"/>
      <c r="X3490" s="562"/>
      <c r="Y3490" s="562"/>
    </row>
    <row r="3491" spans="22:25" x14ac:dyDescent="0.2">
      <c r="V3491" s="562"/>
      <c r="X3491" s="562"/>
      <c r="Y3491" s="562"/>
    </row>
    <row r="3492" spans="22:25" x14ac:dyDescent="0.2">
      <c r="V3492" s="562"/>
      <c r="X3492" s="562"/>
      <c r="Y3492" s="562"/>
    </row>
    <row r="3493" spans="22:25" x14ac:dyDescent="0.2">
      <c r="V3493" s="562"/>
      <c r="X3493" s="562"/>
      <c r="Y3493" s="562"/>
    </row>
    <row r="3494" spans="22:25" x14ac:dyDescent="0.2">
      <c r="V3494" s="562"/>
      <c r="X3494" s="562"/>
      <c r="Y3494" s="562"/>
    </row>
    <row r="3495" spans="22:25" x14ac:dyDescent="0.2">
      <c r="V3495" s="562"/>
      <c r="X3495" s="562"/>
      <c r="Y3495" s="562"/>
    </row>
    <row r="3496" spans="22:25" x14ac:dyDescent="0.2">
      <c r="V3496" s="562"/>
      <c r="X3496" s="562"/>
      <c r="Y3496" s="562"/>
    </row>
    <row r="3497" spans="22:25" x14ac:dyDescent="0.2">
      <c r="V3497" s="562"/>
      <c r="X3497" s="562"/>
      <c r="Y3497" s="562"/>
    </row>
    <row r="3498" spans="22:25" x14ac:dyDescent="0.2">
      <c r="V3498" s="562"/>
      <c r="X3498" s="562"/>
      <c r="Y3498" s="562"/>
    </row>
    <row r="3499" spans="22:25" x14ac:dyDescent="0.2">
      <c r="V3499" s="562"/>
      <c r="X3499" s="562"/>
      <c r="Y3499" s="562"/>
    </row>
    <row r="3500" spans="22:25" x14ac:dyDescent="0.2">
      <c r="V3500" s="562"/>
      <c r="X3500" s="562"/>
      <c r="Y3500" s="562"/>
    </row>
    <row r="3501" spans="22:25" x14ac:dyDescent="0.2">
      <c r="V3501" s="562"/>
      <c r="X3501" s="562"/>
      <c r="Y3501" s="562"/>
    </row>
    <row r="3502" spans="22:25" x14ac:dyDescent="0.2">
      <c r="V3502" s="562"/>
      <c r="X3502" s="562"/>
      <c r="Y3502" s="562"/>
    </row>
    <row r="3503" spans="22:25" x14ac:dyDescent="0.2">
      <c r="V3503" s="562"/>
      <c r="X3503" s="562"/>
      <c r="Y3503" s="562"/>
    </row>
    <row r="3504" spans="22:25" x14ac:dyDescent="0.2">
      <c r="V3504" s="562"/>
      <c r="X3504" s="562"/>
      <c r="Y3504" s="562"/>
    </row>
    <row r="3505" spans="22:25" x14ac:dyDescent="0.2">
      <c r="V3505" s="562"/>
      <c r="X3505" s="562"/>
      <c r="Y3505" s="562"/>
    </row>
    <row r="3506" spans="22:25" x14ac:dyDescent="0.2">
      <c r="V3506" s="562"/>
      <c r="X3506" s="562"/>
      <c r="Y3506" s="562"/>
    </row>
    <row r="3507" spans="22:25" x14ac:dyDescent="0.2">
      <c r="V3507" s="562"/>
      <c r="X3507" s="562"/>
      <c r="Y3507" s="562"/>
    </row>
    <row r="3508" spans="22:25" x14ac:dyDescent="0.2">
      <c r="V3508" s="562"/>
      <c r="X3508" s="562"/>
      <c r="Y3508" s="562"/>
    </row>
    <row r="3509" spans="22:25" x14ac:dyDescent="0.2">
      <c r="V3509" s="562"/>
      <c r="X3509" s="562"/>
      <c r="Y3509" s="562"/>
    </row>
    <row r="3510" spans="22:25" x14ac:dyDescent="0.2">
      <c r="V3510" s="562"/>
      <c r="X3510" s="562"/>
      <c r="Y3510" s="562"/>
    </row>
    <row r="3511" spans="22:25" x14ac:dyDescent="0.2">
      <c r="V3511" s="562"/>
      <c r="X3511" s="562"/>
      <c r="Y3511" s="562"/>
    </row>
    <row r="3512" spans="22:25" x14ac:dyDescent="0.2">
      <c r="V3512" s="562"/>
      <c r="X3512" s="562"/>
      <c r="Y3512" s="562"/>
    </row>
    <row r="3513" spans="22:25" x14ac:dyDescent="0.2">
      <c r="V3513" s="562"/>
      <c r="X3513" s="562"/>
      <c r="Y3513" s="562"/>
    </row>
    <row r="3514" spans="22:25" x14ac:dyDescent="0.2">
      <c r="V3514" s="562"/>
      <c r="X3514" s="562"/>
      <c r="Y3514" s="562"/>
    </row>
    <row r="3515" spans="22:25" x14ac:dyDescent="0.2">
      <c r="V3515" s="562"/>
      <c r="X3515" s="562"/>
      <c r="Y3515" s="562"/>
    </row>
    <row r="3516" spans="22:25" x14ac:dyDescent="0.2">
      <c r="V3516" s="562"/>
      <c r="X3516" s="562"/>
      <c r="Y3516" s="562"/>
    </row>
    <row r="3517" spans="22:25" x14ac:dyDescent="0.2">
      <c r="V3517" s="562"/>
      <c r="X3517" s="562"/>
      <c r="Y3517" s="562"/>
    </row>
    <row r="3518" spans="22:25" x14ac:dyDescent="0.2">
      <c r="V3518" s="562"/>
      <c r="X3518" s="562"/>
      <c r="Y3518" s="562"/>
    </row>
    <row r="3519" spans="22:25" x14ac:dyDescent="0.2">
      <c r="V3519" s="562"/>
      <c r="X3519" s="562"/>
      <c r="Y3519" s="562"/>
    </row>
    <row r="3520" spans="22:25" x14ac:dyDescent="0.2">
      <c r="V3520" s="562"/>
      <c r="X3520" s="562"/>
      <c r="Y3520" s="562"/>
    </row>
    <row r="3521" spans="22:25" x14ac:dyDescent="0.2">
      <c r="V3521" s="562"/>
      <c r="X3521" s="562"/>
      <c r="Y3521" s="562"/>
    </row>
    <row r="3522" spans="22:25" x14ac:dyDescent="0.2">
      <c r="V3522" s="562"/>
      <c r="X3522" s="562"/>
      <c r="Y3522" s="562"/>
    </row>
    <row r="3523" spans="22:25" x14ac:dyDescent="0.2">
      <c r="V3523" s="562"/>
      <c r="X3523" s="562"/>
      <c r="Y3523" s="562"/>
    </row>
    <row r="3524" spans="22:25" x14ac:dyDescent="0.2">
      <c r="V3524" s="562"/>
      <c r="X3524" s="562"/>
      <c r="Y3524" s="562"/>
    </row>
    <row r="3525" spans="22:25" x14ac:dyDescent="0.2">
      <c r="V3525" s="562"/>
      <c r="X3525" s="562"/>
      <c r="Y3525" s="562"/>
    </row>
    <row r="3526" spans="22:25" x14ac:dyDescent="0.2">
      <c r="V3526" s="562"/>
      <c r="X3526" s="562"/>
      <c r="Y3526" s="562"/>
    </row>
    <row r="3527" spans="22:25" x14ac:dyDescent="0.2">
      <c r="V3527" s="562"/>
      <c r="X3527" s="562"/>
      <c r="Y3527" s="562"/>
    </row>
    <row r="3528" spans="22:25" x14ac:dyDescent="0.2">
      <c r="V3528" s="562"/>
      <c r="X3528" s="562"/>
      <c r="Y3528" s="562"/>
    </row>
    <row r="3529" spans="22:25" x14ac:dyDescent="0.2">
      <c r="V3529" s="562"/>
      <c r="X3529" s="562"/>
      <c r="Y3529" s="562"/>
    </row>
    <row r="3530" spans="22:25" x14ac:dyDescent="0.2">
      <c r="V3530" s="562"/>
      <c r="X3530" s="562"/>
      <c r="Y3530" s="562"/>
    </row>
    <row r="3531" spans="22:25" x14ac:dyDescent="0.2">
      <c r="V3531" s="562"/>
      <c r="X3531" s="562"/>
      <c r="Y3531" s="562"/>
    </row>
    <row r="3532" spans="22:25" x14ac:dyDescent="0.2">
      <c r="V3532" s="562"/>
      <c r="X3532" s="562"/>
      <c r="Y3532" s="562"/>
    </row>
    <row r="3533" spans="22:25" x14ac:dyDescent="0.2">
      <c r="V3533" s="562"/>
      <c r="X3533" s="562"/>
      <c r="Y3533" s="562"/>
    </row>
    <row r="3534" spans="22:25" x14ac:dyDescent="0.2">
      <c r="V3534" s="562"/>
      <c r="X3534" s="562"/>
      <c r="Y3534" s="562"/>
    </row>
    <row r="3535" spans="22:25" x14ac:dyDescent="0.2">
      <c r="V3535" s="562"/>
      <c r="X3535" s="562"/>
      <c r="Y3535" s="562"/>
    </row>
    <row r="3536" spans="22:25" x14ac:dyDescent="0.2">
      <c r="V3536" s="562"/>
      <c r="X3536" s="562"/>
      <c r="Y3536" s="562"/>
    </row>
    <row r="3537" spans="22:25" x14ac:dyDescent="0.2">
      <c r="V3537" s="562"/>
      <c r="X3537" s="562"/>
      <c r="Y3537" s="562"/>
    </row>
    <row r="3538" spans="22:25" x14ac:dyDescent="0.2">
      <c r="V3538" s="562"/>
      <c r="X3538" s="562"/>
      <c r="Y3538" s="562"/>
    </row>
    <row r="3539" spans="22:25" x14ac:dyDescent="0.2">
      <c r="V3539" s="562"/>
      <c r="X3539" s="562"/>
      <c r="Y3539" s="562"/>
    </row>
    <row r="3540" spans="22:25" x14ac:dyDescent="0.2">
      <c r="V3540" s="562"/>
      <c r="X3540" s="562"/>
      <c r="Y3540" s="562"/>
    </row>
    <row r="3541" spans="22:25" x14ac:dyDescent="0.2">
      <c r="V3541" s="562"/>
      <c r="X3541" s="562"/>
      <c r="Y3541" s="562"/>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0"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92</v>
      </c>
      <c r="N1" s="555" t="e">
        <f ca="1">_xll.qlInterpolation(,interpolator6M,_xll.ohFilter(E3:E21,M3:M21),_xll.ohFilter(L3:L21,M3:M21))</f>
        <v>#NAME?</v>
      </c>
    </row>
    <row r="2" spans="1:22" ht="26.25" customHeight="1" collapsed="1" thickBot="1" x14ac:dyDescent="0.25">
      <c r="D2" s="593" t="str">
        <f>F1&amp;" Instruments"</f>
        <v>6M Instruments</v>
      </c>
      <c r="E2" s="593" t="s">
        <v>310</v>
      </c>
      <c r="F2" s="593" t="s">
        <v>317</v>
      </c>
      <c r="G2" s="593" t="s">
        <v>275</v>
      </c>
      <c r="H2" s="593" t="str">
        <f>F1&amp;" Market quote"</f>
        <v>6M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tr">
        <f>SUBSTITUTE(F1,"M","")</f>
        <v>6</v>
      </c>
      <c r="D3" s="591" t="str">
        <f>PROPER(Currency&amp;IborType)&amp;F1&amp;"LastFixing"&amp;QuoteSuffix</f>
        <v>Euribor6MLastFixing_Quote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1" ca="1" si="0">(I3/J3-1)/G3</f>
        <v>#NAME?</v>
      </c>
      <c r="L3" s="587" t="e">
        <f t="shared" ref="L3:L21" ca="1" si="1">H3-K3</f>
        <v>#NAME?</v>
      </c>
      <c r="M3" s="586" t="b">
        <v>0</v>
      </c>
      <c r="N3" s="585" t="e">
        <f ca="1">_xll.qlInterpolationInterpolate($N$1,E3,TRUE)</f>
        <v>#NAME?</v>
      </c>
      <c r="O3" s="584" t="e">
        <f t="shared" ref="O3:O21" ca="1" si="2">(L3-N3)*10000</f>
        <v>#NAME?</v>
      </c>
      <c r="P3" s="583" t="e">
        <f t="shared" ref="P3:P21" ca="1" si="3">LN((1+H3*G3)/(1+K3*G3))</f>
        <v>#NAME?</v>
      </c>
      <c r="R3" s="582" t="e">
        <f ca="1">E3</f>
        <v>#NAME?</v>
      </c>
      <c r="S3" s="581" t="e">
        <f ca="1">_xll.qlInterpolationInterpolate(B6Minterpolation,R3,TRUE)</f>
        <v>#NAME?</v>
      </c>
      <c r="U3" s="1360" t="s">
        <v>529</v>
      </c>
      <c r="V3" s="1363" t="e">
        <f ca="1">_xll.ohTrigger('General Settings_3'!Trigger)</f>
        <v>#NAME?</v>
      </c>
    </row>
    <row r="4" spans="1:22" ht="11.25" customHeight="1" thickBot="1" x14ac:dyDescent="0.3">
      <c r="A4" s="555">
        <v>1</v>
      </c>
      <c r="B4" s="555" t="s">
        <v>180</v>
      </c>
      <c r="C4" s="555">
        <f t="shared" ref="C4:C21" si="4">A4+SUBSTITUTE($F$1,"M","")</f>
        <v>7</v>
      </c>
      <c r="D4" s="578" t="str">
        <f t="shared" ref="D4:D21" si="5">Currency&amp;A4&amp;B4&amp;C4&amp;"F"&amp;QuoteSuffix</f>
        <v>EUR1x7F_Quote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_xll.qlInterpolationInterpolate(B6Minterpolation,R4,TRUE)</f>
        <v>#NAME?</v>
      </c>
      <c r="U4" s="1361" t="s">
        <v>530</v>
      </c>
      <c r="V4" s="1364" t="e">
        <f ca="1">_xll.ohTrigger(S3:S262)</f>
        <v>#NAME?</v>
      </c>
    </row>
    <row r="5" spans="1:22" ht="11.25" customHeight="1" x14ac:dyDescent="0.2">
      <c r="A5" s="555">
        <v>2</v>
      </c>
      <c r="B5" s="555" t="s">
        <v>180</v>
      </c>
      <c r="C5" s="555">
        <f t="shared" si="4"/>
        <v>8</v>
      </c>
      <c r="D5" s="578" t="str">
        <f t="shared" si="5"/>
        <v>EUR2x8F_Quote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_xll.qlInterpolationInterpolate(B6Minterpolation,R5,TRUE)</f>
        <v>#NAME?</v>
      </c>
    </row>
    <row r="6" spans="1:22" ht="11.25" customHeight="1" x14ac:dyDescent="0.2">
      <c r="A6" s="555">
        <f t="shared" ref="A6:A21" si="6">A5+1</f>
        <v>3</v>
      </c>
      <c r="B6" s="555" t="s">
        <v>180</v>
      </c>
      <c r="C6" s="555">
        <f t="shared" si="4"/>
        <v>9</v>
      </c>
      <c r="D6" s="578" t="str">
        <f t="shared" si="5"/>
        <v>EUR3x9F_Quote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_xll.qlInterpolationInterpolate(B6Minterpolation,R6,TRUE)</f>
        <v>#NAME?</v>
      </c>
    </row>
    <row r="7" spans="1:22" ht="11.25" customHeight="1" x14ac:dyDescent="0.2">
      <c r="A7" s="555">
        <f t="shared" si="6"/>
        <v>4</v>
      </c>
      <c r="B7" s="555" t="s">
        <v>180</v>
      </c>
      <c r="C7" s="555">
        <f t="shared" si="4"/>
        <v>10</v>
      </c>
      <c r="D7" s="578" t="str">
        <f t="shared" si="5"/>
        <v>EUR4x10F_Quote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0</v>
      </c>
      <c r="N7" s="574" t="e">
        <f ca="1">_xll.qlInterpolationInterpolate($N$1,E7,TRUE)</f>
        <v>#NAME?</v>
      </c>
      <c r="O7" s="573" t="e">
        <f t="shared" ca="1" si="2"/>
        <v>#NAME?</v>
      </c>
      <c r="P7" s="572" t="e">
        <f t="shared" ca="1" si="3"/>
        <v>#NAME?</v>
      </c>
      <c r="R7" s="561" t="e">
        <f ca="1">_xll.qlCalendarAdvance(Calendar,R6,"1D","f")</f>
        <v>#NAME?</v>
      </c>
      <c r="S7" s="560" t="e">
        <f ca="1">_xll.qlInterpolationInterpolate(B6Minterpolation,R7,TRUE)</f>
        <v>#NAME?</v>
      </c>
    </row>
    <row r="8" spans="1:22" ht="11.25" customHeight="1" x14ac:dyDescent="0.2">
      <c r="A8" s="555">
        <f t="shared" si="6"/>
        <v>5</v>
      </c>
      <c r="B8" s="555" t="s">
        <v>180</v>
      </c>
      <c r="C8" s="555">
        <f t="shared" si="4"/>
        <v>11</v>
      </c>
      <c r="D8" s="578" t="str">
        <f t="shared" si="5"/>
        <v>EUR5x11F_Quote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0</v>
      </c>
      <c r="N8" s="574" t="e">
        <f ca="1">_xll.qlInterpolationInterpolate($N$1,E8,TRUE)</f>
        <v>#NAME?</v>
      </c>
      <c r="O8" s="573" t="e">
        <f t="shared" ca="1" si="2"/>
        <v>#NAME?</v>
      </c>
      <c r="P8" s="572" t="e">
        <f t="shared" ca="1" si="3"/>
        <v>#NAME?</v>
      </c>
      <c r="R8" s="561" t="e">
        <f ca="1">_xll.qlCalendarAdvance(Calendar,R7,"1D","f")</f>
        <v>#NAME?</v>
      </c>
      <c r="S8" s="560" t="e">
        <f ca="1">_xll.qlInterpolationInterpolate(B6Minterpolation,R8,TRUE)</f>
        <v>#NAME?</v>
      </c>
    </row>
    <row r="9" spans="1:22" ht="11.25" customHeight="1" x14ac:dyDescent="0.2">
      <c r="A9" s="555">
        <f t="shared" si="6"/>
        <v>6</v>
      </c>
      <c r="B9" s="555" t="s">
        <v>180</v>
      </c>
      <c r="C9" s="555">
        <f t="shared" si="4"/>
        <v>12</v>
      </c>
      <c r="D9" s="578" t="str">
        <f t="shared" si="5"/>
        <v>EUR6x12F_Quote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_xll.qlInterpolationInterpolate(B6Minterpolation,R9,TRUE)</f>
        <v>#NAME?</v>
      </c>
    </row>
    <row r="10" spans="1:22" ht="11.25" customHeight="1" x14ac:dyDescent="0.2">
      <c r="A10" s="555">
        <f t="shared" si="6"/>
        <v>7</v>
      </c>
      <c r="B10" s="555" t="s">
        <v>180</v>
      </c>
      <c r="C10" s="555">
        <f t="shared" si="4"/>
        <v>13</v>
      </c>
      <c r="D10" s="578" t="str">
        <f t="shared" si="5"/>
        <v>EUR7x13F_Quote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0</v>
      </c>
      <c r="N10" s="574" t="e">
        <f ca="1">_xll.qlInterpolationInterpolate($N$1,E10,TRUE)</f>
        <v>#NAME?</v>
      </c>
      <c r="O10" s="573" t="e">
        <f t="shared" ca="1" si="2"/>
        <v>#NAME?</v>
      </c>
      <c r="P10" s="572" t="e">
        <f t="shared" ca="1" si="3"/>
        <v>#NAME?</v>
      </c>
      <c r="R10" s="561" t="e">
        <f ca="1">_xll.qlCalendarAdvance(Calendar,R9,"1D","f")</f>
        <v>#NAME?</v>
      </c>
      <c r="S10" s="560" t="e">
        <f ca="1">_xll.qlInterpolationInterpolate(B6Minterpolation,R10,TRUE)</f>
        <v>#NAME?</v>
      </c>
    </row>
    <row r="11" spans="1:22" ht="11.25" customHeight="1" x14ac:dyDescent="0.2">
      <c r="A11" s="555">
        <f t="shared" si="6"/>
        <v>8</v>
      </c>
      <c r="B11" s="555" t="s">
        <v>180</v>
      </c>
      <c r="C11" s="555">
        <f t="shared" si="4"/>
        <v>14</v>
      </c>
      <c r="D11" s="578" t="str">
        <f t="shared" si="5"/>
        <v>EUR8x14F_Quote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0</v>
      </c>
      <c r="N11" s="574" t="e">
        <f ca="1">_xll.qlInterpolationInterpolate($N$1,E11,TRUE)</f>
        <v>#NAME?</v>
      </c>
      <c r="O11" s="573" t="e">
        <f t="shared" ca="1" si="2"/>
        <v>#NAME?</v>
      </c>
      <c r="P11" s="572" t="e">
        <f t="shared" ca="1" si="3"/>
        <v>#NAME?</v>
      </c>
      <c r="R11" s="561" t="e">
        <f ca="1">_xll.qlCalendarAdvance(Calendar,R10,"1D","f")</f>
        <v>#NAME?</v>
      </c>
      <c r="S11" s="560" t="e">
        <f ca="1">_xll.qlInterpolationInterpolate(B6Minterpolation,R11,TRUE)</f>
        <v>#NAME?</v>
      </c>
    </row>
    <row r="12" spans="1:22" ht="11.25" customHeight="1" x14ac:dyDescent="0.2">
      <c r="A12" s="555">
        <f t="shared" si="6"/>
        <v>9</v>
      </c>
      <c r="B12" s="555" t="s">
        <v>180</v>
      </c>
      <c r="C12" s="555">
        <f t="shared" si="4"/>
        <v>15</v>
      </c>
      <c r="D12" s="578" t="str">
        <f t="shared" si="5"/>
        <v>EUR9x15F_Quote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_xll.qlInterpolationInterpolate(B6Minterpolation,R12,TRUE)</f>
        <v>#NAME?</v>
      </c>
    </row>
    <row r="13" spans="1:22" ht="11.25" customHeight="1" x14ac:dyDescent="0.2">
      <c r="A13" s="555">
        <f t="shared" si="6"/>
        <v>10</v>
      </c>
      <c r="B13" s="555" t="s">
        <v>180</v>
      </c>
      <c r="C13" s="555">
        <f t="shared" si="4"/>
        <v>16</v>
      </c>
      <c r="D13" s="578" t="str">
        <f t="shared" si="5"/>
        <v>EUR10x16F_Quote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_xll.qlInterpolationInterpolate(B6Minterpolation,R13,TRUE)</f>
        <v>#NAME?</v>
      </c>
    </row>
    <row r="14" spans="1:22" ht="11.25" customHeight="1" x14ac:dyDescent="0.2">
      <c r="A14" s="555">
        <f t="shared" si="6"/>
        <v>11</v>
      </c>
      <c r="B14" s="555" t="s">
        <v>180</v>
      </c>
      <c r="C14" s="555">
        <f t="shared" si="4"/>
        <v>17</v>
      </c>
      <c r="D14" s="578" t="str">
        <f t="shared" si="5"/>
        <v>EUR11x17F_Quote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_xll.qlInterpolationInterpolate(B6Minterpolation,R14,TRUE)</f>
        <v>#NAME?</v>
      </c>
    </row>
    <row r="15" spans="1:22" ht="11.25" customHeight="1" x14ac:dyDescent="0.2">
      <c r="A15" s="555">
        <f t="shared" si="6"/>
        <v>12</v>
      </c>
      <c r="B15" s="555" t="s">
        <v>180</v>
      </c>
      <c r="C15" s="555">
        <f t="shared" si="4"/>
        <v>18</v>
      </c>
      <c r="D15" s="578" t="str">
        <f t="shared" si="5"/>
        <v>EUR12x18F_Quote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_xll.qlInterpolationInterpolate($N$1,E15,TRUE)</f>
        <v>#NAME?</v>
      </c>
      <c r="O15" s="573" t="e">
        <f t="shared" ca="1" si="2"/>
        <v>#NAME?</v>
      </c>
      <c r="P15" s="572" t="e">
        <f t="shared" ca="1" si="3"/>
        <v>#NAME?</v>
      </c>
      <c r="R15" s="561" t="e">
        <f ca="1">_xll.qlCalendarAdvance(Calendar,R14,"1D","f")</f>
        <v>#NAME?</v>
      </c>
      <c r="S15" s="560" t="e">
        <f ca="1">_xll.qlInterpolationInterpolate(B6Minterpolation,R15,TRUE)</f>
        <v>#NAME?</v>
      </c>
    </row>
    <row r="16" spans="1:22" ht="11.25" customHeight="1" x14ac:dyDescent="0.2">
      <c r="A16" s="555">
        <f t="shared" si="6"/>
        <v>13</v>
      </c>
      <c r="B16" s="555" t="s">
        <v>180</v>
      </c>
      <c r="C16" s="555">
        <f t="shared" si="4"/>
        <v>19</v>
      </c>
      <c r="D16" s="578" t="str">
        <f t="shared" si="5"/>
        <v>EUR13x19F_Quote</v>
      </c>
      <c r="E16" s="561" t="e">
        <f ca="1">_xll.qlCalendarAdvance("target",$E$3,A16&amp;"M","mf",,Trigger)</f>
        <v>#NAME?</v>
      </c>
      <c r="F16" s="561" t="e">
        <f ca="1">_xll.qlCalendarAdvance(Calendar,E16,$F$1,"mf",,Trigger)</f>
        <v>#NAME?</v>
      </c>
      <c r="G16" s="577" t="e">
        <f ca="1">_xll.qlDayCounterYearFraction(DayCounter,E16,F16,,,Trigger)</f>
        <v>#NAME?</v>
      </c>
      <c r="H16" s="574" t="e">
        <f ca="1">_xll.qlQuoteValue(D16,AllTriggers)</f>
        <v>#NAME?</v>
      </c>
      <c r="I16" s="576" t="e">
        <f ca="1">_xll.qlYieldTSDiscount(Discounting,E16,,AllTriggers)</f>
        <v>#NAME?</v>
      </c>
      <c r="J16" s="576" t="e">
        <f ca="1">_xll.qlYieldTSDiscount(Discounting,F16,,AllTriggers)</f>
        <v>#NAME?</v>
      </c>
      <c r="K16" s="574" t="e">
        <f t="shared" ca="1" si="0"/>
        <v>#NAME?</v>
      </c>
      <c r="L16" s="574" t="e">
        <f t="shared" ca="1" si="1"/>
        <v>#NAME?</v>
      </c>
      <c r="M16" s="575" t="b">
        <v>0</v>
      </c>
      <c r="N16" s="574" t="e">
        <f ca="1">_xll.qlInterpolationInterpolate($N$1,E16,TRUE)</f>
        <v>#NAME?</v>
      </c>
      <c r="O16" s="573" t="e">
        <f t="shared" ca="1" si="2"/>
        <v>#NAME?</v>
      </c>
      <c r="P16" s="572" t="e">
        <f t="shared" ca="1" si="3"/>
        <v>#NAME?</v>
      </c>
      <c r="R16" s="561" t="e">
        <f ca="1">_xll.qlCalendarAdvance(Calendar,R15,"1D","f")</f>
        <v>#NAME?</v>
      </c>
      <c r="S16" s="560" t="e">
        <f ca="1">_xll.qlInterpolationInterpolate(B6Minterpolation,R16,TRUE)</f>
        <v>#NAME?</v>
      </c>
    </row>
    <row r="17" spans="1:19" ht="11.25" customHeight="1" x14ac:dyDescent="0.2">
      <c r="A17" s="555">
        <f t="shared" si="6"/>
        <v>14</v>
      </c>
      <c r="B17" s="555" t="s">
        <v>180</v>
      </c>
      <c r="C17" s="555">
        <f t="shared" si="4"/>
        <v>20</v>
      </c>
      <c r="D17" s="578" t="str">
        <f t="shared" si="5"/>
        <v>EUR14x20F_Quote</v>
      </c>
      <c r="E17" s="561" t="e">
        <f ca="1">_xll.qlCalendarAdvance("target",$E$3,A17&amp;"M","mf",,Trigger)</f>
        <v>#NAME?</v>
      </c>
      <c r="F17" s="561" t="e">
        <f ca="1">_xll.qlCalendarAdvance(Calendar,E17,$F$1,"mf",,Trigger)</f>
        <v>#NAME?</v>
      </c>
      <c r="G17" s="577" t="e">
        <f ca="1">_xll.qlDayCounterYearFraction(DayCounter,E17,F17,,,Trigger)</f>
        <v>#NAME?</v>
      </c>
      <c r="H17" s="574" t="e">
        <f ca="1">_xll.qlQuoteValue(D17,AllTriggers)</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_xll.qlInterpolationInterpolate($N$1,E17,TRUE)</f>
        <v>#NAME?</v>
      </c>
      <c r="O17" s="573" t="e">
        <f t="shared" ca="1" si="2"/>
        <v>#NAME?</v>
      </c>
      <c r="P17" s="572" t="e">
        <f t="shared" ca="1" si="3"/>
        <v>#NAME?</v>
      </c>
      <c r="R17" s="561" t="e">
        <f ca="1">_xll.qlCalendarAdvance(Calendar,R16,"1D","f")</f>
        <v>#NAME?</v>
      </c>
      <c r="S17" s="560" t="e">
        <f ca="1">_xll.qlInterpolationInterpolate(B6Minterpolation,R17,TRUE)</f>
        <v>#NAME?</v>
      </c>
    </row>
    <row r="18" spans="1:19" ht="11.25" customHeight="1" x14ac:dyDescent="0.2">
      <c r="A18" s="555">
        <f t="shared" si="6"/>
        <v>15</v>
      </c>
      <c r="B18" s="555" t="s">
        <v>180</v>
      </c>
      <c r="C18" s="555">
        <f t="shared" si="4"/>
        <v>21</v>
      </c>
      <c r="D18" s="578" t="str">
        <f t="shared" si="5"/>
        <v>EUR15x21F_Quote</v>
      </c>
      <c r="E18" s="561" t="e">
        <f ca="1">_xll.qlCalendarAdvance("target",$E$3,A18&amp;"M","mf",,Trigger)</f>
        <v>#NAME?</v>
      </c>
      <c r="F18" s="561" t="e">
        <f ca="1">_xll.qlCalendarAdvance(Calendar,E18,$F$1,"mf",,Trigger)</f>
        <v>#NAME?</v>
      </c>
      <c r="G18" s="577" t="e">
        <f ca="1">_xll.qlDayCounterYearFraction(DayCounter,E18,F18,,,Trigger)</f>
        <v>#NAME?</v>
      </c>
      <c r="H18" s="574" t="e">
        <f ca="1">_xll.qlQuoteValue(D18,AllTriggers)</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_xll.qlInterpolationInterpolate($N$1,E18,TRUE)</f>
        <v>#NAME?</v>
      </c>
      <c r="O18" s="573" t="e">
        <f t="shared" ca="1" si="2"/>
        <v>#NAME?</v>
      </c>
      <c r="P18" s="572" t="e">
        <f t="shared" ca="1" si="3"/>
        <v>#NAME?</v>
      </c>
      <c r="R18" s="561" t="e">
        <f ca="1">_xll.qlCalendarAdvance(Calendar,R17,"1D","f")</f>
        <v>#NAME?</v>
      </c>
      <c r="S18" s="560" t="e">
        <f ca="1">_xll.qlInterpolationInterpolate(B6Minterpolation,R18,TRUE)</f>
        <v>#NAME?</v>
      </c>
    </row>
    <row r="19" spans="1:19" ht="11.25" customHeight="1" x14ac:dyDescent="0.2">
      <c r="A19" s="555">
        <f t="shared" si="6"/>
        <v>16</v>
      </c>
      <c r="B19" s="555" t="s">
        <v>180</v>
      </c>
      <c r="C19" s="555">
        <f t="shared" si="4"/>
        <v>22</v>
      </c>
      <c r="D19" s="578" t="str">
        <f t="shared" si="5"/>
        <v>EUR16x22F_Quote</v>
      </c>
      <c r="E19" s="561" t="e">
        <f ca="1">_xll.qlCalendarAdvance("target",$E$3,A19&amp;"M","mf",,Trigger)</f>
        <v>#NAME?</v>
      </c>
      <c r="F19" s="561" t="e">
        <f ca="1">_xll.qlCalendarAdvance(Calendar,E19,$F$1,"mf",,Trigger)</f>
        <v>#NAME?</v>
      </c>
      <c r="G19" s="577" t="e">
        <f ca="1">_xll.qlDayCounterYearFraction(DayCounter,E19,F19,,,Trigger)</f>
        <v>#NAME?</v>
      </c>
      <c r="H19" s="574" t="e">
        <f ca="1">_xll.qlQuoteValue(D19,AllTriggers)</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_xll.qlInterpolationInterpolate($N$1,E19,TRUE)</f>
        <v>#NAME?</v>
      </c>
      <c r="O19" s="573" t="e">
        <f t="shared" ca="1" si="2"/>
        <v>#NAME?</v>
      </c>
      <c r="P19" s="572" t="e">
        <f t="shared" ca="1" si="3"/>
        <v>#NAME?</v>
      </c>
      <c r="R19" s="561" t="e">
        <f ca="1">_xll.qlCalendarAdvance(Calendar,R18,"1D","f")</f>
        <v>#NAME?</v>
      </c>
      <c r="S19" s="560" t="e">
        <f ca="1">_xll.qlInterpolationInterpolate(B6Minterpolation,R19,TRUE)</f>
        <v>#NAME?</v>
      </c>
    </row>
    <row r="20" spans="1:19" ht="11.25" customHeight="1" x14ac:dyDescent="0.2">
      <c r="A20" s="555">
        <f t="shared" si="6"/>
        <v>17</v>
      </c>
      <c r="B20" s="555" t="s">
        <v>180</v>
      </c>
      <c r="C20" s="555">
        <f t="shared" si="4"/>
        <v>23</v>
      </c>
      <c r="D20" s="578" t="str">
        <f t="shared" si="5"/>
        <v>EUR17x23F_Quote</v>
      </c>
      <c r="E20" s="561" t="e">
        <f ca="1">_xll.qlCalendarAdvance("target",$E$3,A20&amp;"M","mf",,Trigger)</f>
        <v>#NAME?</v>
      </c>
      <c r="F20" s="561" t="e">
        <f ca="1">_xll.qlCalendarAdvance(Calendar,E20,$F$1,"mf",,Trigger)</f>
        <v>#NAME?</v>
      </c>
      <c r="G20" s="577" t="e">
        <f ca="1">_xll.qlDayCounterYearFraction(DayCounter,E20,F20,,,Trigger)</f>
        <v>#NAME?</v>
      </c>
      <c r="H20" s="574" t="e">
        <f ca="1">_xll.qlQuoteValue(D20,AllTriggers)</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_xll.qlInterpolationInterpolate($N$1,E20,TRUE)</f>
        <v>#NAME?</v>
      </c>
      <c r="O20" s="573" t="e">
        <f t="shared" ca="1" si="2"/>
        <v>#NAME?</v>
      </c>
      <c r="P20" s="572" t="e">
        <f t="shared" ca="1" si="3"/>
        <v>#NAME?</v>
      </c>
      <c r="R20" s="561" t="e">
        <f ca="1">_xll.qlCalendarAdvance(Calendar,R19,"1D","f")</f>
        <v>#NAME?</v>
      </c>
      <c r="S20" s="560" t="e">
        <f ca="1">_xll.qlInterpolationInterpolate(B6Minterpolation,R20,TRUE)</f>
        <v>#NAME?</v>
      </c>
    </row>
    <row r="21" spans="1:19" ht="11.25" customHeight="1" x14ac:dyDescent="0.2">
      <c r="A21" s="555">
        <f t="shared" si="6"/>
        <v>18</v>
      </c>
      <c r="B21" s="555" t="s">
        <v>180</v>
      </c>
      <c r="C21" s="555">
        <f t="shared" si="4"/>
        <v>24</v>
      </c>
      <c r="D21" s="571" t="str">
        <f t="shared" si="5"/>
        <v>EUR18x24F_Quote</v>
      </c>
      <c r="E21" s="559" t="e">
        <f ca="1">_xll.qlCalendarAdvance("target",$E$3,A21&amp;"M","mf",,Trigger)</f>
        <v>#NAME?</v>
      </c>
      <c r="F21" s="559" t="e">
        <f ca="1">_xll.qlCalendarAdvance(Calendar,E21,$F$1,"mf",,Trigger)</f>
        <v>#NAME?</v>
      </c>
      <c r="G21" s="570" t="e">
        <f ca="1">_xll.qlDayCounterYearFraction(DayCounter,E21,F21,,,Trigger)</f>
        <v>#NAME?</v>
      </c>
      <c r="H21" s="567" t="e">
        <f ca="1">_xll.qlQuoteValue(D21,AllTriggers)</f>
        <v>#NAME?</v>
      </c>
      <c r="I21" s="569" t="e">
        <f ca="1">_xll.qlYieldTSDiscount(Discounting,E21,,AllTriggers)</f>
        <v>#NAME?</v>
      </c>
      <c r="J21" s="569" t="e">
        <f ca="1">_xll.qlYieldTSDiscount(Discounting,F21,,AllTriggers)</f>
        <v>#NAME?</v>
      </c>
      <c r="K21" s="567" t="e">
        <f t="shared" ca="1" si="0"/>
        <v>#NAME?</v>
      </c>
      <c r="L21" s="567" t="e">
        <f t="shared" ca="1" si="1"/>
        <v>#NAME?</v>
      </c>
      <c r="M21" s="568" t="b">
        <v>1</v>
      </c>
      <c r="N21" s="567" t="e">
        <f ca="1">_xll.qlInterpolationInterpolate($N$1,E21,TRUE)</f>
        <v>#NAME?</v>
      </c>
      <c r="O21" s="566" t="e">
        <f t="shared" ca="1" si="2"/>
        <v>#NAME?</v>
      </c>
      <c r="P21" s="565" t="e">
        <f t="shared" ca="1" si="3"/>
        <v>#NAME?</v>
      </c>
      <c r="R21" s="561" t="e">
        <f ca="1">_xll.qlCalendarAdvance(Calendar,R20,"1D","f")</f>
        <v>#NAME?</v>
      </c>
      <c r="S21" s="560" t="e">
        <f ca="1">_xll.qlInterpolationInterpolate(B6Minterpolation,R21,TRUE)</f>
        <v>#NAME?</v>
      </c>
    </row>
    <row r="22" spans="1:19" ht="11.25" customHeight="1" x14ac:dyDescent="0.2">
      <c r="E22" s="563"/>
      <c r="F22" s="563"/>
      <c r="G22" s="563"/>
      <c r="H22" s="562"/>
      <c r="I22" s="564"/>
      <c r="J22" s="564"/>
      <c r="K22" s="562"/>
      <c r="L22" s="562"/>
      <c r="O22" s="564"/>
      <c r="P22" s="564"/>
      <c r="R22" s="561" t="e">
        <f ca="1">_xll.qlCalendarAdvance(Calendar,R21,"1D","f")</f>
        <v>#NAME?</v>
      </c>
      <c r="S22" s="560" t="e">
        <f ca="1">_xll.qlInterpolationInterpolate(B6Minterpolation,R22,TRUE)</f>
        <v>#NAME?</v>
      </c>
    </row>
    <row r="23" spans="1:19" ht="11.25" customHeight="1" x14ac:dyDescent="0.2">
      <c r="E23" s="563"/>
      <c r="F23" s="563"/>
      <c r="G23" s="563"/>
      <c r="H23" s="562"/>
      <c r="K23" s="562"/>
      <c r="L23" s="562"/>
      <c r="P23" s="564"/>
      <c r="R23" s="561" t="e">
        <f ca="1">_xll.qlCalendarAdvance(Calendar,R22,"1D","f")</f>
        <v>#NAME?</v>
      </c>
      <c r="S23" s="560" t="e">
        <f ca="1">_xll.qlInterpolationInterpolate(B6Minterpolation,R23,TRUE)</f>
        <v>#NAME?</v>
      </c>
    </row>
    <row r="24" spans="1:19" ht="11.25" customHeight="1" x14ac:dyDescent="0.2">
      <c r="E24" s="563"/>
      <c r="F24" s="563"/>
      <c r="G24" s="563"/>
      <c r="H24" s="562"/>
      <c r="K24" s="562"/>
      <c r="L24" s="562"/>
      <c r="R24" s="561" t="e">
        <f ca="1">_xll.qlCalendarAdvance(Calendar,R23,"1D","f")</f>
        <v>#NAME?</v>
      </c>
      <c r="S24" s="560" t="e">
        <f ca="1">_xll.qlInterpolationInterpolate(B6Minterpolation,R24,TRUE)</f>
        <v>#NAME?</v>
      </c>
    </row>
    <row r="25" spans="1:19" ht="11.25" customHeight="1" x14ac:dyDescent="0.2">
      <c r="E25" s="563"/>
      <c r="F25" s="563"/>
      <c r="G25" s="563"/>
      <c r="H25" s="562"/>
      <c r="K25" s="562"/>
      <c r="L25" s="562"/>
      <c r="R25" s="561" t="e">
        <f ca="1">_xll.qlCalendarAdvance(Calendar,R24,"1D","f")</f>
        <v>#NAME?</v>
      </c>
      <c r="S25" s="560" t="e">
        <f ca="1">_xll.qlInterpolationInterpolate(B6Minterpolation,R25,TRUE)</f>
        <v>#NAME?</v>
      </c>
    </row>
    <row r="26" spans="1:19" ht="11.25" customHeight="1" x14ac:dyDescent="0.2">
      <c r="E26" s="563"/>
      <c r="F26" s="563"/>
      <c r="G26" s="563"/>
      <c r="H26" s="562"/>
      <c r="K26" s="562"/>
      <c r="L26" s="562"/>
      <c r="R26" s="561" t="e">
        <f ca="1">_xll.qlCalendarAdvance(Calendar,R25,"1D","f")</f>
        <v>#NAME?</v>
      </c>
      <c r="S26" s="560" t="e">
        <f ca="1">_xll.qlInterpolationInterpolate(B6Minterpolation,R26,TRUE)</f>
        <v>#NAME?</v>
      </c>
    </row>
    <row r="27" spans="1:19" ht="11.25" customHeight="1" x14ac:dyDescent="0.2">
      <c r="E27" s="563"/>
      <c r="F27" s="563"/>
      <c r="G27" s="563"/>
      <c r="H27" s="562"/>
      <c r="K27" s="562"/>
      <c r="L27" s="562"/>
      <c r="R27" s="561" t="e">
        <f ca="1">_xll.qlCalendarAdvance(Calendar,R26,"1D","f")</f>
        <v>#NAME?</v>
      </c>
      <c r="S27" s="560" t="e">
        <f ca="1">_xll.qlInterpolationInterpolate(B6Minterpolation,R27,TRUE)</f>
        <v>#NAME?</v>
      </c>
    </row>
    <row r="28" spans="1:19" ht="11.25" customHeight="1" x14ac:dyDescent="0.2">
      <c r="E28" s="563"/>
      <c r="F28" s="563"/>
      <c r="G28" s="563"/>
      <c r="H28" s="562"/>
      <c r="K28" s="562"/>
      <c r="L28" s="562"/>
      <c r="R28" s="561" t="e">
        <f ca="1">_xll.qlCalendarAdvance(Calendar,R27,"1D","f")</f>
        <v>#NAME?</v>
      </c>
      <c r="S28" s="560" t="e">
        <f ca="1">_xll.qlInterpolationInterpolate(B6Minterpolation,R28,TRUE)</f>
        <v>#NAME?</v>
      </c>
    </row>
    <row r="29" spans="1:19" ht="11.25" customHeight="1" x14ac:dyDescent="0.2">
      <c r="E29" s="563"/>
      <c r="F29" s="563"/>
      <c r="G29" s="563"/>
      <c r="H29" s="562"/>
      <c r="K29" s="562"/>
      <c r="L29" s="562"/>
      <c r="R29" s="561" t="e">
        <f ca="1">_xll.qlCalendarAdvance(Calendar,R28,"1D","f")</f>
        <v>#NAME?</v>
      </c>
      <c r="S29" s="560" t="e">
        <f ca="1">_xll.qlInterpolationInterpolate(B6Minterpolation,R29,TRUE)</f>
        <v>#NAME?</v>
      </c>
    </row>
    <row r="30" spans="1:19" ht="11.25" customHeight="1" x14ac:dyDescent="0.2">
      <c r="E30" s="563"/>
      <c r="F30" s="563"/>
      <c r="G30" s="563"/>
      <c r="H30" s="562"/>
      <c r="K30" s="562"/>
      <c r="L30" s="562"/>
      <c r="R30" s="561" t="e">
        <f ca="1">_xll.qlCalendarAdvance(Calendar,R29,"1D","f")</f>
        <v>#NAME?</v>
      </c>
      <c r="S30" s="560" t="e">
        <f ca="1">_xll.qlInterpolationInterpolate(B6Minterpolation,R30,TRUE)</f>
        <v>#NAME?</v>
      </c>
    </row>
    <row r="31" spans="1:19" ht="11.25" customHeight="1" x14ac:dyDescent="0.2">
      <c r="E31" s="563"/>
      <c r="F31" s="563"/>
      <c r="G31" s="563"/>
      <c r="H31" s="562"/>
      <c r="K31" s="562"/>
      <c r="L31" s="562"/>
      <c r="R31" s="561" t="e">
        <f ca="1">_xll.qlCalendarAdvance(Calendar,R30,"1D","f")</f>
        <v>#NAME?</v>
      </c>
      <c r="S31" s="560" t="e">
        <f ca="1">_xll.qlInterpolationInterpolate(B6Minterpolation,R31,TRUE)</f>
        <v>#NAME?</v>
      </c>
    </row>
    <row r="32" spans="1:19" ht="11.25" customHeight="1" x14ac:dyDescent="0.2">
      <c r="E32" s="563"/>
      <c r="F32" s="563"/>
      <c r="G32" s="563"/>
      <c r="H32" s="562"/>
      <c r="K32" s="562"/>
      <c r="L32" s="562"/>
      <c r="R32" s="561" t="e">
        <f ca="1">_xll.qlCalendarAdvance(Calendar,R31,"1D","f")</f>
        <v>#NAME?</v>
      </c>
      <c r="S32" s="560" t="e">
        <f ca="1">_xll.qlInterpolationInterpolate(B6Minterpolation,R32,TRUE)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_xll.qlInterpolationInterpolate(B6Minterpolation,R33,TRUE)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_xll.qlInterpolationInterpolate(B6Minterpolation,R34,TRUE)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_xll.qlInterpolationInterpolate(B6Minterpolation,R35,TRUE)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_xll.qlInterpolationInterpolate(B6Minterpolation,R36,TRUE)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_xll.qlInterpolationInterpolate(B6Minterpolation,R37,TRUE)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_xll.qlInterpolationInterpolate(B6Minterpolation,R38,TRUE)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_xll.qlInterpolationInterpolate(B6Minterpolation,R39,TRUE)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_xll.qlInterpolationInterpolate(B6Minterpolation,R40,TRUE)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_xll.qlInterpolationInterpolate(B6Minterpolation,R41,TRUE)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_xll.qlInterpolationInterpolate(B6Minterpolation,R42,TRUE)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_xll.qlInterpolationInterpolate(B6Minterpolation,R43,TRUE)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_xll.qlInterpolationInterpolate(B6Minterpolation,R44,TRUE)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_xll.qlInterpolationInterpolate(B6Minterpolation,R45,TRUE)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_xll.qlInterpolationInterpolate(B6Minterpolation,R46,TRUE)</f>
        <v>#NAME?</v>
      </c>
    </row>
    <row r="47" spans="5:19" ht="11.25" customHeight="1" x14ac:dyDescent="0.2">
      <c r="E47" s="563"/>
      <c r="F47" s="563"/>
      <c r="G47" s="563"/>
      <c r="H47" s="562"/>
      <c r="K47" s="562"/>
      <c r="L47" s="562"/>
      <c r="R47" s="561" t="e">
        <f ca="1">_xll.qlCalendarAdvance(Calendar,R46,"1D","f")</f>
        <v>#NAME?</v>
      </c>
      <c r="S47" s="560" t="e">
        <f ca="1">_xll.qlInterpolationInterpolate(B6Minterpolation,R47,TRUE)</f>
        <v>#NAME?</v>
      </c>
    </row>
    <row r="48" spans="5:19" ht="11.25" customHeight="1" x14ac:dyDescent="0.2">
      <c r="E48" s="563"/>
      <c r="F48" s="563"/>
      <c r="G48" s="563"/>
      <c r="H48" s="562"/>
      <c r="K48" s="562"/>
      <c r="L48" s="562"/>
      <c r="R48" s="561" t="e">
        <f ca="1">_xll.qlCalendarAdvance(Calendar,R47,"1D","f")</f>
        <v>#NAME?</v>
      </c>
      <c r="S48" s="560" t="e">
        <f ca="1">_xll.qlInterpolationInterpolate(B6Minterpolation,R48,TRUE)</f>
        <v>#NAME?</v>
      </c>
    </row>
    <row r="49" spans="5:19" ht="11.25" customHeight="1" x14ac:dyDescent="0.2">
      <c r="E49" s="563"/>
      <c r="F49" s="563"/>
      <c r="G49" s="563"/>
      <c r="H49" s="562"/>
      <c r="K49" s="562"/>
      <c r="L49" s="562"/>
      <c r="R49" s="561" t="e">
        <f ca="1">_xll.qlCalendarAdvance(Calendar,R48,"1D","f")</f>
        <v>#NAME?</v>
      </c>
      <c r="S49" s="560" t="e">
        <f ca="1">_xll.qlInterpolationInterpolate(B6Minterpolation,R49,TRUE)</f>
        <v>#NAME?</v>
      </c>
    </row>
    <row r="50" spans="5:19" ht="11.25" customHeight="1" x14ac:dyDescent="0.2">
      <c r="E50" s="563"/>
      <c r="F50" s="563"/>
      <c r="G50" s="563"/>
      <c r="H50" s="562"/>
      <c r="K50" s="562"/>
      <c r="L50" s="562"/>
      <c r="R50" s="561" t="e">
        <f ca="1">_xll.qlCalendarAdvance(Calendar,R49,"1D","f")</f>
        <v>#NAME?</v>
      </c>
      <c r="S50" s="560" t="e">
        <f ca="1">_xll.qlInterpolationInterpolate(B6Minterpolation,R50,TRUE)</f>
        <v>#NAME?</v>
      </c>
    </row>
    <row r="51" spans="5:19" ht="11.25" customHeight="1" x14ac:dyDescent="0.2">
      <c r="E51" s="563"/>
      <c r="F51" s="563"/>
      <c r="G51" s="563"/>
      <c r="H51" s="562"/>
      <c r="K51" s="562"/>
      <c r="L51" s="562"/>
      <c r="R51" s="561" t="e">
        <f ca="1">_xll.qlCalendarAdvance(Calendar,R50,"1D","f")</f>
        <v>#NAME?</v>
      </c>
      <c r="S51" s="560" t="e">
        <f ca="1">_xll.qlInterpolationInterpolate(B6Minterpolation,R51,TRUE)</f>
        <v>#NAME?</v>
      </c>
    </row>
    <row r="52" spans="5:19" ht="11.25" customHeight="1" x14ac:dyDescent="0.2">
      <c r="E52" s="563"/>
      <c r="F52" s="563"/>
      <c r="G52" s="563"/>
      <c r="H52" s="562"/>
      <c r="K52" s="562"/>
      <c r="L52" s="562"/>
      <c r="R52" s="561" t="e">
        <f ca="1">_xll.qlCalendarAdvance(Calendar,R51,"1D","f")</f>
        <v>#NAME?</v>
      </c>
      <c r="S52" s="560" t="e">
        <f ca="1">_xll.qlInterpolationInterpolate(B6Minterpolation,R52,TRUE)</f>
        <v>#NAME?</v>
      </c>
    </row>
    <row r="53" spans="5:19" x14ac:dyDescent="0.2">
      <c r="R53" s="561" t="e">
        <f ca="1">_xll.qlCalendarAdvance(Calendar,R52,"1D","f")</f>
        <v>#NAME?</v>
      </c>
      <c r="S53" s="560" t="e">
        <f ca="1">_xll.qlInterpolationInterpolate(B6Minterpolation,R53,TRUE)</f>
        <v>#NAME?</v>
      </c>
    </row>
    <row r="54" spans="5:19" x14ac:dyDescent="0.2">
      <c r="R54" s="561" t="e">
        <f ca="1">_xll.qlCalendarAdvance(Calendar,R53,"1D","f")</f>
        <v>#NAME?</v>
      </c>
      <c r="S54" s="560" t="e">
        <f ca="1">_xll.qlInterpolationInterpolate(B6Minterpolation,R54,TRUE)</f>
        <v>#NAME?</v>
      </c>
    </row>
    <row r="55" spans="5:19" x14ac:dyDescent="0.2">
      <c r="R55" s="561" t="e">
        <f ca="1">_xll.qlCalendarAdvance(Calendar,R54,"1D","f")</f>
        <v>#NAME?</v>
      </c>
      <c r="S55" s="560" t="e">
        <f ca="1">_xll.qlInterpolationInterpolate(B6Minterpolation,R55,TRUE)</f>
        <v>#NAME?</v>
      </c>
    </row>
    <row r="56" spans="5:19" x14ac:dyDescent="0.2">
      <c r="R56" s="561" t="e">
        <f ca="1">_xll.qlCalendarAdvance(Calendar,R55,"1D","f")</f>
        <v>#NAME?</v>
      </c>
      <c r="S56" s="560" t="e">
        <f ca="1">_xll.qlInterpolationInterpolate(B6Minterpolation,R56,TRUE)</f>
        <v>#NAME?</v>
      </c>
    </row>
    <row r="57" spans="5:19" x14ac:dyDescent="0.2">
      <c r="R57" s="561" t="e">
        <f ca="1">_xll.qlCalendarAdvance(Calendar,R56,"1D","f")</f>
        <v>#NAME?</v>
      </c>
      <c r="S57" s="560" t="e">
        <f ca="1">_xll.qlInterpolationInterpolate(B6Minterpolation,R57,TRUE)</f>
        <v>#NAME?</v>
      </c>
    </row>
    <row r="58" spans="5:19" x14ac:dyDescent="0.2">
      <c r="R58" s="561" t="e">
        <f ca="1">_xll.qlCalendarAdvance(Calendar,R57,"1D","f")</f>
        <v>#NAME?</v>
      </c>
      <c r="S58" s="560" t="e">
        <f ca="1">_xll.qlInterpolationInterpolate(B6Minterpolation,R58,TRUE)</f>
        <v>#NAME?</v>
      </c>
    </row>
    <row r="59" spans="5:19" x14ac:dyDescent="0.2">
      <c r="R59" s="561" t="e">
        <f ca="1">_xll.qlCalendarAdvance(Calendar,R58,"1D","f")</f>
        <v>#NAME?</v>
      </c>
      <c r="S59" s="560" t="e">
        <f ca="1">_xll.qlInterpolationInterpolate(B6Minterpolation,R59,TRUE)</f>
        <v>#NAME?</v>
      </c>
    </row>
    <row r="60" spans="5:19" x14ac:dyDescent="0.2">
      <c r="R60" s="561" t="e">
        <f ca="1">_xll.qlCalendarAdvance(Calendar,R59,"1D","f")</f>
        <v>#NAME?</v>
      </c>
      <c r="S60" s="560" t="e">
        <f ca="1">_xll.qlInterpolationInterpolate(B6Minterpolation,R60,TRUE)</f>
        <v>#NAME?</v>
      </c>
    </row>
    <row r="61" spans="5:19" x14ac:dyDescent="0.2">
      <c r="R61" s="561" t="e">
        <f ca="1">_xll.qlCalendarAdvance(Calendar,R60,"1D","f")</f>
        <v>#NAME?</v>
      </c>
      <c r="S61" s="560" t="e">
        <f ca="1">_xll.qlInterpolationInterpolate(B6Minterpolation,R61,TRUE)</f>
        <v>#NAME?</v>
      </c>
    </row>
    <row r="62" spans="5:19" x14ac:dyDescent="0.2">
      <c r="R62" s="561" t="e">
        <f ca="1">_xll.qlCalendarAdvance(Calendar,R61,"1D","f")</f>
        <v>#NAME?</v>
      </c>
      <c r="S62" s="560" t="e">
        <f ca="1">_xll.qlInterpolationInterpolate(B6Minterpolation,R62,TRUE)</f>
        <v>#NAME?</v>
      </c>
    </row>
    <row r="63" spans="5:19" x14ac:dyDescent="0.2">
      <c r="R63" s="561" t="e">
        <f ca="1">_xll.qlCalendarAdvance(Calendar,R62,"1D","f")</f>
        <v>#NAME?</v>
      </c>
      <c r="S63" s="560" t="e">
        <f ca="1">_xll.qlInterpolationInterpolate(B6Minterpolation,R63,TRUE)</f>
        <v>#NAME?</v>
      </c>
    </row>
    <row r="64" spans="5:19" x14ac:dyDescent="0.2">
      <c r="R64" s="561" t="e">
        <f ca="1">_xll.qlCalendarAdvance(Calendar,R63,"1D","f")</f>
        <v>#NAME?</v>
      </c>
      <c r="S64" s="560" t="e">
        <f ca="1">_xll.qlInterpolationInterpolate(B6Minterpolation,R64,TRUE)</f>
        <v>#NAME?</v>
      </c>
    </row>
    <row r="65" spans="18:19" x14ac:dyDescent="0.2">
      <c r="R65" s="561" t="e">
        <f ca="1">_xll.qlCalendarAdvance(Calendar,R64,"1D","f")</f>
        <v>#NAME?</v>
      </c>
      <c r="S65" s="560" t="e">
        <f ca="1">_xll.qlInterpolationInterpolate(B6Minterpolation,R65,TRUE)</f>
        <v>#NAME?</v>
      </c>
    </row>
    <row r="66" spans="18:19" x14ac:dyDescent="0.2">
      <c r="R66" s="561" t="e">
        <f ca="1">_xll.qlCalendarAdvance(Calendar,R65,"1D","f")</f>
        <v>#NAME?</v>
      </c>
      <c r="S66" s="560" t="e">
        <f ca="1">_xll.qlInterpolationInterpolate(B6Minterpolation,R66,TRUE)</f>
        <v>#NAME?</v>
      </c>
    </row>
    <row r="67" spans="18:19" x14ac:dyDescent="0.2">
      <c r="R67" s="561" t="e">
        <f ca="1">_xll.qlCalendarAdvance(Calendar,R66,"1D","f")</f>
        <v>#NAME?</v>
      </c>
      <c r="S67" s="560" t="e">
        <f ca="1">_xll.qlInterpolationInterpolate(B6Minterpolation,R67,TRUE)</f>
        <v>#NAME?</v>
      </c>
    </row>
    <row r="68" spans="18:19" x14ac:dyDescent="0.2">
      <c r="R68" s="561" t="e">
        <f ca="1">_xll.qlCalendarAdvance(Calendar,R67,"1D","f")</f>
        <v>#NAME?</v>
      </c>
      <c r="S68" s="560" t="e">
        <f ca="1">_xll.qlInterpolationInterpolate(B6Minterpolation,R68,TRUE)</f>
        <v>#NAME?</v>
      </c>
    </row>
    <row r="69" spans="18:19" x14ac:dyDescent="0.2">
      <c r="R69" s="561" t="e">
        <f ca="1">_xll.qlCalendarAdvance(Calendar,R68,"1D","f")</f>
        <v>#NAME?</v>
      </c>
      <c r="S69" s="560" t="e">
        <f ca="1">_xll.qlInterpolationInterpolate(B6Minterpolation,R69,TRUE)</f>
        <v>#NAME?</v>
      </c>
    </row>
    <row r="70" spans="18:19" x14ac:dyDescent="0.2">
      <c r="R70" s="561" t="e">
        <f ca="1">_xll.qlCalendarAdvance(Calendar,R69,"1D","f")</f>
        <v>#NAME?</v>
      </c>
      <c r="S70" s="560" t="e">
        <f ca="1">_xll.qlInterpolationInterpolate(B6Minterpolation,R70,TRUE)</f>
        <v>#NAME?</v>
      </c>
    </row>
    <row r="71" spans="18:19" x14ac:dyDescent="0.2">
      <c r="R71" s="561" t="e">
        <f ca="1">_xll.qlCalendarAdvance(Calendar,R70,"1D","f")</f>
        <v>#NAME?</v>
      </c>
      <c r="S71" s="560" t="e">
        <f ca="1">_xll.qlInterpolationInterpolate(B6Minterpolation,R71,TRUE)</f>
        <v>#NAME?</v>
      </c>
    </row>
    <row r="72" spans="18:19" x14ac:dyDescent="0.2">
      <c r="R72" s="561" t="e">
        <f ca="1">_xll.qlCalendarAdvance(Calendar,R71,"1D","f")</f>
        <v>#NAME?</v>
      </c>
      <c r="S72" s="560" t="e">
        <f ca="1">_xll.qlInterpolationInterpolate(B6Minterpolation,R72,TRUE)</f>
        <v>#NAME?</v>
      </c>
    </row>
    <row r="73" spans="18:19" x14ac:dyDescent="0.2">
      <c r="R73" s="561" t="e">
        <f ca="1">_xll.qlCalendarAdvance(Calendar,R72,"1D","f")</f>
        <v>#NAME?</v>
      </c>
      <c r="S73" s="560" t="e">
        <f ca="1">_xll.qlInterpolationInterpolate(B6Minterpolation,R73,TRUE)</f>
        <v>#NAME?</v>
      </c>
    </row>
    <row r="74" spans="18:19" x14ac:dyDescent="0.2">
      <c r="R74" s="561" t="e">
        <f ca="1">_xll.qlCalendarAdvance(Calendar,R73,"1D","f")</f>
        <v>#NAME?</v>
      </c>
      <c r="S74" s="560" t="e">
        <f ca="1">_xll.qlInterpolationInterpolate(B6Minterpolation,R74,TRUE)</f>
        <v>#NAME?</v>
      </c>
    </row>
    <row r="75" spans="18:19" x14ac:dyDescent="0.2">
      <c r="R75" s="561" t="e">
        <f ca="1">_xll.qlCalendarAdvance(Calendar,R74,"1D","f")</f>
        <v>#NAME?</v>
      </c>
      <c r="S75" s="560" t="e">
        <f ca="1">_xll.qlInterpolationInterpolate(B6Minterpolation,R75,TRUE)</f>
        <v>#NAME?</v>
      </c>
    </row>
    <row r="76" spans="18:19" x14ac:dyDescent="0.2">
      <c r="R76" s="561" t="e">
        <f ca="1">_xll.qlCalendarAdvance(Calendar,R75,"1D","f")</f>
        <v>#NAME?</v>
      </c>
      <c r="S76" s="560" t="e">
        <f ca="1">_xll.qlInterpolationInterpolate(B6Minterpolation,R76,TRUE)</f>
        <v>#NAME?</v>
      </c>
    </row>
    <row r="77" spans="18:19" x14ac:dyDescent="0.2">
      <c r="R77" s="561" t="e">
        <f ca="1">_xll.qlCalendarAdvance(Calendar,R76,"1D","f")</f>
        <v>#NAME?</v>
      </c>
      <c r="S77" s="560" t="e">
        <f ca="1">_xll.qlInterpolationInterpolate(B6Minterpolation,R77,TRUE)</f>
        <v>#NAME?</v>
      </c>
    </row>
    <row r="78" spans="18:19" x14ac:dyDescent="0.2">
      <c r="R78" s="561" t="e">
        <f ca="1">_xll.qlCalendarAdvance(Calendar,R77,"1D","f")</f>
        <v>#NAME?</v>
      </c>
      <c r="S78" s="560" t="e">
        <f ca="1">_xll.qlInterpolationInterpolate(B6Minterpolation,R78,TRUE)</f>
        <v>#NAME?</v>
      </c>
    </row>
    <row r="79" spans="18:19" x14ac:dyDescent="0.2">
      <c r="R79" s="561" t="e">
        <f ca="1">_xll.qlCalendarAdvance(Calendar,R78,"1D","f")</f>
        <v>#NAME?</v>
      </c>
      <c r="S79" s="560" t="e">
        <f ca="1">_xll.qlInterpolationInterpolate(B6Minterpolation,R79,TRUE)</f>
        <v>#NAME?</v>
      </c>
    </row>
    <row r="80" spans="18:19" x14ac:dyDescent="0.2">
      <c r="R80" s="561" t="e">
        <f ca="1">_xll.qlCalendarAdvance(Calendar,R79,"1D","f")</f>
        <v>#NAME?</v>
      </c>
      <c r="S80" s="560" t="e">
        <f ca="1">_xll.qlInterpolationInterpolate(B6Minterpolation,R80,TRUE)</f>
        <v>#NAME?</v>
      </c>
    </row>
    <row r="81" spans="18:19" x14ac:dyDescent="0.2">
      <c r="R81" s="561" t="e">
        <f ca="1">_xll.qlCalendarAdvance(Calendar,R80,"1D","f")</f>
        <v>#NAME?</v>
      </c>
      <c r="S81" s="560" t="e">
        <f ca="1">_xll.qlInterpolationInterpolate(B6Minterpolation,R81,TRUE)</f>
        <v>#NAME?</v>
      </c>
    </row>
    <row r="82" spans="18:19" x14ac:dyDescent="0.2">
      <c r="R82" s="561" t="e">
        <f ca="1">_xll.qlCalendarAdvance(Calendar,R81,"1D","f")</f>
        <v>#NAME?</v>
      </c>
      <c r="S82" s="560" t="e">
        <f ca="1">_xll.qlInterpolationInterpolate(B6Minterpolation,R82,TRUE)</f>
        <v>#NAME?</v>
      </c>
    </row>
    <row r="83" spans="18:19" x14ac:dyDescent="0.2">
      <c r="R83" s="561" t="e">
        <f ca="1">_xll.qlCalendarAdvance(Calendar,R82,"1D","f")</f>
        <v>#NAME?</v>
      </c>
      <c r="S83" s="560" t="e">
        <f ca="1">_xll.qlInterpolationInterpolate(B6Minterpolation,R83,TRUE)</f>
        <v>#NAME?</v>
      </c>
    </row>
    <row r="84" spans="18:19" x14ac:dyDescent="0.2">
      <c r="R84" s="561" t="e">
        <f ca="1">_xll.qlCalendarAdvance(Calendar,R83,"1D","f")</f>
        <v>#NAME?</v>
      </c>
      <c r="S84" s="560" t="e">
        <f ca="1">_xll.qlInterpolationInterpolate(B6Minterpolation,R84,TRUE)</f>
        <v>#NAME?</v>
      </c>
    </row>
    <row r="85" spans="18:19" x14ac:dyDescent="0.2">
      <c r="R85" s="561" t="e">
        <f ca="1">_xll.qlCalendarAdvance(Calendar,R84,"1D","f")</f>
        <v>#NAME?</v>
      </c>
      <c r="S85" s="560" t="e">
        <f ca="1">_xll.qlInterpolationInterpolate(B6Minterpolation,R85,TRUE)</f>
        <v>#NAME?</v>
      </c>
    </row>
    <row r="86" spans="18:19" x14ac:dyDescent="0.2">
      <c r="R86" s="561" t="e">
        <f ca="1">_xll.qlCalendarAdvance(Calendar,R85,"1D","f")</f>
        <v>#NAME?</v>
      </c>
      <c r="S86" s="560" t="e">
        <f ca="1">_xll.qlInterpolationInterpolate(B6Minterpolation,R86,TRUE)</f>
        <v>#NAME?</v>
      </c>
    </row>
    <row r="87" spans="18:19" x14ac:dyDescent="0.2">
      <c r="R87" s="561" t="e">
        <f ca="1">_xll.qlCalendarAdvance(Calendar,R86,"1D","f")</f>
        <v>#NAME?</v>
      </c>
      <c r="S87" s="560" t="e">
        <f ca="1">_xll.qlInterpolationInterpolate(B6Minterpolation,R87,TRUE)</f>
        <v>#NAME?</v>
      </c>
    </row>
    <row r="88" spans="18:19" x14ac:dyDescent="0.2">
      <c r="R88" s="561" t="e">
        <f ca="1">_xll.qlCalendarAdvance(Calendar,R87,"1D","f")</f>
        <v>#NAME?</v>
      </c>
      <c r="S88" s="560" t="e">
        <f ca="1">_xll.qlInterpolationInterpolate(B6Minterpolation,R88,TRUE)</f>
        <v>#NAME?</v>
      </c>
    </row>
    <row r="89" spans="18:19" x14ac:dyDescent="0.2">
      <c r="R89" s="561" t="e">
        <f ca="1">_xll.qlCalendarAdvance(Calendar,R88,"1D","f")</f>
        <v>#NAME?</v>
      </c>
      <c r="S89" s="560" t="e">
        <f ca="1">_xll.qlInterpolationInterpolate(B6Minterpolation,R89,TRUE)</f>
        <v>#NAME?</v>
      </c>
    </row>
    <row r="90" spans="18:19" x14ac:dyDescent="0.2">
      <c r="R90" s="561" t="e">
        <f ca="1">_xll.qlCalendarAdvance(Calendar,R89,"1D","f")</f>
        <v>#NAME?</v>
      </c>
      <c r="S90" s="560" t="e">
        <f ca="1">_xll.qlInterpolationInterpolate(B6Minterpolation,R90,TRUE)</f>
        <v>#NAME?</v>
      </c>
    </row>
    <row r="91" spans="18:19" x14ac:dyDescent="0.2">
      <c r="R91" s="561" t="e">
        <f ca="1">_xll.qlCalendarAdvance(Calendar,R90,"1D","f")</f>
        <v>#NAME?</v>
      </c>
      <c r="S91" s="560" t="e">
        <f ca="1">_xll.qlInterpolationInterpolate(B6Minterpolation,R91,TRUE)</f>
        <v>#NAME?</v>
      </c>
    </row>
    <row r="92" spans="18:19" x14ac:dyDescent="0.2">
      <c r="R92" s="561" t="e">
        <f ca="1">_xll.qlCalendarAdvance(Calendar,R91,"1D","f")</f>
        <v>#NAME?</v>
      </c>
      <c r="S92" s="560" t="e">
        <f ca="1">_xll.qlInterpolationInterpolate(B6Minterpolation,R92,TRUE)</f>
        <v>#NAME?</v>
      </c>
    </row>
    <row r="93" spans="18:19" x14ac:dyDescent="0.2">
      <c r="R93" s="561" t="e">
        <f ca="1">_xll.qlCalendarAdvance(Calendar,R92,"1D","f")</f>
        <v>#NAME?</v>
      </c>
      <c r="S93" s="560" t="e">
        <f ca="1">_xll.qlInterpolationInterpolate(B6Minterpolation,R93,TRUE)</f>
        <v>#NAME?</v>
      </c>
    </row>
    <row r="94" spans="18:19" x14ac:dyDescent="0.2">
      <c r="R94" s="561" t="e">
        <f ca="1">_xll.qlCalendarAdvance(Calendar,R93,"1D","f")</f>
        <v>#NAME?</v>
      </c>
      <c r="S94" s="560" t="e">
        <f ca="1">_xll.qlInterpolationInterpolate(B6Minterpolation,R94,TRUE)</f>
        <v>#NAME?</v>
      </c>
    </row>
    <row r="95" spans="18:19" x14ac:dyDescent="0.2">
      <c r="R95" s="561" t="e">
        <f ca="1">_xll.qlCalendarAdvance(Calendar,R94,"1D","f")</f>
        <v>#NAME?</v>
      </c>
      <c r="S95" s="560" t="e">
        <f ca="1">_xll.qlInterpolationInterpolate(B6Minterpolation,R95,TRUE)</f>
        <v>#NAME?</v>
      </c>
    </row>
    <row r="96" spans="18:19" x14ac:dyDescent="0.2">
      <c r="R96" s="561" t="e">
        <f ca="1">_xll.qlCalendarAdvance(Calendar,R95,"1D","f")</f>
        <v>#NAME?</v>
      </c>
      <c r="S96" s="560" t="e">
        <f ca="1">_xll.qlInterpolationInterpolate(B6Minterpolation,R96,TRUE)</f>
        <v>#NAME?</v>
      </c>
    </row>
    <row r="97" spans="18:19" x14ac:dyDescent="0.2">
      <c r="R97" s="561" t="e">
        <f ca="1">_xll.qlCalendarAdvance(Calendar,R96,"1D","f")</f>
        <v>#NAME?</v>
      </c>
      <c r="S97" s="560" t="e">
        <f ca="1">_xll.qlInterpolationInterpolate(B6Minterpolation,R97,TRUE)</f>
        <v>#NAME?</v>
      </c>
    </row>
    <row r="98" spans="18:19" x14ac:dyDescent="0.2">
      <c r="R98" s="561" t="e">
        <f ca="1">_xll.qlCalendarAdvance(Calendar,R97,"1D","f")</f>
        <v>#NAME?</v>
      </c>
      <c r="S98" s="560" t="e">
        <f ca="1">_xll.qlInterpolationInterpolate(B6Minterpolation,R98,TRUE)</f>
        <v>#NAME?</v>
      </c>
    </row>
    <row r="99" spans="18:19" x14ac:dyDescent="0.2">
      <c r="R99" s="561" t="e">
        <f ca="1">_xll.qlCalendarAdvance(Calendar,R98,"1D","f")</f>
        <v>#NAME?</v>
      </c>
      <c r="S99" s="560" t="e">
        <f ca="1">_xll.qlInterpolationInterpolate(B6Minterpolation,R99,TRUE)</f>
        <v>#NAME?</v>
      </c>
    </row>
    <row r="100" spans="18:19" x14ac:dyDescent="0.2">
      <c r="R100" s="561" t="e">
        <f ca="1">_xll.qlCalendarAdvance(Calendar,R99,"1D","f")</f>
        <v>#NAME?</v>
      </c>
      <c r="S100" s="560" t="e">
        <f ca="1">_xll.qlInterpolationInterpolate(B6Minterpolation,R100,TRUE)</f>
        <v>#NAME?</v>
      </c>
    </row>
    <row r="101" spans="18:19" x14ac:dyDescent="0.2">
      <c r="R101" s="561" t="e">
        <f ca="1">_xll.qlCalendarAdvance(Calendar,R100,"1D","f")</f>
        <v>#NAME?</v>
      </c>
      <c r="S101" s="560" t="e">
        <f ca="1">_xll.qlInterpolationInterpolate(B6Minterpolation,R101,TRUE)</f>
        <v>#NAME?</v>
      </c>
    </row>
    <row r="102" spans="18:19" x14ac:dyDescent="0.2">
      <c r="R102" s="561" t="e">
        <f ca="1">_xll.qlCalendarAdvance(Calendar,R101,"1D","f")</f>
        <v>#NAME?</v>
      </c>
      <c r="S102" s="560" t="e">
        <f ca="1">_xll.qlInterpolationInterpolate(B6Minterpolation,R102,TRUE)</f>
        <v>#NAME?</v>
      </c>
    </row>
    <row r="103" spans="18:19" x14ac:dyDescent="0.2">
      <c r="R103" s="561" t="e">
        <f ca="1">_xll.qlCalendarAdvance(Calendar,R102,"1D","f")</f>
        <v>#NAME?</v>
      </c>
      <c r="S103" s="560" t="e">
        <f ca="1">_xll.qlInterpolationInterpolate(B6Minterpolation,R103,TRUE)</f>
        <v>#NAME?</v>
      </c>
    </row>
    <row r="104" spans="18:19" x14ac:dyDescent="0.2">
      <c r="R104" s="561" t="e">
        <f ca="1">_xll.qlCalendarAdvance(Calendar,R103,"1D","f")</f>
        <v>#NAME?</v>
      </c>
      <c r="S104" s="560" t="e">
        <f ca="1">_xll.qlInterpolationInterpolate(B6Minterpolation,R104,TRUE)</f>
        <v>#NAME?</v>
      </c>
    </row>
    <row r="105" spans="18:19" x14ac:dyDescent="0.2">
      <c r="R105" s="561" t="e">
        <f ca="1">_xll.qlCalendarAdvance(Calendar,R104,"1D","f")</f>
        <v>#NAME?</v>
      </c>
      <c r="S105" s="560" t="e">
        <f ca="1">_xll.qlInterpolationInterpolate(B6Minterpolation,R105,TRUE)</f>
        <v>#NAME?</v>
      </c>
    </row>
    <row r="106" spans="18:19" x14ac:dyDescent="0.2">
      <c r="R106" s="561" t="e">
        <f ca="1">_xll.qlCalendarAdvance(Calendar,R105,"1D","f")</f>
        <v>#NAME?</v>
      </c>
      <c r="S106" s="560" t="e">
        <f ca="1">_xll.qlInterpolationInterpolate(B6Minterpolation,R106,TRUE)</f>
        <v>#NAME?</v>
      </c>
    </row>
    <row r="107" spans="18:19" x14ac:dyDescent="0.2">
      <c r="R107" s="561" t="e">
        <f ca="1">_xll.qlCalendarAdvance(Calendar,R106,"1D","f")</f>
        <v>#NAME?</v>
      </c>
      <c r="S107" s="560" t="e">
        <f ca="1">_xll.qlInterpolationInterpolate(B6Minterpolation,R107,TRUE)</f>
        <v>#NAME?</v>
      </c>
    </row>
    <row r="108" spans="18:19" x14ac:dyDescent="0.2">
      <c r="R108" s="561" t="e">
        <f ca="1">_xll.qlCalendarAdvance(Calendar,R107,"1D","f")</f>
        <v>#NAME?</v>
      </c>
      <c r="S108" s="560" t="e">
        <f ca="1">_xll.qlInterpolationInterpolate(B6Minterpolation,R108,TRUE)</f>
        <v>#NAME?</v>
      </c>
    </row>
    <row r="109" spans="18:19" x14ac:dyDescent="0.2">
      <c r="R109" s="561" t="e">
        <f ca="1">_xll.qlCalendarAdvance(Calendar,R108,"1D","f")</f>
        <v>#NAME?</v>
      </c>
      <c r="S109" s="560" t="e">
        <f ca="1">_xll.qlInterpolationInterpolate(B6Minterpolation,R109,TRUE)</f>
        <v>#NAME?</v>
      </c>
    </row>
    <row r="110" spans="18:19" x14ac:dyDescent="0.2">
      <c r="R110" s="561" t="e">
        <f ca="1">_xll.qlCalendarAdvance(Calendar,R109,"1D","f")</f>
        <v>#NAME?</v>
      </c>
      <c r="S110" s="560" t="e">
        <f ca="1">_xll.qlInterpolationInterpolate(B6Minterpolation,R110,TRUE)</f>
        <v>#NAME?</v>
      </c>
    </row>
    <row r="111" spans="18:19" x14ac:dyDescent="0.2">
      <c r="R111" s="561" t="e">
        <f ca="1">_xll.qlCalendarAdvance(Calendar,R110,"1D","f")</f>
        <v>#NAME?</v>
      </c>
      <c r="S111" s="560" t="e">
        <f ca="1">_xll.qlInterpolationInterpolate(B6Minterpolation,R111,TRUE)</f>
        <v>#NAME?</v>
      </c>
    </row>
    <row r="112" spans="18:19" x14ac:dyDescent="0.2">
      <c r="R112" s="561" t="e">
        <f ca="1">_xll.qlCalendarAdvance(Calendar,R111,"1D","f")</f>
        <v>#NAME?</v>
      </c>
      <c r="S112" s="560" t="e">
        <f ca="1">_xll.qlInterpolationInterpolate(B6Minterpolation,R112,TRUE)</f>
        <v>#NAME?</v>
      </c>
    </row>
    <row r="113" spans="18:19" x14ac:dyDescent="0.2">
      <c r="R113" s="561" t="e">
        <f ca="1">_xll.qlCalendarAdvance(Calendar,R112,"1D","f")</f>
        <v>#NAME?</v>
      </c>
      <c r="S113" s="560" t="e">
        <f ca="1">_xll.qlInterpolationInterpolate(B6Minterpolation,R113,TRUE)</f>
        <v>#NAME?</v>
      </c>
    </row>
    <row r="114" spans="18:19" x14ac:dyDescent="0.2">
      <c r="R114" s="561" t="e">
        <f ca="1">_xll.qlCalendarAdvance(Calendar,R113,"1D","f")</f>
        <v>#NAME?</v>
      </c>
      <c r="S114" s="560" t="e">
        <f ca="1">_xll.qlInterpolationInterpolate(B6Minterpolation,R114,TRUE)</f>
        <v>#NAME?</v>
      </c>
    </row>
    <row r="115" spans="18:19" x14ac:dyDescent="0.2">
      <c r="R115" s="561" t="e">
        <f ca="1">_xll.qlCalendarAdvance(Calendar,R114,"1D","f")</f>
        <v>#NAME?</v>
      </c>
      <c r="S115" s="560" t="e">
        <f ca="1">_xll.qlInterpolationInterpolate(B6Minterpolation,R115,TRUE)</f>
        <v>#NAME?</v>
      </c>
    </row>
    <row r="116" spans="18:19" x14ac:dyDescent="0.2">
      <c r="R116" s="561" t="e">
        <f ca="1">_xll.qlCalendarAdvance(Calendar,R115,"1D","f")</f>
        <v>#NAME?</v>
      </c>
      <c r="S116" s="560" t="e">
        <f ca="1">_xll.qlInterpolationInterpolate(B6Minterpolation,R116,TRUE)</f>
        <v>#NAME?</v>
      </c>
    </row>
    <row r="117" spans="18:19" x14ac:dyDescent="0.2">
      <c r="R117" s="561" t="e">
        <f ca="1">_xll.qlCalendarAdvance(Calendar,R116,"1D","f")</f>
        <v>#NAME?</v>
      </c>
      <c r="S117" s="560" t="e">
        <f ca="1">_xll.qlInterpolationInterpolate(B6Minterpolation,R117,TRUE)</f>
        <v>#NAME?</v>
      </c>
    </row>
    <row r="118" spans="18:19" x14ac:dyDescent="0.2">
      <c r="R118" s="561" t="e">
        <f ca="1">_xll.qlCalendarAdvance(Calendar,R117,"1D","f")</f>
        <v>#NAME?</v>
      </c>
      <c r="S118" s="560" t="e">
        <f ca="1">_xll.qlInterpolationInterpolate(B6Minterpolation,R118,TRUE)</f>
        <v>#NAME?</v>
      </c>
    </row>
    <row r="119" spans="18:19" x14ac:dyDescent="0.2">
      <c r="R119" s="561" t="e">
        <f ca="1">_xll.qlCalendarAdvance(Calendar,R118,"1D","f")</f>
        <v>#NAME?</v>
      </c>
      <c r="S119" s="560" t="e">
        <f ca="1">_xll.qlInterpolationInterpolate(B6Minterpolation,R119,TRUE)</f>
        <v>#NAME?</v>
      </c>
    </row>
    <row r="120" spans="18:19" x14ac:dyDescent="0.2">
      <c r="R120" s="561" t="e">
        <f ca="1">_xll.qlCalendarAdvance(Calendar,R119,"1D","f")</f>
        <v>#NAME?</v>
      </c>
      <c r="S120" s="560" t="e">
        <f ca="1">_xll.qlInterpolationInterpolate(B6Minterpolation,R120,TRUE)</f>
        <v>#NAME?</v>
      </c>
    </row>
    <row r="121" spans="18:19" x14ac:dyDescent="0.2">
      <c r="R121" s="561" t="e">
        <f ca="1">_xll.qlCalendarAdvance(Calendar,R120,"1D","f")</f>
        <v>#NAME?</v>
      </c>
      <c r="S121" s="560" t="e">
        <f ca="1">_xll.qlInterpolationInterpolate(B6Minterpolation,R121,TRUE)</f>
        <v>#NAME?</v>
      </c>
    </row>
    <row r="122" spans="18:19" x14ac:dyDescent="0.2">
      <c r="R122" s="561" t="e">
        <f ca="1">_xll.qlCalendarAdvance(Calendar,R121,"1D","f")</f>
        <v>#NAME?</v>
      </c>
      <c r="S122" s="560" t="e">
        <f ca="1">_xll.qlInterpolationInterpolate(B6Minterpolation,R122,TRUE)</f>
        <v>#NAME?</v>
      </c>
    </row>
    <row r="123" spans="18:19" x14ac:dyDescent="0.2">
      <c r="R123" s="561" t="e">
        <f ca="1">_xll.qlCalendarAdvance(Calendar,R122,"1D","f")</f>
        <v>#NAME?</v>
      </c>
      <c r="S123" s="560" t="e">
        <f ca="1">_xll.qlInterpolationInterpolate(B6Minterpolation,R123,TRUE)</f>
        <v>#NAME?</v>
      </c>
    </row>
    <row r="124" spans="18:19" x14ac:dyDescent="0.2">
      <c r="R124" s="561" t="e">
        <f ca="1">_xll.qlCalendarAdvance(Calendar,R123,"1D","f")</f>
        <v>#NAME?</v>
      </c>
      <c r="S124" s="560" t="e">
        <f ca="1">_xll.qlInterpolationInterpolate(B6Minterpolation,R124,TRUE)</f>
        <v>#NAME?</v>
      </c>
    </row>
    <row r="125" spans="18:19" x14ac:dyDescent="0.2">
      <c r="R125" s="561" t="e">
        <f ca="1">_xll.qlCalendarAdvance(Calendar,R124,"1D","f")</f>
        <v>#NAME?</v>
      </c>
      <c r="S125" s="560" t="e">
        <f ca="1">_xll.qlInterpolationInterpolate(B6Minterpolation,R125,TRUE)</f>
        <v>#NAME?</v>
      </c>
    </row>
    <row r="126" spans="18:19" x14ac:dyDescent="0.2">
      <c r="R126" s="561" t="e">
        <f ca="1">_xll.qlCalendarAdvance(Calendar,R125,"1D","f")</f>
        <v>#NAME?</v>
      </c>
      <c r="S126" s="560" t="e">
        <f ca="1">_xll.qlInterpolationInterpolate(B6Minterpolation,R126,TRUE)</f>
        <v>#NAME?</v>
      </c>
    </row>
    <row r="127" spans="18:19" x14ac:dyDescent="0.2">
      <c r="R127" s="561" t="e">
        <f ca="1">_xll.qlCalendarAdvance(Calendar,R126,"1D","f")</f>
        <v>#NAME?</v>
      </c>
      <c r="S127" s="560" t="e">
        <f ca="1">_xll.qlInterpolationInterpolate(B6Minterpolation,R127,TRUE)</f>
        <v>#NAME?</v>
      </c>
    </row>
    <row r="128" spans="18:19" x14ac:dyDescent="0.2">
      <c r="R128" s="561" t="e">
        <f ca="1">_xll.qlCalendarAdvance(Calendar,R127,"1D","f")</f>
        <v>#NAME?</v>
      </c>
      <c r="S128" s="560" t="e">
        <f ca="1">_xll.qlInterpolationInterpolate(B6Minterpolation,R128,TRUE)</f>
        <v>#NAME?</v>
      </c>
    </row>
    <row r="129" spans="18:19" x14ac:dyDescent="0.2">
      <c r="R129" s="561" t="e">
        <f ca="1">_xll.qlCalendarAdvance(Calendar,R128,"1D","f")</f>
        <v>#NAME?</v>
      </c>
      <c r="S129" s="560" t="e">
        <f ca="1">_xll.qlInterpolationInterpolate(B6Minterpolation,R129,TRUE)</f>
        <v>#NAME?</v>
      </c>
    </row>
    <row r="130" spans="18:19" x14ac:dyDescent="0.2">
      <c r="R130" s="561" t="e">
        <f ca="1">_xll.qlCalendarAdvance(Calendar,R129,"1D","f")</f>
        <v>#NAME?</v>
      </c>
      <c r="S130" s="560" t="e">
        <f ca="1">_xll.qlInterpolationInterpolate(B6Minterpolation,R130,TRUE)</f>
        <v>#NAME?</v>
      </c>
    </row>
    <row r="131" spans="18:19" x14ac:dyDescent="0.2">
      <c r="R131" s="561" t="e">
        <f ca="1">_xll.qlCalendarAdvance(Calendar,R130,"1D","f")</f>
        <v>#NAME?</v>
      </c>
      <c r="S131" s="560" t="e">
        <f ca="1">_xll.qlInterpolationInterpolate(B6Minterpolation,R131,TRUE)</f>
        <v>#NAME?</v>
      </c>
    </row>
    <row r="132" spans="18:19" x14ac:dyDescent="0.2">
      <c r="R132" s="561" t="e">
        <f ca="1">_xll.qlCalendarAdvance(Calendar,R131,"1D","f")</f>
        <v>#NAME?</v>
      </c>
      <c r="S132" s="560" t="e">
        <f ca="1">_xll.qlInterpolationInterpolate(B6Minterpolation,R132,TRUE)</f>
        <v>#NAME?</v>
      </c>
    </row>
    <row r="133" spans="18:19" x14ac:dyDescent="0.2">
      <c r="R133" s="561" t="e">
        <f ca="1">_xll.qlCalendarAdvance(Calendar,R132,"1D","f")</f>
        <v>#NAME?</v>
      </c>
      <c r="S133" s="560" t="e">
        <f ca="1">_xll.qlInterpolationInterpolate(B6Minterpolation,R133,TRUE)</f>
        <v>#NAME?</v>
      </c>
    </row>
    <row r="134" spans="18:19" x14ac:dyDescent="0.2">
      <c r="R134" s="561" t="e">
        <f ca="1">_xll.qlCalendarAdvance(Calendar,R133,"1D","f")</f>
        <v>#NAME?</v>
      </c>
      <c r="S134" s="560" t="e">
        <f ca="1">_xll.qlInterpolationInterpolate(B6Minterpolation,R134,TRUE)</f>
        <v>#NAME?</v>
      </c>
    </row>
    <row r="135" spans="18:19" x14ac:dyDescent="0.2">
      <c r="R135" s="561" t="e">
        <f ca="1">_xll.qlCalendarAdvance(Calendar,R134,"1D","f")</f>
        <v>#NAME?</v>
      </c>
      <c r="S135" s="560" t="e">
        <f ca="1">_xll.qlInterpolationInterpolate(B6Minterpolation,R135,TRUE)</f>
        <v>#NAME?</v>
      </c>
    </row>
    <row r="136" spans="18:19" x14ac:dyDescent="0.2">
      <c r="R136" s="561" t="e">
        <f ca="1">_xll.qlCalendarAdvance(Calendar,R135,"1D","f")</f>
        <v>#NAME?</v>
      </c>
      <c r="S136" s="560" t="e">
        <f ca="1">_xll.qlInterpolationInterpolate(B6Minterpolation,R136,TRUE)</f>
        <v>#NAME?</v>
      </c>
    </row>
    <row r="137" spans="18:19" x14ac:dyDescent="0.2">
      <c r="R137" s="561" t="e">
        <f ca="1">_xll.qlCalendarAdvance(Calendar,R136,"1D","f")</f>
        <v>#NAME?</v>
      </c>
      <c r="S137" s="560" t="e">
        <f ca="1">_xll.qlInterpolationInterpolate(B6Minterpolation,R137,TRUE)</f>
        <v>#NAME?</v>
      </c>
    </row>
    <row r="138" spans="18:19" x14ac:dyDescent="0.2">
      <c r="R138" s="561" t="e">
        <f ca="1">_xll.qlCalendarAdvance(Calendar,R137,"1D","f")</f>
        <v>#NAME?</v>
      </c>
      <c r="S138" s="560" t="e">
        <f ca="1">_xll.qlInterpolationInterpolate(B6Minterpolation,R138,TRUE)</f>
        <v>#NAME?</v>
      </c>
    </row>
    <row r="139" spans="18:19" x14ac:dyDescent="0.2">
      <c r="R139" s="561" t="e">
        <f ca="1">_xll.qlCalendarAdvance(Calendar,R138,"1D","f")</f>
        <v>#NAME?</v>
      </c>
      <c r="S139" s="560" t="e">
        <f ca="1">_xll.qlInterpolationInterpolate(B6Minterpolation,R139,TRUE)</f>
        <v>#NAME?</v>
      </c>
    </row>
    <row r="140" spans="18:19" x14ac:dyDescent="0.2">
      <c r="R140" s="561" t="e">
        <f ca="1">_xll.qlCalendarAdvance(Calendar,R139,"1D","f")</f>
        <v>#NAME?</v>
      </c>
      <c r="S140" s="560" t="e">
        <f ca="1">_xll.qlInterpolationInterpolate(B6Minterpolation,R140,TRUE)</f>
        <v>#NAME?</v>
      </c>
    </row>
    <row r="141" spans="18:19" x14ac:dyDescent="0.2">
      <c r="R141" s="561" t="e">
        <f ca="1">_xll.qlCalendarAdvance(Calendar,R140,"1D","f")</f>
        <v>#NAME?</v>
      </c>
      <c r="S141" s="560" t="e">
        <f ca="1">_xll.qlInterpolationInterpolate(B6Minterpolation,R141,TRUE)</f>
        <v>#NAME?</v>
      </c>
    </row>
    <row r="142" spans="18:19" x14ac:dyDescent="0.2">
      <c r="R142" s="561" t="e">
        <f ca="1">_xll.qlCalendarAdvance(Calendar,R141,"1D","f")</f>
        <v>#NAME?</v>
      </c>
      <c r="S142" s="560" t="e">
        <f ca="1">_xll.qlInterpolationInterpolate(B6Minterpolation,R142,TRUE)</f>
        <v>#NAME?</v>
      </c>
    </row>
    <row r="143" spans="18:19" x14ac:dyDescent="0.2">
      <c r="R143" s="561" t="e">
        <f ca="1">_xll.qlCalendarAdvance(Calendar,R142,"1D","f")</f>
        <v>#NAME?</v>
      </c>
      <c r="S143" s="560" t="e">
        <f ca="1">_xll.qlInterpolationInterpolate(B6Minterpolation,R143,TRUE)</f>
        <v>#NAME?</v>
      </c>
    </row>
    <row r="144" spans="18:19" x14ac:dyDescent="0.2">
      <c r="R144" s="561" t="e">
        <f ca="1">_xll.qlCalendarAdvance(Calendar,R143,"1D","f")</f>
        <v>#NAME?</v>
      </c>
      <c r="S144" s="560" t="e">
        <f ca="1">_xll.qlInterpolationInterpolate(B6Minterpolation,R144,TRUE)</f>
        <v>#NAME?</v>
      </c>
    </row>
    <row r="145" spans="18:19" x14ac:dyDescent="0.2">
      <c r="R145" s="561" t="e">
        <f ca="1">_xll.qlCalendarAdvance(Calendar,R144,"1D","f")</f>
        <v>#NAME?</v>
      </c>
      <c r="S145" s="560" t="e">
        <f ca="1">_xll.qlInterpolationInterpolate(B6Minterpolation,R145,TRUE)</f>
        <v>#NAME?</v>
      </c>
    </row>
    <row r="146" spans="18:19" x14ac:dyDescent="0.2">
      <c r="R146" s="561" t="e">
        <f ca="1">_xll.qlCalendarAdvance(Calendar,R145,"1D","f")</f>
        <v>#NAME?</v>
      </c>
      <c r="S146" s="560" t="e">
        <f ca="1">_xll.qlInterpolationInterpolate(B6Minterpolation,R146,TRUE)</f>
        <v>#NAME?</v>
      </c>
    </row>
    <row r="147" spans="18:19" x14ac:dyDescent="0.2">
      <c r="R147" s="561" t="e">
        <f ca="1">_xll.qlCalendarAdvance(Calendar,R146,"1D","f")</f>
        <v>#NAME?</v>
      </c>
      <c r="S147" s="560" t="e">
        <f ca="1">_xll.qlInterpolationInterpolate(B6Minterpolation,R147,TRUE)</f>
        <v>#NAME?</v>
      </c>
    </row>
    <row r="148" spans="18:19" x14ac:dyDescent="0.2">
      <c r="R148" s="561" t="e">
        <f ca="1">_xll.qlCalendarAdvance(Calendar,R147,"1D","f")</f>
        <v>#NAME?</v>
      </c>
      <c r="S148" s="560" t="e">
        <f ca="1">_xll.qlInterpolationInterpolate(B6Minterpolation,R148,TRUE)</f>
        <v>#NAME?</v>
      </c>
    </row>
    <row r="149" spans="18:19" x14ac:dyDescent="0.2">
      <c r="R149" s="561" t="e">
        <f ca="1">_xll.qlCalendarAdvance(Calendar,R148,"1D","f")</f>
        <v>#NAME?</v>
      </c>
      <c r="S149" s="560" t="e">
        <f ca="1">_xll.qlInterpolationInterpolate(B6Minterpolation,R149,TRUE)</f>
        <v>#NAME?</v>
      </c>
    </row>
    <row r="150" spans="18:19" x14ac:dyDescent="0.2">
      <c r="R150" s="561" t="e">
        <f ca="1">_xll.qlCalendarAdvance(Calendar,R149,"1D","f")</f>
        <v>#NAME?</v>
      </c>
      <c r="S150" s="560" t="e">
        <f ca="1">_xll.qlInterpolationInterpolate(B6Minterpolation,R150,TRUE)</f>
        <v>#NAME?</v>
      </c>
    </row>
    <row r="151" spans="18:19" x14ac:dyDescent="0.2">
      <c r="R151" s="561" t="e">
        <f ca="1">_xll.qlCalendarAdvance(Calendar,R150,"1D","f")</f>
        <v>#NAME?</v>
      </c>
      <c r="S151" s="560" t="e">
        <f ca="1">_xll.qlInterpolationInterpolate(B6Minterpolation,R151,TRUE)</f>
        <v>#NAME?</v>
      </c>
    </row>
    <row r="152" spans="18:19" x14ac:dyDescent="0.2">
      <c r="R152" s="561" t="e">
        <f ca="1">_xll.qlCalendarAdvance(Calendar,R151,"1D","f")</f>
        <v>#NAME?</v>
      </c>
      <c r="S152" s="560" t="e">
        <f ca="1">_xll.qlInterpolationInterpolate(B6Minterpolation,R152,TRUE)</f>
        <v>#NAME?</v>
      </c>
    </row>
    <row r="153" spans="18:19" x14ac:dyDescent="0.2">
      <c r="R153" s="561" t="e">
        <f ca="1">_xll.qlCalendarAdvance(Calendar,R152,"1D","f")</f>
        <v>#NAME?</v>
      </c>
      <c r="S153" s="560" t="e">
        <f ca="1">_xll.qlInterpolationInterpolate(B6Minterpolation,R153,TRUE)</f>
        <v>#NAME?</v>
      </c>
    </row>
    <row r="154" spans="18:19" x14ac:dyDescent="0.2">
      <c r="R154" s="561" t="e">
        <f ca="1">_xll.qlCalendarAdvance(Calendar,R153,"1D","f")</f>
        <v>#NAME?</v>
      </c>
      <c r="S154" s="560" t="e">
        <f ca="1">_xll.qlInterpolationInterpolate(B6Minterpolation,R154,TRUE)</f>
        <v>#NAME?</v>
      </c>
    </row>
    <row r="155" spans="18:19" x14ac:dyDescent="0.2">
      <c r="R155" s="561" t="e">
        <f ca="1">_xll.qlCalendarAdvance(Calendar,R154,"1D","f")</f>
        <v>#NAME?</v>
      </c>
      <c r="S155" s="560" t="e">
        <f ca="1">_xll.qlInterpolationInterpolate(B6Minterpolation,R155,TRUE)</f>
        <v>#NAME?</v>
      </c>
    </row>
    <row r="156" spans="18:19" x14ac:dyDescent="0.2">
      <c r="R156" s="561" t="e">
        <f ca="1">_xll.qlCalendarAdvance(Calendar,R155,"1D","f")</f>
        <v>#NAME?</v>
      </c>
      <c r="S156" s="560" t="e">
        <f ca="1">_xll.qlInterpolationInterpolate(B6Minterpolation,R156,TRUE)</f>
        <v>#NAME?</v>
      </c>
    </row>
    <row r="157" spans="18:19" x14ac:dyDescent="0.2">
      <c r="R157" s="561" t="e">
        <f ca="1">_xll.qlCalendarAdvance(Calendar,R156,"1D","f")</f>
        <v>#NAME?</v>
      </c>
      <c r="S157" s="560" t="e">
        <f ca="1">_xll.qlInterpolationInterpolate(B6Minterpolation,R157,TRUE)</f>
        <v>#NAME?</v>
      </c>
    </row>
    <row r="158" spans="18:19" x14ac:dyDescent="0.2">
      <c r="R158" s="561" t="e">
        <f ca="1">_xll.qlCalendarAdvance(Calendar,R157,"1D","f")</f>
        <v>#NAME?</v>
      </c>
      <c r="S158" s="560" t="e">
        <f ca="1">_xll.qlInterpolationInterpolate(B6Minterpolation,R158,TRUE)</f>
        <v>#NAME?</v>
      </c>
    </row>
    <row r="159" spans="18:19" x14ac:dyDescent="0.2">
      <c r="R159" s="561" t="e">
        <f ca="1">_xll.qlCalendarAdvance(Calendar,R158,"1D","f")</f>
        <v>#NAME?</v>
      </c>
      <c r="S159" s="560" t="e">
        <f ca="1">_xll.qlInterpolationInterpolate(B6Minterpolation,R159,TRUE)</f>
        <v>#NAME?</v>
      </c>
    </row>
    <row r="160" spans="18:19" x14ac:dyDescent="0.2">
      <c r="R160" s="561" t="e">
        <f ca="1">_xll.qlCalendarAdvance(Calendar,R159,"1D","f")</f>
        <v>#NAME?</v>
      </c>
      <c r="S160" s="560" t="e">
        <f ca="1">_xll.qlInterpolationInterpolate(B6Minterpolation,R160,TRUE)</f>
        <v>#NAME?</v>
      </c>
    </row>
    <row r="161" spans="18:19" x14ac:dyDescent="0.2">
      <c r="R161" s="561" t="e">
        <f ca="1">_xll.qlCalendarAdvance(Calendar,R160,"1D","f")</f>
        <v>#NAME?</v>
      </c>
      <c r="S161" s="560" t="e">
        <f ca="1">_xll.qlInterpolationInterpolate(B6Minterpolation,R161,TRUE)</f>
        <v>#NAME?</v>
      </c>
    </row>
    <row r="162" spans="18:19" x14ac:dyDescent="0.2">
      <c r="R162" s="561" t="e">
        <f ca="1">_xll.qlCalendarAdvance(Calendar,R161,"1D","f")</f>
        <v>#NAME?</v>
      </c>
      <c r="S162" s="560" t="e">
        <f ca="1">_xll.qlInterpolationInterpolate(B6Minterpolation,R162,TRUE)</f>
        <v>#NAME?</v>
      </c>
    </row>
    <row r="163" spans="18:19" x14ac:dyDescent="0.2">
      <c r="R163" s="561" t="e">
        <f ca="1">_xll.qlCalendarAdvance(Calendar,R162,"1D","f")</f>
        <v>#NAME?</v>
      </c>
      <c r="S163" s="560" t="e">
        <f ca="1">_xll.qlInterpolationInterpolate(B6Minterpolation,R163,TRUE)</f>
        <v>#NAME?</v>
      </c>
    </row>
    <row r="164" spans="18:19" x14ac:dyDescent="0.2">
      <c r="R164" s="561" t="e">
        <f ca="1">_xll.qlCalendarAdvance(Calendar,R163,"1D","f")</f>
        <v>#NAME?</v>
      </c>
      <c r="S164" s="560" t="e">
        <f ca="1">_xll.qlInterpolationInterpolate(B6Minterpolation,R164,TRUE)</f>
        <v>#NAME?</v>
      </c>
    </row>
    <row r="165" spans="18:19" x14ac:dyDescent="0.2">
      <c r="R165" s="561" t="e">
        <f ca="1">_xll.qlCalendarAdvance(Calendar,R164,"1D","f")</f>
        <v>#NAME?</v>
      </c>
      <c r="S165" s="560" t="e">
        <f ca="1">_xll.qlInterpolationInterpolate(B6Minterpolation,R165,TRUE)</f>
        <v>#NAME?</v>
      </c>
    </row>
    <row r="166" spans="18:19" x14ac:dyDescent="0.2">
      <c r="R166" s="561" t="e">
        <f ca="1">_xll.qlCalendarAdvance(Calendar,R165,"1D","f")</f>
        <v>#NAME?</v>
      </c>
      <c r="S166" s="560" t="e">
        <f ca="1">_xll.qlInterpolationInterpolate(B6Minterpolation,R166,TRUE)</f>
        <v>#NAME?</v>
      </c>
    </row>
    <row r="167" spans="18:19" x14ac:dyDescent="0.2">
      <c r="R167" s="561" t="e">
        <f ca="1">_xll.qlCalendarAdvance(Calendar,R166,"1D","f")</f>
        <v>#NAME?</v>
      </c>
      <c r="S167" s="560" t="e">
        <f ca="1">_xll.qlInterpolationInterpolate(B6Minterpolation,R167,TRUE)</f>
        <v>#NAME?</v>
      </c>
    </row>
    <row r="168" spans="18:19" x14ac:dyDescent="0.2">
      <c r="R168" s="561" t="e">
        <f ca="1">_xll.qlCalendarAdvance(Calendar,R167,"1D","f")</f>
        <v>#NAME?</v>
      </c>
      <c r="S168" s="560" t="e">
        <f ca="1">_xll.qlInterpolationInterpolate(B6Minterpolation,R168,TRUE)</f>
        <v>#NAME?</v>
      </c>
    </row>
    <row r="169" spans="18:19" x14ac:dyDescent="0.2">
      <c r="R169" s="561" t="e">
        <f ca="1">_xll.qlCalendarAdvance(Calendar,R168,"1D","f")</f>
        <v>#NAME?</v>
      </c>
      <c r="S169" s="560" t="e">
        <f ca="1">_xll.qlInterpolationInterpolate(B6Minterpolation,R169,TRUE)</f>
        <v>#NAME?</v>
      </c>
    </row>
    <row r="170" spans="18:19" x14ac:dyDescent="0.2">
      <c r="R170" s="561" t="e">
        <f ca="1">_xll.qlCalendarAdvance(Calendar,R169,"1D","f")</f>
        <v>#NAME?</v>
      </c>
      <c r="S170" s="560" t="e">
        <f ca="1">_xll.qlInterpolationInterpolate(B6Minterpolation,R170,TRUE)</f>
        <v>#NAME?</v>
      </c>
    </row>
    <row r="171" spans="18:19" x14ac:dyDescent="0.2">
      <c r="R171" s="561" t="e">
        <f ca="1">_xll.qlCalendarAdvance(Calendar,R170,"1D","f")</f>
        <v>#NAME?</v>
      </c>
      <c r="S171" s="560" t="e">
        <f ca="1">_xll.qlInterpolationInterpolate(B6Minterpolation,R171,TRUE)</f>
        <v>#NAME?</v>
      </c>
    </row>
    <row r="172" spans="18:19" x14ac:dyDescent="0.2">
      <c r="R172" s="561" t="e">
        <f ca="1">_xll.qlCalendarAdvance(Calendar,R171,"1D","f")</f>
        <v>#NAME?</v>
      </c>
      <c r="S172" s="560" t="e">
        <f ca="1">_xll.qlInterpolationInterpolate(B6Minterpolation,R172,TRUE)</f>
        <v>#NAME?</v>
      </c>
    </row>
    <row r="173" spans="18:19" x14ac:dyDescent="0.2">
      <c r="R173" s="561" t="e">
        <f ca="1">_xll.qlCalendarAdvance(Calendar,R172,"1D","f")</f>
        <v>#NAME?</v>
      </c>
      <c r="S173" s="560" t="e">
        <f ca="1">_xll.qlInterpolationInterpolate(B6Minterpolation,R173,TRUE)</f>
        <v>#NAME?</v>
      </c>
    </row>
    <row r="174" spans="18:19" x14ac:dyDescent="0.2">
      <c r="R174" s="561" t="e">
        <f ca="1">_xll.qlCalendarAdvance(Calendar,R173,"1D","f")</f>
        <v>#NAME?</v>
      </c>
      <c r="S174" s="560" t="e">
        <f ca="1">_xll.qlInterpolationInterpolate(B6Minterpolation,R174,TRUE)</f>
        <v>#NAME?</v>
      </c>
    </row>
    <row r="175" spans="18:19" x14ac:dyDescent="0.2">
      <c r="R175" s="561" t="e">
        <f ca="1">_xll.qlCalendarAdvance(Calendar,R174,"1D","f")</f>
        <v>#NAME?</v>
      </c>
      <c r="S175" s="560" t="e">
        <f ca="1">_xll.qlInterpolationInterpolate(B6Minterpolation,R175,TRUE)</f>
        <v>#NAME?</v>
      </c>
    </row>
    <row r="176" spans="18:19" x14ac:dyDescent="0.2">
      <c r="R176" s="561" t="e">
        <f ca="1">_xll.qlCalendarAdvance(Calendar,R175,"1D","f")</f>
        <v>#NAME?</v>
      </c>
      <c r="S176" s="560" t="e">
        <f ca="1">_xll.qlInterpolationInterpolate(B6Minterpolation,R176,TRUE)</f>
        <v>#NAME?</v>
      </c>
    </row>
    <row r="177" spans="18:19" x14ac:dyDescent="0.2">
      <c r="R177" s="561" t="e">
        <f ca="1">_xll.qlCalendarAdvance(Calendar,R176,"1D","f")</f>
        <v>#NAME?</v>
      </c>
      <c r="S177" s="560" t="e">
        <f ca="1">_xll.qlInterpolationInterpolate(B6Minterpolation,R177,TRUE)</f>
        <v>#NAME?</v>
      </c>
    </row>
    <row r="178" spans="18:19" x14ac:dyDescent="0.2">
      <c r="R178" s="561" t="e">
        <f ca="1">_xll.qlCalendarAdvance(Calendar,R177,"1D","f")</f>
        <v>#NAME?</v>
      </c>
      <c r="S178" s="560" t="e">
        <f ca="1">_xll.qlInterpolationInterpolate(B6Minterpolation,R178,TRUE)</f>
        <v>#NAME?</v>
      </c>
    </row>
    <row r="179" spans="18:19" x14ac:dyDescent="0.2">
      <c r="R179" s="561" t="e">
        <f ca="1">_xll.qlCalendarAdvance(Calendar,R178,"1D","f")</f>
        <v>#NAME?</v>
      </c>
      <c r="S179" s="560" t="e">
        <f ca="1">_xll.qlInterpolationInterpolate(B6Minterpolation,R179,TRUE)</f>
        <v>#NAME?</v>
      </c>
    </row>
    <row r="180" spans="18:19" x14ac:dyDescent="0.2">
      <c r="R180" s="561" t="e">
        <f ca="1">_xll.qlCalendarAdvance(Calendar,R179,"1D","f")</f>
        <v>#NAME?</v>
      </c>
      <c r="S180" s="560" t="e">
        <f ca="1">_xll.qlInterpolationInterpolate(B6Minterpolation,R180,TRUE)</f>
        <v>#NAME?</v>
      </c>
    </row>
    <row r="181" spans="18:19" x14ac:dyDescent="0.2">
      <c r="R181" s="561" t="e">
        <f ca="1">_xll.qlCalendarAdvance(Calendar,R180,"1D","f")</f>
        <v>#NAME?</v>
      </c>
      <c r="S181" s="560" t="e">
        <f ca="1">_xll.qlInterpolationInterpolate(B6Minterpolation,R181,TRUE)</f>
        <v>#NAME?</v>
      </c>
    </row>
    <row r="182" spans="18:19" x14ac:dyDescent="0.2">
      <c r="R182" s="561" t="e">
        <f ca="1">_xll.qlCalendarAdvance(Calendar,R181,"1D","f")</f>
        <v>#NAME?</v>
      </c>
      <c r="S182" s="560" t="e">
        <f ca="1">_xll.qlInterpolationInterpolate(B6Minterpolation,R182,TRUE)</f>
        <v>#NAME?</v>
      </c>
    </row>
    <row r="183" spans="18:19" x14ac:dyDescent="0.2">
      <c r="R183" s="561" t="e">
        <f ca="1">_xll.qlCalendarAdvance(Calendar,R182,"1D","f")</f>
        <v>#NAME?</v>
      </c>
      <c r="S183" s="560" t="e">
        <f ca="1">_xll.qlInterpolationInterpolate(B6Minterpolation,R183,TRUE)</f>
        <v>#NAME?</v>
      </c>
    </row>
    <row r="184" spans="18:19" x14ac:dyDescent="0.2">
      <c r="R184" s="561" t="e">
        <f ca="1">_xll.qlCalendarAdvance(Calendar,R183,"1D","f")</f>
        <v>#NAME?</v>
      </c>
      <c r="S184" s="560" t="e">
        <f ca="1">_xll.qlInterpolationInterpolate(B6Minterpolation,R184,TRUE)</f>
        <v>#NAME?</v>
      </c>
    </row>
    <row r="185" spans="18:19" x14ac:dyDescent="0.2">
      <c r="R185" s="561" t="e">
        <f ca="1">_xll.qlCalendarAdvance(Calendar,R184,"1D","f")</f>
        <v>#NAME?</v>
      </c>
      <c r="S185" s="560" t="e">
        <f ca="1">_xll.qlInterpolationInterpolate(B6Minterpolation,R185,TRUE)</f>
        <v>#NAME?</v>
      </c>
    </row>
    <row r="186" spans="18:19" x14ac:dyDescent="0.2">
      <c r="R186" s="561" t="e">
        <f ca="1">_xll.qlCalendarAdvance(Calendar,R185,"1D","f")</f>
        <v>#NAME?</v>
      </c>
      <c r="S186" s="560" t="e">
        <f ca="1">_xll.qlInterpolationInterpolate(B6Minterpolation,R186,TRUE)</f>
        <v>#NAME?</v>
      </c>
    </row>
    <row r="187" spans="18:19" x14ac:dyDescent="0.2">
      <c r="R187" s="561" t="e">
        <f ca="1">_xll.qlCalendarAdvance(Calendar,R186,"1D","f")</f>
        <v>#NAME?</v>
      </c>
      <c r="S187" s="560" t="e">
        <f ca="1">_xll.qlInterpolationInterpolate(B6Minterpolation,R187,TRUE)</f>
        <v>#NAME?</v>
      </c>
    </row>
    <row r="188" spans="18:19" x14ac:dyDescent="0.2">
      <c r="R188" s="561" t="e">
        <f ca="1">_xll.qlCalendarAdvance(Calendar,R187,"1D","f")</f>
        <v>#NAME?</v>
      </c>
      <c r="S188" s="560" t="e">
        <f ca="1">_xll.qlInterpolationInterpolate(B6Minterpolation,R188,TRUE)</f>
        <v>#NAME?</v>
      </c>
    </row>
    <row r="189" spans="18:19" x14ac:dyDescent="0.2">
      <c r="R189" s="561" t="e">
        <f ca="1">_xll.qlCalendarAdvance(Calendar,R188,"1D","f")</f>
        <v>#NAME?</v>
      </c>
      <c r="S189" s="560" t="e">
        <f ca="1">_xll.qlInterpolationInterpolate(B6Minterpolation,R189,TRUE)</f>
        <v>#NAME?</v>
      </c>
    </row>
    <row r="190" spans="18:19" x14ac:dyDescent="0.2">
      <c r="R190" s="561" t="e">
        <f ca="1">_xll.qlCalendarAdvance(Calendar,R189,"1D","f")</f>
        <v>#NAME?</v>
      </c>
      <c r="S190" s="560" t="e">
        <f ca="1">_xll.qlInterpolationInterpolate(B6Minterpolation,R190,TRUE)</f>
        <v>#NAME?</v>
      </c>
    </row>
    <row r="191" spans="18:19" x14ac:dyDescent="0.2">
      <c r="R191" s="561" t="e">
        <f ca="1">_xll.qlCalendarAdvance(Calendar,R190,"1D","f")</f>
        <v>#NAME?</v>
      </c>
      <c r="S191" s="560" t="e">
        <f ca="1">_xll.qlInterpolationInterpolate(B6Minterpolation,R191,TRUE)</f>
        <v>#NAME?</v>
      </c>
    </row>
    <row r="192" spans="18:19" x14ac:dyDescent="0.2">
      <c r="R192" s="561" t="e">
        <f ca="1">_xll.qlCalendarAdvance(Calendar,R191,"1D","f")</f>
        <v>#NAME?</v>
      </c>
      <c r="S192" s="560" t="e">
        <f ca="1">_xll.qlInterpolationInterpolate(B6Minterpolation,R192,TRUE)</f>
        <v>#NAME?</v>
      </c>
    </row>
    <row r="193" spans="18:19" x14ac:dyDescent="0.2">
      <c r="R193" s="561" t="e">
        <f ca="1">_xll.qlCalendarAdvance(Calendar,R192,"1D","f")</f>
        <v>#NAME?</v>
      </c>
      <c r="S193" s="560" t="e">
        <f ca="1">_xll.qlInterpolationInterpolate(B6Minterpolation,R193,TRUE)</f>
        <v>#NAME?</v>
      </c>
    </row>
    <row r="194" spans="18:19" x14ac:dyDescent="0.2">
      <c r="R194" s="561" t="e">
        <f ca="1">_xll.qlCalendarAdvance(Calendar,R193,"1D","f")</f>
        <v>#NAME?</v>
      </c>
      <c r="S194" s="560" t="e">
        <f ca="1">_xll.qlInterpolationInterpolate(B6Minterpolation,R194,TRUE)</f>
        <v>#NAME?</v>
      </c>
    </row>
    <row r="195" spans="18:19" x14ac:dyDescent="0.2">
      <c r="R195" s="561" t="e">
        <f ca="1">_xll.qlCalendarAdvance(Calendar,R194,"1D","f")</f>
        <v>#NAME?</v>
      </c>
      <c r="S195" s="560" t="e">
        <f ca="1">_xll.qlInterpolationInterpolate(B6Minterpolation,R195,TRUE)</f>
        <v>#NAME?</v>
      </c>
    </row>
    <row r="196" spans="18:19" x14ac:dyDescent="0.2">
      <c r="R196" s="561" t="e">
        <f ca="1">_xll.qlCalendarAdvance(Calendar,R195,"1D","f")</f>
        <v>#NAME?</v>
      </c>
      <c r="S196" s="560" t="e">
        <f ca="1">_xll.qlInterpolationInterpolate(B6Minterpolation,R196,TRUE)</f>
        <v>#NAME?</v>
      </c>
    </row>
    <row r="197" spans="18:19" x14ac:dyDescent="0.2">
      <c r="R197" s="561" t="e">
        <f ca="1">_xll.qlCalendarAdvance(Calendar,R196,"1D","f")</f>
        <v>#NAME?</v>
      </c>
      <c r="S197" s="560" t="e">
        <f ca="1">_xll.qlInterpolationInterpolate(B6Minterpolation,R197,TRUE)</f>
        <v>#NAME?</v>
      </c>
    </row>
    <row r="198" spans="18:19" x14ac:dyDescent="0.2">
      <c r="R198" s="561" t="e">
        <f ca="1">_xll.qlCalendarAdvance(Calendar,R197,"1D","f")</f>
        <v>#NAME?</v>
      </c>
      <c r="S198" s="560" t="e">
        <f ca="1">_xll.qlInterpolationInterpolate(B6Minterpolation,R198,TRUE)</f>
        <v>#NAME?</v>
      </c>
    </row>
    <row r="199" spans="18:19" x14ac:dyDescent="0.2">
      <c r="R199" s="561" t="e">
        <f ca="1">_xll.qlCalendarAdvance(Calendar,R198,"1D","f")</f>
        <v>#NAME?</v>
      </c>
      <c r="S199" s="560" t="e">
        <f ca="1">_xll.qlInterpolationInterpolate(B6Minterpolation,R199,TRUE)</f>
        <v>#NAME?</v>
      </c>
    </row>
    <row r="200" spans="18:19" x14ac:dyDescent="0.2">
      <c r="R200" s="561" t="e">
        <f ca="1">_xll.qlCalendarAdvance(Calendar,R199,"1D","f")</f>
        <v>#NAME?</v>
      </c>
      <c r="S200" s="560" t="e">
        <f ca="1">_xll.qlInterpolationInterpolate(B6Minterpolation,R200,TRUE)</f>
        <v>#NAME?</v>
      </c>
    </row>
    <row r="201" spans="18:19" x14ac:dyDescent="0.2">
      <c r="R201" s="561" t="e">
        <f ca="1">_xll.qlCalendarAdvance(Calendar,R200,"1D","f")</f>
        <v>#NAME?</v>
      </c>
      <c r="S201" s="560" t="e">
        <f ca="1">_xll.qlInterpolationInterpolate(B6Minterpolation,R201,TRUE)</f>
        <v>#NAME?</v>
      </c>
    </row>
    <row r="202" spans="18:19" x14ac:dyDescent="0.2">
      <c r="R202" s="561" t="e">
        <f ca="1">_xll.qlCalendarAdvance(Calendar,R201,"1D","f")</f>
        <v>#NAME?</v>
      </c>
      <c r="S202" s="560" t="e">
        <f ca="1">_xll.qlInterpolationInterpolate(B6Minterpolation,R202,TRUE)</f>
        <v>#NAME?</v>
      </c>
    </row>
    <row r="203" spans="18:19" x14ac:dyDescent="0.2">
      <c r="R203" s="561" t="e">
        <f ca="1">_xll.qlCalendarAdvance(Calendar,R202,"1D","f")</f>
        <v>#NAME?</v>
      </c>
      <c r="S203" s="560" t="e">
        <f ca="1">_xll.qlInterpolationInterpolate(B6Minterpolation,R203,TRUE)</f>
        <v>#NAME?</v>
      </c>
    </row>
    <row r="204" spans="18:19" x14ac:dyDescent="0.2">
      <c r="R204" s="561" t="e">
        <f ca="1">_xll.qlCalendarAdvance(Calendar,R203,"1D","f")</f>
        <v>#NAME?</v>
      </c>
      <c r="S204" s="560" t="e">
        <f ca="1">_xll.qlInterpolationInterpolate(B6Minterpolation,R204,TRUE)</f>
        <v>#NAME?</v>
      </c>
    </row>
    <row r="205" spans="18:19" x14ac:dyDescent="0.2">
      <c r="R205" s="561" t="e">
        <f ca="1">_xll.qlCalendarAdvance(Calendar,R204,"1D","f")</f>
        <v>#NAME?</v>
      </c>
      <c r="S205" s="560" t="e">
        <f ca="1">_xll.qlInterpolationInterpolate(B6Minterpolation,R205,TRUE)</f>
        <v>#NAME?</v>
      </c>
    </row>
    <row r="206" spans="18:19" x14ac:dyDescent="0.2">
      <c r="R206" s="561" t="e">
        <f ca="1">_xll.qlCalendarAdvance(Calendar,R205,"1D","f")</f>
        <v>#NAME?</v>
      </c>
      <c r="S206" s="560" t="e">
        <f ca="1">_xll.qlInterpolationInterpolate(B6Minterpolation,R206,TRUE)</f>
        <v>#NAME?</v>
      </c>
    </row>
    <row r="207" spans="18:19" x14ac:dyDescent="0.2">
      <c r="R207" s="561" t="e">
        <f ca="1">_xll.qlCalendarAdvance(Calendar,R206,"1D","f")</f>
        <v>#NAME?</v>
      </c>
      <c r="S207" s="560" t="e">
        <f ca="1">_xll.qlInterpolationInterpolate(B6Minterpolation,R207,TRUE)</f>
        <v>#NAME?</v>
      </c>
    </row>
    <row r="208" spans="18:19" x14ac:dyDescent="0.2">
      <c r="R208" s="561" t="e">
        <f ca="1">_xll.qlCalendarAdvance(Calendar,R207,"1D","f")</f>
        <v>#NAME?</v>
      </c>
      <c r="S208" s="560" t="e">
        <f ca="1">_xll.qlInterpolationInterpolate(B6Minterpolation,R208,TRUE)</f>
        <v>#NAME?</v>
      </c>
    </row>
    <row r="209" spans="18:19" x14ac:dyDescent="0.2">
      <c r="R209" s="561" t="e">
        <f ca="1">_xll.qlCalendarAdvance(Calendar,R208,"1D","f")</f>
        <v>#NAME?</v>
      </c>
      <c r="S209" s="560" t="e">
        <f ca="1">_xll.qlInterpolationInterpolate(B6Minterpolation,R209,TRUE)</f>
        <v>#NAME?</v>
      </c>
    </row>
    <row r="210" spans="18:19" x14ac:dyDescent="0.2">
      <c r="R210" s="561" t="e">
        <f ca="1">_xll.qlCalendarAdvance(Calendar,R209,"1D","f")</f>
        <v>#NAME?</v>
      </c>
      <c r="S210" s="560" t="e">
        <f ca="1">_xll.qlInterpolationInterpolate(B6Minterpolation,R210,TRUE)</f>
        <v>#NAME?</v>
      </c>
    </row>
    <row r="211" spans="18:19" x14ac:dyDescent="0.2">
      <c r="R211" s="561" t="e">
        <f ca="1">_xll.qlCalendarAdvance(Calendar,R210,"1D","f")</f>
        <v>#NAME?</v>
      </c>
      <c r="S211" s="560" t="e">
        <f ca="1">_xll.qlInterpolationInterpolate(B6Minterpolation,R211,TRUE)</f>
        <v>#NAME?</v>
      </c>
    </row>
    <row r="212" spans="18:19" x14ac:dyDescent="0.2">
      <c r="R212" s="561" t="e">
        <f ca="1">_xll.qlCalendarAdvance(Calendar,R211,"1D","f")</f>
        <v>#NAME?</v>
      </c>
      <c r="S212" s="560" t="e">
        <f ca="1">_xll.qlInterpolationInterpolate(B6Minterpolation,R212,TRUE)</f>
        <v>#NAME?</v>
      </c>
    </row>
    <row r="213" spans="18:19" x14ac:dyDescent="0.2">
      <c r="R213" s="561" t="e">
        <f ca="1">_xll.qlCalendarAdvance(Calendar,R212,"1D","f")</f>
        <v>#NAME?</v>
      </c>
      <c r="S213" s="560" t="e">
        <f ca="1">_xll.qlInterpolationInterpolate(B6Minterpolation,R213,TRUE)</f>
        <v>#NAME?</v>
      </c>
    </row>
    <row r="214" spans="18:19" x14ac:dyDescent="0.2">
      <c r="R214" s="561" t="e">
        <f ca="1">_xll.qlCalendarAdvance(Calendar,R213,"1D","f")</f>
        <v>#NAME?</v>
      </c>
      <c r="S214" s="560" t="e">
        <f ca="1">_xll.qlInterpolationInterpolate(B6Minterpolation,R214,TRUE)</f>
        <v>#NAME?</v>
      </c>
    </row>
    <row r="215" spans="18:19" x14ac:dyDescent="0.2">
      <c r="R215" s="561" t="e">
        <f ca="1">_xll.qlCalendarAdvance(Calendar,R214,"1D","f")</f>
        <v>#NAME?</v>
      </c>
      <c r="S215" s="560" t="e">
        <f ca="1">_xll.qlInterpolationInterpolate(B6Minterpolation,R215,TRUE)</f>
        <v>#NAME?</v>
      </c>
    </row>
    <row r="216" spans="18:19" x14ac:dyDescent="0.2">
      <c r="R216" s="561" t="e">
        <f ca="1">_xll.qlCalendarAdvance(Calendar,R215,"1D","f")</f>
        <v>#NAME?</v>
      </c>
      <c r="S216" s="560" t="e">
        <f ca="1">_xll.qlInterpolationInterpolate(B6Minterpolation,R216,TRUE)</f>
        <v>#NAME?</v>
      </c>
    </row>
    <row r="217" spans="18:19" x14ac:dyDescent="0.2">
      <c r="R217" s="561" t="e">
        <f ca="1">_xll.qlCalendarAdvance(Calendar,R216,"1D","f")</f>
        <v>#NAME?</v>
      </c>
      <c r="S217" s="560" t="e">
        <f ca="1">_xll.qlInterpolationInterpolate(B6Minterpolation,R217,TRUE)</f>
        <v>#NAME?</v>
      </c>
    </row>
    <row r="218" spans="18:19" x14ac:dyDescent="0.2">
      <c r="R218" s="561" t="e">
        <f ca="1">_xll.qlCalendarAdvance(Calendar,R217,"1D","f")</f>
        <v>#NAME?</v>
      </c>
      <c r="S218" s="560" t="e">
        <f ca="1">_xll.qlInterpolationInterpolate(B6Minterpolation,R218,TRUE)</f>
        <v>#NAME?</v>
      </c>
    </row>
    <row r="219" spans="18:19" x14ac:dyDescent="0.2">
      <c r="R219" s="561" t="e">
        <f ca="1">_xll.qlCalendarAdvance(Calendar,R218,"1D","f")</f>
        <v>#NAME?</v>
      </c>
      <c r="S219" s="560" t="e">
        <f ca="1">_xll.qlInterpolationInterpolate(B6Minterpolation,R219,TRUE)</f>
        <v>#NAME?</v>
      </c>
    </row>
    <row r="220" spans="18:19" x14ac:dyDescent="0.2">
      <c r="R220" s="561" t="e">
        <f ca="1">_xll.qlCalendarAdvance(Calendar,R219,"1D","f")</f>
        <v>#NAME?</v>
      </c>
      <c r="S220" s="560" t="e">
        <f ca="1">_xll.qlInterpolationInterpolate(B6Minterpolation,R220,TRUE)</f>
        <v>#NAME?</v>
      </c>
    </row>
    <row r="221" spans="18:19" x14ac:dyDescent="0.2">
      <c r="R221" s="561" t="e">
        <f ca="1">_xll.qlCalendarAdvance(Calendar,R220,"1D","f")</f>
        <v>#NAME?</v>
      </c>
      <c r="S221" s="560" t="e">
        <f ca="1">_xll.qlInterpolationInterpolate(B6Minterpolation,R221,TRUE)</f>
        <v>#NAME?</v>
      </c>
    </row>
    <row r="222" spans="18:19" x14ac:dyDescent="0.2">
      <c r="R222" s="561" t="e">
        <f ca="1">_xll.qlCalendarAdvance(Calendar,R221,"1D","f")</f>
        <v>#NAME?</v>
      </c>
      <c r="S222" s="560" t="e">
        <f ca="1">_xll.qlInterpolationInterpolate(B6Minterpolation,R222,TRUE)</f>
        <v>#NAME?</v>
      </c>
    </row>
    <row r="223" spans="18:19" x14ac:dyDescent="0.2">
      <c r="R223" s="561" t="e">
        <f ca="1">_xll.qlCalendarAdvance(Calendar,R222,"1D","f")</f>
        <v>#NAME?</v>
      </c>
      <c r="S223" s="560" t="e">
        <f ca="1">_xll.qlInterpolationInterpolate(B6Minterpolation,R223,TRUE)</f>
        <v>#NAME?</v>
      </c>
    </row>
    <row r="224" spans="18:19" x14ac:dyDescent="0.2">
      <c r="R224" s="561" t="e">
        <f ca="1">_xll.qlCalendarAdvance(Calendar,R223,"1D","f")</f>
        <v>#NAME?</v>
      </c>
      <c r="S224" s="560" t="e">
        <f ca="1">_xll.qlInterpolationInterpolate(B6Minterpolation,R224,TRUE)</f>
        <v>#NAME?</v>
      </c>
    </row>
    <row r="225" spans="18:19" x14ac:dyDescent="0.2">
      <c r="R225" s="561" t="e">
        <f ca="1">_xll.qlCalendarAdvance(Calendar,R224,"1D","f")</f>
        <v>#NAME?</v>
      </c>
      <c r="S225" s="560" t="e">
        <f ca="1">_xll.qlInterpolationInterpolate(B6Minterpolation,R225,TRUE)</f>
        <v>#NAME?</v>
      </c>
    </row>
    <row r="226" spans="18:19" x14ac:dyDescent="0.2">
      <c r="R226" s="561" t="e">
        <f ca="1">_xll.qlCalendarAdvance(Calendar,R225,"1D","f")</f>
        <v>#NAME?</v>
      </c>
      <c r="S226" s="560" t="e">
        <f ca="1">_xll.qlInterpolationInterpolate(B6Minterpolation,R226,TRUE)</f>
        <v>#NAME?</v>
      </c>
    </row>
    <row r="227" spans="18:19" x14ac:dyDescent="0.2">
      <c r="R227" s="561" t="e">
        <f ca="1">_xll.qlCalendarAdvance(Calendar,R226,"1D","f")</f>
        <v>#NAME?</v>
      </c>
      <c r="S227" s="560" t="e">
        <f ca="1">_xll.qlInterpolationInterpolate(B6Minterpolation,R227,TRUE)</f>
        <v>#NAME?</v>
      </c>
    </row>
    <row r="228" spans="18:19" x14ac:dyDescent="0.2">
      <c r="R228" s="561" t="e">
        <f ca="1">_xll.qlCalendarAdvance(Calendar,R227,"1D","f")</f>
        <v>#NAME?</v>
      </c>
      <c r="S228" s="560" t="e">
        <f ca="1">_xll.qlInterpolationInterpolate(B6Minterpolation,R228,TRUE)</f>
        <v>#NAME?</v>
      </c>
    </row>
    <row r="229" spans="18:19" x14ac:dyDescent="0.2">
      <c r="R229" s="561" t="e">
        <f ca="1">_xll.qlCalendarAdvance(Calendar,R228,"1D","f")</f>
        <v>#NAME?</v>
      </c>
      <c r="S229" s="560" t="e">
        <f ca="1">_xll.qlInterpolationInterpolate(B6Minterpolation,R229,TRUE)</f>
        <v>#NAME?</v>
      </c>
    </row>
    <row r="230" spans="18:19" x14ac:dyDescent="0.2">
      <c r="R230" s="561" t="e">
        <f ca="1">_xll.qlCalendarAdvance(Calendar,R229,"1D","f")</f>
        <v>#NAME?</v>
      </c>
      <c r="S230" s="560" t="e">
        <f ca="1">_xll.qlInterpolationInterpolate(B6Minterpolation,R230,TRUE)</f>
        <v>#NAME?</v>
      </c>
    </row>
    <row r="231" spans="18:19" x14ac:dyDescent="0.2">
      <c r="R231" s="561" t="e">
        <f ca="1">_xll.qlCalendarAdvance(Calendar,R230,"1D","f")</f>
        <v>#NAME?</v>
      </c>
      <c r="S231" s="560" t="e">
        <f ca="1">_xll.qlInterpolationInterpolate(B6Minterpolation,R231,TRUE)</f>
        <v>#NAME?</v>
      </c>
    </row>
    <row r="232" spans="18:19" x14ac:dyDescent="0.2">
      <c r="R232" s="561" t="e">
        <f ca="1">_xll.qlCalendarAdvance(Calendar,R231,"1D","f")</f>
        <v>#NAME?</v>
      </c>
      <c r="S232" s="560" t="e">
        <f ca="1">_xll.qlInterpolationInterpolate(B6Minterpolation,R232,TRUE)</f>
        <v>#NAME?</v>
      </c>
    </row>
    <row r="233" spans="18:19" x14ac:dyDescent="0.2">
      <c r="R233" s="561" t="e">
        <f ca="1">_xll.qlCalendarAdvance(Calendar,R232,"1D","f")</f>
        <v>#NAME?</v>
      </c>
      <c r="S233" s="560" t="e">
        <f ca="1">_xll.qlInterpolationInterpolate(B6Minterpolation,R233,TRUE)</f>
        <v>#NAME?</v>
      </c>
    </row>
    <row r="234" spans="18:19" x14ac:dyDescent="0.2">
      <c r="R234" s="561" t="e">
        <f ca="1">_xll.qlCalendarAdvance(Calendar,R233,"1D","f")</f>
        <v>#NAME?</v>
      </c>
      <c r="S234" s="560" t="e">
        <f ca="1">_xll.qlInterpolationInterpolate(B6Minterpolation,R234,TRUE)</f>
        <v>#NAME?</v>
      </c>
    </row>
    <row r="235" spans="18:19" x14ac:dyDescent="0.2">
      <c r="R235" s="561" t="e">
        <f ca="1">_xll.qlCalendarAdvance(Calendar,R234,"1D","f")</f>
        <v>#NAME?</v>
      </c>
      <c r="S235" s="560" t="e">
        <f ca="1">_xll.qlInterpolationInterpolate(B6Minterpolation,R235,TRUE)</f>
        <v>#NAME?</v>
      </c>
    </row>
    <row r="236" spans="18:19" x14ac:dyDescent="0.2">
      <c r="R236" s="561" t="e">
        <f ca="1">_xll.qlCalendarAdvance(Calendar,R235,"1D","f")</f>
        <v>#NAME?</v>
      </c>
      <c r="S236" s="560" t="e">
        <f ca="1">_xll.qlInterpolationInterpolate(B6Minterpolation,R236,TRUE)</f>
        <v>#NAME?</v>
      </c>
    </row>
    <row r="237" spans="18:19" x14ac:dyDescent="0.2">
      <c r="R237" s="561" t="e">
        <f ca="1">_xll.qlCalendarAdvance(Calendar,R236,"1D","f")</f>
        <v>#NAME?</v>
      </c>
      <c r="S237" s="560" t="e">
        <f ca="1">_xll.qlInterpolationInterpolate(B6Minterpolation,R237,TRUE)</f>
        <v>#NAME?</v>
      </c>
    </row>
    <row r="238" spans="18:19" x14ac:dyDescent="0.2">
      <c r="R238" s="561" t="e">
        <f ca="1">_xll.qlCalendarAdvance(Calendar,R237,"1D","f")</f>
        <v>#NAME?</v>
      </c>
      <c r="S238" s="560" t="e">
        <f ca="1">_xll.qlInterpolationInterpolate(B6Minterpolation,R238,TRUE)</f>
        <v>#NAME?</v>
      </c>
    </row>
    <row r="239" spans="18:19" x14ac:dyDescent="0.2">
      <c r="R239" s="561" t="e">
        <f ca="1">_xll.qlCalendarAdvance(Calendar,R238,"1D","f")</f>
        <v>#NAME?</v>
      </c>
      <c r="S239" s="560" t="e">
        <f ca="1">_xll.qlInterpolationInterpolate(B6Minterpolation,R239,TRUE)</f>
        <v>#NAME?</v>
      </c>
    </row>
    <row r="240" spans="18:19" x14ac:dyDescent="0.2">
      <c r="R240" s="561" t="e">
        <f ca="1">_xll.qlCalendarAdvance(Calendar,R239,"1D","f")</f>
        <v>#NAME?</v>
      </c>
      <c r="S240" s="560" t="e">
        <f ca="1">_xll.qlInterpolationInterpolate(B6Minterpolation,R240,TRUE)</f>
        <v>#NAME?</v>
      </c>
    </row>
    <row r="241" spans="18:19" x14ac:dyDescent="0.2">
      <c r="R241" s="561" t="e">
        <f ca="1">_xll.qlCalendarAdvance(Calendar,R240,"1D","f")</f>
        <v>#NAME?</v>
      </c>
      <c r="S241" s="560" t="e">
        <f ca="1">_xll.qlInterpolationInterpolate(B6Minterpolation,R241,TRUE)</f>
        <v>#NAME?</v>
      </c>
    </row>
    <row r="242" spans="18:19" x14ac:dyDescent="0.2">
      <c r="R242" s="561" t="e">
        <f ca="1">_xll.qlCalendarAdvance(Calendar,R241,"1D","f")</f>
        <v>#NAME?</v>
      </c>
      <c r="S242" s="560" t="e">
        <f ca="1">_xll.qlInterpolationInterpolate(B6Minterpolation,R242,TRUE)</f>
        <v>#NAME?</v>
      </c>
    </row>
    <row r="243" spans="18:19" x14ac:dyDescent="0.2">
      <c r="R243" s="561" t="e">
        <f ca="1">_xll.qlCalendarAdvance(Calendar,R242,"1D","f")</f>
        <v>#NAME?</v>
      </c>
      <c r="S243" s="560" t="e">
        <f ca="1">_xll.qlInterpolationInterpolate(B6Minterpolation,R243,TRUE)</f>
        <v>#NAME?</v>
      </c>
    </row>
    <row r="244" spans="18:19" x14ac:dyDescent="0.2">
      <c r="R244" s="561" t="e">
        <f ca="1">_xll.qlCalendarAdvance(Calendar,R243,"1D","f")</f>
        <v>#NAME?</v>
      </c>
      <c r="S244" s="560" t="e">
        <f ca="1">_xll.qlInterpolationInterpolate(B6Minterpolation,R244,TRUE)</f>
        <v>#NAME?</v>
      </c>
    </row>
    <row r="245" spans="18:19" x14ac:dyDescent="0.2">
      <c r="R245" s="561" t="e">
        <f ca="1">_xll.qlCalendarAdvance(Calendar,R244,"1D","f")</f>
        <v>#NAME?</v>
      </c>
      <c r="S245" s="560" t="e">
        <f ca="1">_xll.qlInterpolationInterpolate(B6Minterpolation,R245,TRUE)</f>
        <v>#NAME?</v>
      </c>
    </row>
    <row r="246" spans="18:19" x14ac:dyDescent="0.2">
      <c r="R246" s="561" t="e">
        <f ca="1">_xll.qlCalendarAdvance(Calendar,R245,"1D","f")</f>
        <v>#NAME?</v>
      </c>
      <c r="S246" s="560" t="e">
        <f ca="1">_xll.qlInterpolationInterpolate(B6Minterpolation,R246,TRUE)</f>
        <v>#NAME?</v>
      </c>
    </row>
    <row r="247" spans="18:19" x14ac:dyDescent="0.2">
      <c r="R247" s="561" t="e">
        <f ca="1">_xll.qlCalendarAdvance(Calendar,R246,"1D","f")</f>
        <v>#NAME?</v>
      </c>
      <c r="S247" s="560" t="e">
        <f ca="1">_xll.qlInterpolationInterpolate(B6Minterpolation,R247,TRUE)</f>
        <v>#NAME?</v>
      </c>
    </row>
    <row r="248" spans="18:19" x14ac:dyDescent="0.2">
      <c r="R248" s="561" t="e">
        <f ca="1">_xll.qlCalendarAdvance(Calendar,R247,"1D","f")</f>
        <v>#NAME?</v>
      </c>
      <c r="S248" s="560" t="e">
        <f ca="1">_xll.qlInterpolationInterpolate(B6Minterpolation,R248,TRUE)</f>
        <v>#NAME?</v>
      </c>
    </row>
    <row r="249" spans="18:19" x14ac:dyDescent="0.2">
      <c r="R249" s="561" t="e">
        <f ca="1">_xll.qlCalendarAdvance(Calendar,R248,"1D","f")</f>
        <v>#NAME?</v>
      </c>
      <c r="S249" s="560" t="e">
        <f ca="1">_xll.qlInterpolationInterpolate(B6Minterpolation,R249,TRUE)</f>
        <v>#NAME?</v>
      </c>
    </row>
    <row r="250" spans="18:19" x14ac:dyDescent="0.2">
      <c r="R250" s="561" t="e">
        <f ca="1">_xll.qlCalendarAdvance(Calendar,R249,"1D","f")</f>
        <v>#NAME?</v>
      </c>
      <c r="S250" s="560" t="e">
        <f ca="1">_xll.qlInterpolationInterpolate(B6Minterpolation,R250,TRUE)</f>
        <v>#NAME?</v>
      </c>
    </row>
    <row r="251" spans="18:19" x14ac:dyDescent="0.2">
      <c r="R251" s="561" t="e">
        <f ca="1">_xll.qlCalendarAdvance(Calendar,R250,"1D","f")</f>
        <v>#NAME?</v>
      </c>
      <c r="S251" s="560" t="e">
        <f ca="1">_xll.qlInterpolationInterpolate(B6Minterpolation,R251,TRUE)</f>
        <v>#NAME?</v>
      </c>
    </row>
    <row r="252" spans="18:19" x14ac:dyDescent="0.2">
      <c r="R252" s="561" t="e">
        <f ca="1">_xll.qlCalendarAdvance(Calendar,R251,"1D","f")</f>
        <v>#NAME?</v>
      </c>
      <c r="S252" s="560" t="e">
        <f ca="1">_xll.qlInterpolationInterpolate(B6Minterpolation,R252,TRUE)</f>
        <v>#NAME?</v>
      </c>
    </row>
    <row r="253" spans="18:19" x14ac:dyDescent="0.2">
      <c r="R253" s="561" t="e">
        <f ca="1">_xll.qlCalendarAdvance(Calendar,R252,"1D","f")</f>
        <v>#NAME?</v>
      </c>
      <c r="S253" s="560" t="e">
        <f ca="1">_xll.qlInterpolationInterpolate(B6Minterpolation,R253,TRUE)</f>
        <v>#NAME?</v>
      </c>
    </row>
    <row r="254" spans="18:19" x14ac:dyDescent="0.2">
      <c r="R254" s="561" t="e">
        <f ca="1">_xll.qlCalendarAdvance(Calendar,R253,"1D","f")</f>
        <v>#NAME?</v>
      </c>
      <c r="S254" s="560" t="e">
        <f ca="1">_xll.qlInterpolationInterpolate(B6Minterpolation,R254,TRUE)</f>
        <v>#NAME?</v>
      </c>
    </row>
    <row r="255" spans="18:19" x14ac:dyDescent="0.2">
      <c r="R255" s="561" t="e">
        <f ca="1">_xll.qlCalendarAdvance(Calendar,R254,"1D","f")</f>
        <v>#NAME?</v>
      </c>
      <c r="S255" s="560" t="e">
        <f ca="1">_xll.qlInterpolationInterpolate(B6Minterpolation,R255,TRUE)</f>
        <v>#NAME?</v>
      </c>
    </row>
    <row r="256" spans="18:19" x14ac:dyDescent="0.2">
      <c r="R256" s="561" t="e">
        <f ca="1">_xll.qlCalendarAdvance(Calendar,R255,"1D","f")</f>
        <v>#NAME?</v>
      </c>
      <c r="S256" s="560" t="e">
        <f ca="1">_xll.qlInterpolationInterpolate(B6Minterpolation,R256,TRUE)</f>
        <v>#NAME?</v>
      </c>
    </row>
    <row r="257" spans="18:19" x14ac:dyDescent="0.2">
      <c r="R257" s="561" t="e">
        <f ca="1">_xll.qlCalendarAdvance(Calendar,R256,"1D","f")</f>
        <v>#NAME?</v>
      </c>
      <c r="S257" s="560" t="e">
        <f ca="1">_xll.qlInterpolationInterpolate(B6Minterpolation,R257,TRUE)</f>
        <v>#NAME?</v>
      </c>
    </row>
    <row r="258" spans="18:19" x14ac:dyDescent="0.2">
      <c r="R258" s="561" t="e">
        <f ca="1">_xll.qlCalendarAdvance(Calendar,R257,"1D","f")</f>
        <v>#NAME?</v>
      </c>
      <c r="S258" s="560" t="e">
        <f ca="1">_xll.qlInterpolationInterpolate(B6Minterpolation,R258,TRUE)</f>
        <v>#NAME?</v>
      </c>
    </row>
    <row r="259" spans="18:19" x14ac:dyDescent="0.2">
      <c r="R259" s="561" t="e">
        <f ca="1">_xll.qlCalendarAdvance(Calendar,R258,"1D","f")</f>
        <v>#NAME?</v>
      </c>
      <c r="S259" s="560" t="e">
        <f ca="1">_xll.qlInterpolationInterpolate(B6Minterpolation,R259,TRUE)</f>
        <v>#NAME?</v>
      </c>
    </row>
    <row r="260" spans="18:19" x14ac:dyDescent="0.2">
      <c r="R260" s="561" t="e">
        <f ca="1">_xll.qlCalendarAdvance(Calendar,R259,"1D","f")</f>
        <v>#NAME?</v>
      </c>
      <c r="S260" s="560" t="e">
        <f ca="1">_xll.qlInterpolationInterpolate(B6Minterpolation,R260,TRUE)</f>
        <v>#NAME?</v>
      </c>
    </row>
    <row r="261" spans="18:19" x14ac:dyDescent="0.2">
      <c r="R261" s="561" t="e">
        <f ca="1">_xll.qlCalendarAdvance(Calendar,R260,"1D","f")</f>
        <v>#NAME?</v>
      </c>
      <c r="S261" s="560" t="e">
        <f ca="1">_xll.qlInterpolationInterpolate(B6Minterpolation,R261,TRUE)</f>
        <v>#NAME?</v>
      </c>
    </row>
    <row r="262" spans="18:19" x14ac:dyDescent="0.2">
      <c r="R262" s="559" t="e">
        <f ca="1">_xll.qlCalendarAdvance(Calendar,R261,"1D","f")</f>
        <v>#NAME?</v>
      </c>
      <c r="S262" s="558" t="e">
        <f ca="1">_xll.qlInterpolationInterpolate(B6Minterpolation,R262,TRUE)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1.140625"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318</v>
      </c>
      <c r="N1" s="555" t="e">
        <f ca="1">_xll.qlInterpolation(,interpolator12M,_xll.ohFilter(E3:E15,M3:M15),_xll.ohFilter(L3:L15,M3:M15))</f>
        <v>#NAME?</v>
      </c>
    </row>
    <row r="2" spans="1:22" ht="26.25" customHeight="1" collapsed="1" thickBot="1" x14ac:dyDescent="0.25">
      <c r="D2" s="593" t="str">
        <f>F1&amp;" Instruments"</f>
        <v>12M Instruments</v>
      </c>
      <c r="E2" s="593" t="s">
        <v>310</v>
      </c>
      <c r="F2" s="593" t="s">
        <v>317</v>
      </c>
      <c r="G2" s="593" t="s">
        <v>275</v>
      </c>
      <c r="H2" s="593" t="str">
        <f>F1&amp;" Market quote"</f>
        <v>12M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
        <v>58</v>
      </c>
      <c r="D3" s="591" t="str">
        <f>PROPER(Currency&amp;IborType)&amp;C3&amp;"LastFixing"&amp;QuoteSuffix</f>
        <v>Euribor1YLastFixing_Quote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15" ca="1" si="0">(I3/J3-1)/G3</f>
        <v>#NAME?</v>
      </c>
      <c r="L3" s="587" t="e">
        <f t="shared" ref="L3:L15" ca="1" si="1">H3-K3</f>
        <v>#NAME?</v>
      </c>
      <c r="M3" s="586" t="b">
        <v>1</v>
      </c>
      <c r="N3" s="585" t="e">
        <f ca="1">_xll.qlInterpolationInterpolate($N$1,E3,TRUE)</f>
        <v>#NAME?</v>
      </c>
      <c r="O3" s="584" t="e">
        <f t="shared" ref="O3:O15" ca="1" si="2">(L3-N3)*10000</f>
        <v>#NAME?</v>
      </c>
      <c r="P3" s="583" t="e">
        <f t="shared" ref="P3:P15" ca="1" si="3">LN((1+H3*G3)/(1+K3*G3))</f>
        <v>#NAME?</v>
      </c>
      <c r="R3" s="582" t="e">
        <f ca="1">E3</f>
        <v>#NAME?</v>
      </c>
      <c r="S3" s="581" t="e">
        <f ca="1">_xll.qlInterpolationInterpolate(B12Minterpolation,R3,TRUE)</f>
        <v>#NAME?</v>
      </c>
      <c r="U3" s="1360" t="s">
        <v>529</v>
      </c>
      <c r="V3" s="1363" t="e">
        <f ca="1">_xll.ohTrigger('General Settings_3'!Trigger)</f>
        <v>#NAME?</v>
      </c>
    </row>
    <row r="4" spans="1:22" ht="11.25" customHeight="1" thickBot="1" x14ac:dyDescent="0.3">
      <c r="A4" s="555">
        <v>1</v>
      </c>
      <c r="B4" s="555" t="s">
        <v>180</v>
      </c>
      <c r="C4" s="555">
        <f t="shared" ref="C4:C15" si="4">A4+SUBSTITUTE($F$1,"M","")</f>
        <v>13</v>
      </c>
      <c r="D4" s="578" t="str">
        <f t="shared" ref="D4:D15" si="5">Currency&amp;A4&amp;B4&amp;C4&amp;"F"&amp;QuoteSuffix</f>
        <v>EUR1x13F_Quote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_xll.qlInterpolationInterpolate(B12Minterpolation,R4,TRUE)</f>
        <v>#NAME?</v>
      </c>
      <c r="U4" s="1361" t="s">
        <v>530</v>
      </c>
      <c r="V4" s="1364" t="e">
        <f ca="1">_xll.ohTrigger(S3:S262)</f>
        <v>#NAME?</v>
      </c>
    </row>
    <row r="5" spans="1:22" ht="11.25" customHeight="1" x14ac:dyDescent="0.2">
      <c r="A5" s="555">
        <v>2</v>
      </c>
      <c r="B5" s="555" t="s">
        <v>180</v>
      </c>
      <c r="C5" s="555">
        <f t="shared" si="4"/>
        <v>14</v>
      </c>
      <c r="D5" s="578" t="str">
        <f t="shared" si="5"/>
        <v>EUR2x14F_Quote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_xll.qlInterpolationInterpolate(B12Minterpolation,R5,TRUE)</f>
        <v>#NAME?</v>
      </c>
    </row>
    <row r="6" spans="1:22" ht="11.25" customHeight="1" x14ac:dyDescent="0.2">
      <c r="A6" s="555">
        <f t="shared" ref="A6:A15" si="6">A5+1</f>
        <v>3</v>
      </c>
      <c r="B6" s="555" t="s">
        <v>180</v>
      </c>
      <c r="C6" s="555">
        <f t="shared" si="4"/>
        <v>15</v>
      </c>
      <c r="D6" s="578" t="str">
        <f t="shared" si="5"/>
        <v>EUR3x15F_Quote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_xll.qlInterpolationInterpolate(B12Minterpolation,R6,TRUE)</f>
        <v>#NAME?</v>
      </c>
    </row>
    <row r="7" spans="1:22" ht="11.25" customHeight="1" x14ac:dyDescent="0.2">
      <c r="A7" s="555">
        <f t="shared" si="6"/>
        <v>4</v>
      </c>
      <c r="B7" s="555" t="s">
        <v>180</v>
      </c>
      <c r="C7" s="555">
        <f t="shared" si="4"/>
        <v>16</v>
      </c>
      <c r="D7" s="578" t="str">
        <f t="shared" si="5"/>
        <v>EUR4x16F_Quote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_xll.qlInterpolationInterpolate($N$1,E7,TRUE)</f>
        <v>#NAME?</v>
      </c>
      <c r="O7" s="573" t="e">
        <f t="shared" ca="1" si="2"/>
        <v>#NAME?</v>
      </c>
      <c r="P7" s="572" t="e">
        <f t="shared" ca="1" si="3"/>
        <v>#NAME?</v>
      </c>
      <c r="R7" s="561" t="e">
        <f ca="1">_xll.qlCalendarAdvance(Calendar,R6,"1D","f")</f>
        <v>#NAME?</v>
      </c>
      <c r="S7" s="560" t="e">
        <f ca="1">_xll.qlInterpolationInterpolate(B12Minterpolation,R7,TRUE)</f>
        <v>#NAME?</v>
      </c>
    </row>
    <row r="8" spans="1:22" ht="11.25" customHeight="1" x14ac:dyDescent="0.2">
      <c r="A8" s="555">
        <f t="shared" si="6"/>
        <v>5</v>
      </c>
      <c r="B8" s="555" t="s">
        <v>180</v>
      </c>
      <c r="C8" s="555">
        <f t="shared" si="4"/>
        <v>17</v>
      </c>
      <c r="D8" s="578" t="str">
        <f t="shared" si="5"/>
        <v>EUR5x17F_Quote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_xll.qlInterpolationInterpolate($N$1,E8,TRUE)</f>
        <v>#NAME?</v>
      </c>
      <c r="O8" s="573" t="e">
        <f t="shared" ca="1" si="2"/>
        <v>#NAME?</v>
      </c>
      <c r="P8" s="572" t="e">
        <f t="shared" ca="1" si="3"/>
        <v>#NAME?</v>
      </c>
      <c r="R8" s="561" t="e">
        <f ca="1">_xll.qlCalendarAdvance(Calendar,R7,"1D","f")</f>
        <v>#NAME?</v>
      </c>
      <c r="S8" s="560" t="e">
        <f ca="1">_xll.qlInterpolationInterpolate(B12Minterpolation,R8,TRUE)</f>
        <v>#NAME?</v>
      </c>
    </row>
    <row r="9" spans="1:22" ht="11.25" customHeight="1" x14ac:dyDescent="0.2">
      <c r="A9" s="555">
        <f t="shared" si="6"/>
        <v>6</v>
      </c>
      <c r="B9" s="555" t="s">
        <v>180</v>
      </c>
      <c r="C9" s="555">
        <f t="shared" si="4"/>
        <v>18</v>
      </c>
      <c r="D9" s="578" t="str">
        <f t="shared" si="5"/>
        <v>EUR6x18F_Quote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_xll.qlInterpolationInterpolate(B12Minterpolation,R9,TRUE)</f>
        <v>#NAME?</v>
      </c>
    </row>
    <row r="10" spans="1:22" ht="11.25" customHeight="1" x14ac:dyDescent="0.2">
      <c r="A10" s="555">
        <f t="shared" si="6"/>
        <v>7</v>
      </c>
      <c r="B10" s="555" t="s">
        <v>180</v>
      </c>
      <c r="C10" s="555">
        <f t="shared" si="4"/>
        <v>19</v>
      </c>
      <c r="D10" s="578" t="str">
        <f t="shared" si="5"/>
        <v>EUR7x19F_Quote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_xll.qlInterpolationInterpolate($N$1,E10,TRUE)</f>
        <v>#NAME?</v>
      </c>
      <c r="O10" s="573" t="e">
        <f t="shared" ca="1" si="2"/>
        <v>#NAME?</v>
      </c>
      <c r="P10" s="572" t="e">
        <f t="shared" ca="1" si="3"/>
        <v>#NAME?</v>
      </c>
      <c r="R10" s="561" t="e">
        <f ca="1">_xll.qlCalendarAdvance(Calendar,R9,"1D","f")</f>
        <v>#NAME?</v>
      </c>
      <c r="S10" s="560" t="e">
        <f ca="1">_xll.qlInterpolationInterpolate(B12Minterpolation,R10,TRUE)</f>
        <v>#NAME?</v>
      </c>
    </row>
    <row r="11" spans="1:22" ht="11.25" customHeight="1" x14ac:dyDescent="0.2">
      <c r="A11" s="555">
        <f t="shared" si="6"/>
        <v>8</v>
      </c>
      <c r="B11" s="555" t="s">
        <v>180</v>
      </c>
      <c r="C11" s="555">
        <f t="shared" si="4"/>
        <v>20</v>
      </c>
      <c r="D11" s="578" t="str">
        <f t="shared" si="5"/>
        <v>EUR8x20F_Quote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_xll.qlInterpolationInterpolate($N$1,E11,TRUE)</f>
        <v>#NAME?</v>
      </c>
      <c r="O11" s="573" t="e">
        <f t="shared" ca="1" si="2"/>
        <v>#NAME?</v>
      </c>
      <c r="P11" s="572" t="e">
        <f t="shared" ca="1" si="3"/>
        <v>#NAME?</v>
      </c>
      <c r="R11" s="561" t="e">
        <f ca="1">_xll.qlCalendarAdvance(Calendar,R10,"1D","f")</f>
        <v>#NAME?</v>
      </c>
      <c r="S11" s="560" t="e">
        <f ca="1">_xll.qlInterpolationInterpolate(B12Minterpolation,R11,TRUE)</f>
        <v>#NAME?</v>
      </c>
    </row>
    <row r="12" spans="1:22" ht="11.25" customHeight="1" x14ac:dyDescent="0.2">
      <c r="A12" s="555">
        <f t="shared" si="6"/>
        <v>9</v>
      </c>
      <c r="B12" s="555" t="s">
        <v>180</v>
      </c>
      <c r="C12" s="555">
        <f t="shared" si="4"/>
        <v>21</v>
      </c>
      <c r="D12" s="578" t="str">
        <f t="shared" si="5"/>
        <v>EUR9x21F_Quote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_xll.qlInterpolationInterpolate(B12Minterpolation,R12,TRUE)</f>
        <v>#NAME?</v>
      </c>
    </row>
    <row r="13" spans="1:22" ht="11.25" customHeight="1" x14ac:dyDescent="0.2">
      <c r="A13" s="555">
        <f t="shared" si="6"/>
        <v>10</v>
      </c>
      <c r="B13" s="555" t="s">
        <v>180</v>
      </c>
      <c r="C13" s="555">
        <f t="shared" si="4"/>
        <v>22</v>
      </c>
      <c r="D13" s="578" t="str">
        <f t="shared" si="5"/>
        <v>EUR10x22F_Quote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_xll.qlInterpolationInterpolate(B12Minterpolation,R13,TRUE)</f>
        <v>#NAME?</v>
      </c>
    </row>
    <row r="14" spans="1:22" ht="11.25" customHeight="1" x14ac:dyDescent="0.2">
      <c r="A14" s="555">
        <f t="shared" si="6"/>
        <v>11</v>
      </c>
      <c r="B14" s="555" t="s">
        <v>180</v>
      </c>
      <c r="C14" s="555">
        <f t="shared" si="4"/>
        <v>23</v>
      </c>
      <c r="D14" s="578" t="str">
        <f t="shared" si="5"/>
        <v>EUR11x23F_Quote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_xll.qlInterpolationInterpolate(B12Minterpolation,R14,TRUE)</f>
        <v>#NAME?</v>
      </c>
    </row>
    <row r="15" spans="1:22" ht="11.25" customHeight="1" x14ac:dyDescent="0.2">
      <c r="A15" s="555">
        <f t="shared" si="6"/>
        <v>12</v>
      </c>
      <c r="B15" s="555" t="s">
        <v>180</v>
      </c>
      <c r="C15" s="555">
        <f t="shared" si="4"/>
        <v>24</v>
      </c>
      <c r="D15" s="571" t="str">
        <f t="shared" si="5"/>
        <v>EUR12x24F_Quote</v>
      </c>
      <c r="E15" s="559" t="e">
        <f ca="1">_xll.qlCalendarAdvance("target",$E$3,A15&amp;"M","mf",,Trigger)</f>
        <v>#NAME?</v>
      </c>
      <c r="F15" s="559" t="e">
        <f ca="1">_xll.qlCalendarAdvance(Calendar,E15,$F$1,"mf",,Trigger)</f>
        <v>#NAME?</v>
      </c>
      <c r="G15" s="570" t="e">
        <f ca="1">_xll.qlDayCounterYearFraction(DayCounter,E15,F15,,,Trigger)</f>
        <v>#NAME?</v>
      </c>
      <c r="H15" s="567" t="e">
        <f ca="1">_xll.qlQuoteValue(D15,AllTriggers)</f>
        <v>#NAME?</v>
      </c>
      <c r="I15" s="569" t="e">
        <f ca="1">_xll.qlYieldTSDiscount(Discounting,E15,,AllTriggers)</f>
        <v>#NAME?</v>
      </c>
      <c r="J15" s="569" t="e">
        <f ca="1">_xll.qlYieldTSDiscount(Discounting,F15,,AllTriggers)</f>
        <v>#NAME?</v>
      </c>
      <c r="K15" s="567" t="e">
        <f t="shared" ca="1" si="0"/>
        <v>#NAME?</v>
      </c>
      <c r="L15" s="567" t="e">
        <f t="shared" ca="1" si="1"/>
        <v>#NAME?</v>
      </c>
      <c r="M15" s="568" t="b">
        <v>1</v>
      </c>
      <c r="N15" s="567" t="e">
        <f ca="1">_xll.qlInterpolationInterpolate($N$1,E15,TRUE)</f>
        <v>#NAME?</v>
      </c>
      <c r="O15" s="566" t="e">
        <f t="shared" ca="1" si="2"/>
        <v>#NAME?</v>
      </c>
      <c r="P15" s="565" t="e">
        <f t="shared" ca="1" si="3"/>
        <v>#NAME?</v>
      </c>
      <c r="R15" s="561" t="e">
        <f ca="1">_xll.qlCalendarAdvance(Calendar,R14,"1D","f")</f>
        <v>#NAME?</v>
      </c>
      <c r="S15" s="560" t="e">
        <f ca="1">_xll.qlInterpolationInterpolate(B12Minterpolation,R15,TRUE)</f>
        <v>#NAME?</v>
      </c>
    </row>
    <row r="16" spans="1:22" ht="11.25" customHeight="1" x14ac:dyDescent="0.2">
      <c r="E16" s="563"/>
      <c r="F16" s="563"/>
      <c r="G16" s="563"/>
      <c r="H16" s="562"/>
      <c r="I16" s="564"/>
      <c r="J16" s="564"/>
      <c r="K16" s="562"/>
      <c r="L16" s="562"/>
      <c r="O16" s="564"/>
      <c r="P16" s="564"/>
      <c r="R16" s="561" t="e">
        <f ca="1">_xll.qlCalendarAdvance(Calendar,R15,"1D","f")</f>
        <v>#NAME?</v>
      </c>
      <c r="S16" s="560" t="e">
        <f ca="1">_xll.qlInterpolationInterpolate(B12Minterpolation,R16,TRUE)</f>
        <v>#NAME?</v>
      </c>
    </row>
    <row r="17" spans="5:19" ht="11.25" customHeight="1" x14ac:dyDescent="0.2">
      <c r="E17" s="563"/>
      <c r="F17" s="563"/>
      <c r="G17" s="563"/>
      <c r="H17" s="562"/>
      <c r="K17" s="562"/>
      <c r="L17" s="562"/>
      <c r="P17" s="564"/>
      <c r="R17" s="561" t="e">
        <f ca="1">_xll.qlCalendarAdvance(Calendar,R16,"1D","f")</f>
        <v>#NAME?</v>
      </c>
      <c r="S17" s="560" t="e">
        <f ca="1">_xll.qlInterpolationInterpolate(B12Minterpolation,R17,TRUE)</f>
        <v>#NAME?</v>
      </c>
    </row>
    <row r="18" spans="5:19" ht="11.25" customHeight="1" x14ac:dyDescent="0.2">
      <c r="E18" s="563"/>
      <c r="F18" s="563"/>
      <c r="G18" s="563"/>
      <c r="H18" s="562"/>
      <c r="K18" s="562"/>
      <c r="L18" s="562"/>
      <c r="R18" s="561" t="e">
        <f ca="1">_xll.qlCalendarAdvance(Calendar,R17,"1D","f")</f>
        <v>#NAME?</v>
      </c>
      <c r="S18" s="560" t="e">
        <f ca="1">_xll.qlInterpolationInterpolate(B12Minterpolation,R18,TRUE)</f>
        <v>#NAME?</v>
      </c>
    </row>
    <row r="19" spans="5:19" ht="11.25" customHeight="1" x14ac:dyDescent="0.2">
      <c r="E19" s="563"/>
      <c r="F19" s="563"/>
      <c r="G19" s="563"/>
      <c r="H19" s="562"/>
      <c r="K19" s="562"/>
      <c r="L19" s="562"/>
      <c r="R19" s="561" t="e">
        <f ca="1">_xll.qlCalendarAdvance(Calendar,R18,"1D","f")</f>
        <v>#NAME?</v>
      </c>
      <c r="S19" s="560" t="e">
        <f ca="1">_xll.qlInterpolationInterpolate(B12Minterpolation,R19,TRUE)</f>
        <v>#NAME?</v>
      </c>
    </row>
    <row r="20" spans="5:19" ht="11.25" customHeight="1" x14ac:dyDescent="0.2">
      <c r="E20" s="563"/>
      <c r="F20" s="563"/>
      <c r="G20" s="563"/>
      <c r="H20" s="562"/>
      <c r="K20" s="562"/>
      <c r="L20" s="562"/>
      <c r="R20" s="561" t="e">
        <f ca="1">_xll.qlCalendarAdvance(Calendar,R19,"1D","f")</f>
        <v>#NAME?</v>
      </c>
      <c r="S20" s="560" t="e">
        <f ca="1">_xll.qlInterpolationInterpolate(B12Minterpolation,R20,TRUE)</f>
        <v>#NAME?</v>
      </c>
    </row>
    <row r="21" spans="5:19" ht="11.25" customHeight="1" x14ac:dyDescent="0.2">
      <c r="E21" s="563"/>
      <c r="F21" s="563"/>
      <c r="G21" s="563"/>
      <c r="H21" s="562"/>
      <c r="K21" s="562"/>
      <c r="L21" s="562"/>
      <c r="R21" s="561" t="e">
        <f ca="1">_xll.qlCalendarAdvance(Calendar,R20,"1D","f")</f>
        <v>#NAME?</v>
      </c>
      <c r="S21" s="560" t="e">
        <f ca="1">_xll.qlInterpolationInterpolate(B12Minterpolation,R21,TRUE)</f>
        <v>#NAME?</v>
      </c>
    </row>
    <row r="22" spans="5:19" ht="11.25" customHeight="1" x14ac:dyDescent="0.2">
      <c r="E22" s="563"/>
      <c r="F22" s="563"/>
      <c r="G22" s="563"/>
      <c r="H22" s="562"/>
      <c r="K22" s="562"/>
      <c r="L22" s="562"/>
      <c r="R22" s="561" t="e">
        <f ca="1">_xll.qlCalendarAdvance(Calendar,R21,"1D","f")</f>
        <v>#NAME?</v>
      </c>
      <c r="S22" s="560" t="e">
        <f ca="1">_xll.qlInterpolationInterpolate(B12Minterpolation,R22,TRUE)</f>
        <v>#NAME?</v>
      </c>
    </row>
    <row r="23" spans="5:19" ht="11.25" customHeight="1" x14ac:dyDescent="0.2">
      <c r="E23" s="563"/>
      <c r="F23" s="563"/>
      <c r="G23" s="563"/>
      <c r="H23" s="562"/>
      <c r="K23" s="562"/>
      <c r="L23" s="562"/>
      <c r="R23" s="561" t="e">
        <f ca="1">_xll.qlCalendarAdvance(Calendar,R22,"1D","f")</f>
        <v>#NAME?</v>
      </c>
      <c r="S23" s="560" t="e">
        <f ca="1">_xll.qlInterpolationInterpolate(B12Minterpolation,R23,TRUE)</f>
        <v>#NAME?</v>
      </c>
    </row>
    <row r="24" spans="5:19" ht="11.25" customHeight="1" x14ac:dyDescent="0.2">
      <c r="E24" s="563"/>
      <c r="F24" s="563"/>
      <c r="G24" s="563"/>
      <c r="H24" s="562"/>
      <c r="K24" s="562"/>
      <c r="L24" s="562"/>
      <c r="R24" s="561" t="e">
        <f ca="1">_xll.qlCalendarAdvance(Calendar,R23,"1D","f")</f>
        <v>#NAME?</v>
      </c>
      <c r="S24" s="560" t="e">
        <f ca="1">_xll.qlInterpolationInterpolate(B12Minterpolation,R24,TRUE)</f>
        <v>#NAME?</v>
      </c>
    </row>
    <row r="25" spans="5:19" ht="11.25" customHeight="1" x14ac:dyDescent="0.2">
      <c r="E25" s="563"/>
      <c r="F25" s="563"/>
      <c r="G25" s="563"/>
      <c r="H25" s="562"/>
      <c r="K25" s="562"/>
      <c r="L25" s="562"/>
      <c r="R25" s="561" t="e">
        <f ca="1">_xll.qlCalendarAdvance(Calendar,R24,"1D","f")</f>
        <v>#NAME?</v>
      </c>
      <c r="S25" s="560" t="e">
        <f ca="1">_xll.qlInterpolationInterpolate(B12Minterpolation,R25,TRUE)</f>
        <v>#NAME?</v>
      </c>
    </row>
    <row r="26" spans="5:19" ht="11.25" customHeight="1" x14ac:dyDescent="0.2">
      <c r="E26" s="563"/>
      <c r="F26" s="563"/>
      <c r="G26" s="563"/>
      <c r="H26" s="562"/>
      <c r="K26" s="562"/>
      <c r="L26" s="562"/>
      <c r="R26" s="561" t="e">
        <f ca="1">_xll.qlCalendarAdvance(Calendar,R25,"1D","f")</f>
        <v>#NAME?</v>
      </c>
      <c r="S26" s="560" t="e">
        <f ca="1">_xll.qlInterpolationInterpolate(B12Minterpolation,R26,TRUE)</f>
        <v>#NAME?</v>
      </c>
    </row>
    <row r="27" spans="5:19" ht="11.25" customHeight="1" x14ac:dyDescent="0.2">
      <c r="E27" s="563"/>
      <c r="F27" s="563"/>
      <c r="G27" s="563"/>
      <c r="H27" s="562"/>
      <c r="K27" s="562"/>
      <c r="L27" s="562"/>
      <c r="R27" s="561" t="e">
        <f ca="1">_xll.qlCalendarAdvance(Calendar,R26,"1D","f")</f>
        <v>#NAME?</v>
      </c>
      <c r="S27" s="560" t="e">
        <f ca="1">_xll.qlInterpolationInterpolate(B12Minterpolation,R27,TRUE)</f>
        <v>#NAME?</v>
      </c>
    </row>
    <row r="28" spans="5:19" ht="11.25" customHeight="1" x14ac:dyDescent="0.2">
      <c r="E28" s="563"/>
      <c r="F28" s="563"/>
      <c r="G28" s="563"/>
      <c r="H28" s="562"/>
      <c r="K28" s="562"/>
      <c r="L28" s="562"/>
      <c r="R28" s="561" t="e">
        <f ca="1">_xll.qlCalendarAdvance(Calendar,R27,"1D","f")</f>
        <v>#NAME?</v>
      </c>
      <c r="S28" s="560" t="e">
        <f ca="1">_xll.qlInterpolationInterpolate(B12Minterpolation,R28,TRUE)</f>
        <v>#NAME?</v>
      </c>
    </row>
    <row r="29" spans="5:19" ht="11.25" customHeight="1" x14ac:dyDescent="0.2">
      <c r="E29" s="563"/>
      <c r="F29" s="563"/>
      <c r="G29" s="563"/>
      <c r="H29" s="562"/>
      <c r="K29" s="562"/>
      <c r="L29" s="562"/>
      <c r="R29" s="561" t="e">
        <f ca="1">_xll.qlCalendarAdvance(Calendar,R28,"1D","f")</f>
        <v>#NAME?</v>
      </c>
      <c r="S29" s="560" t="e">
        <f ca="1">_xll.qlInterpolationInterpolate(B12Minterpolation,R29,TRUE)</f>
        <v>#NAME?</v>
      </c>
    </row>
    <row r="30" spans="5:19" ht="11.25" customHeight="1" x14ac:dyDescent="0.2">
      <c r="E30" s="563"/>
      <c r="F30" s="563"/>
      <c r="G30" s="563"/>
      <c r="H30" s="562"/>
      <c r="K30" s="562"/>
      <c r="L30" s="562"/>
      <c r="R30" s="561" t="e">
        <f ca="1">_xll.qlCalendarAdvance(Calendar,R29,"1D","f")</f>
        <v>#NAME?</v>
      </c>
      <c r="S30" s="560" t="e">
        <f ca="1">_xll.qlInterpolationInterpolate(B12Minterpolation,R30,TRUE)</f>
        <v>#NAME?</v>
      </c>
    </row>
    <row r="31" spans="5:19" ht="11.25" customHeight="1" x14ac:dyDescent="0.2">
      <c r="E31" s="563"/>
      <c r="F31" s="563"/>
      <c r="G31" s="563"/>
      <c r="H31" s="562"/>
      <c r="K31" s="562"/>
      <c r="L31" s="562"/>
      <c r="R31" s="561" t="e">
        <f ca="1">_xll.qlCalendarAdvance(Calendar,R30,"1D","f")</f>
        <v>#NAME?</v>
      </c>
      <c r="S31" s="560" t="e">
        <f ca="1">_xll.qlInterpolationInterpolate(B12Minterpolation,R31,TRUE)</f>
        <v>#NAME?</v>
      </c>
    </row>
    <row r="32" spans="5:19" ht="11.25" customHeight="1" x14ac:dyDescent="0.2">
      <c r="E32" s="563"/>
      <c r="F32" s="563"/>
      <c r="G32" s="563"/>
      <c r="H32" s="562"/>
      <c r="K32" s="562"/>
      <c r="L32" s="562"/>
      <c r="R32" s="561" t="e">
        <f ca="1">_xll.qlCalendarAdvance(Calendar,R31,"1D","f")</f>
        <v>#NAME?</v>
      </c>
      <c r="S32" s="560" t="e">
        <f ca="1">_xll.qlInterpolationInterpolate(B12Minterpolation,R32,TRUE)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_xll.qlInterpolationInterpolate(B12Minterpolation,R33,TRUE)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_xll.qlInterpolationInterpolate(B12Minterpolation,R34,TRUE)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_xll.qlInterpolationInterpolate(B12Minterpolation,R35,TRUE)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_xll.qlInterpolationInterpolate(B12Minterpolation,R36,TRUE)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_xll.qlInterpolationInterpolate(B12Minterpolation,R37,TRUE)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_xll.qlInterpolationInterpolate(B12Minterpolation,R38,TRUE)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_xll.qlInterpolationInterpolate(B12Minterpolation,R39,TRUE)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_xll.qlInterpolationInterpolate(B12Minterpolation,R40,TRUE)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_xll.qlInterpolationInterpolate(B12Minterpolation,R41,TRUE)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_xll.qlInterpolationInterpolate(B12Minterpolation,R42,TRUE)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_xll.qlInterpolationInterpolate(B12Minterpolation,R43,TRUE)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_xll.qlInterpolationInterpolate(B12Minterpolation,R44,TRUE)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_xll.qlInterpolationInterpolate(B12Minterpolation,R45,TRUE)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_xll.qlInterpolationInterpolate(B12Minterpolation,R46,TRUE)</f>
        <v>#NAME?</v>
      </c>
    </row>
    <row r="47" spans="5:19" ht="11.25" customHeight="1" x14ac:dyDescent="0.2">
      <c r="R47" s="561" t="e">
        <f ca="1">_xll.qlCalendarAdvance(Calendar,R46,"1D","f")</f>
        <v>#NAME?</v>
      </c>
      <c r="S47" s="560" t="e">
        <f ca="1">_xll.qlInterpolationInterpolate(B12Minterpolation,R47,TRUE)</f>
        <v>#NAME?</v>
      </c>
    </row>
    <row r="48" spans="5:19" ht="11.25" customHeight="1" x14ac:dyDescent="0.2">
      <c r="R48" s="561" t="e">
        <f ca="1">_xll.qlCalendarAdvance(Calendar,R47,"1D","f")</f>
        <v>#NAME?</v>
      </c>
      <c r="S48" s="560" t="e">
        <f ca="1">_xll.qlInterpolationInterpolate(B12Minterpolation,R48,TRUE)</f>
        <v>#NAME?</v>
      </c>
    </row>
    <row r="49" spans="18:19" ht="11.25" customHeight="1" x14ac:dyDescent="0.2">
      <c r="R49" s="561" t="e">
        <f ca="1">_xll.qlCalendarAdvance(Calendar,R48,"1D","f")</f>
        <v>#NAME?</v>
      </c>
      <c r="S49" s="560" t="e">
        <f ca="1">_xll.qlInterpolationInterpolate(B12Minterpolation,R49,TRUE)</f>
        <v>#NAME?</v>
      </c>
    </row>
    <row r="50" spans="18:19" ht="11.25" customHeight="1" x14ac:dyDescent="0.2">
      <c r="R50" s="561" t="e">
        <f ca="1">_xll.qlCalendarAdvance(Calendar,R49,"1D","f")</f>
        <v>#NAME?</v>
      </c>
      <c r="S50" s="560" t="e">
        <f ca="1">_xll.qlInterpolationInterpolate(B12Minterpolation,R50,TRUE)</f>
        <v>#NAME?</v>
      </c>
    </row>
    <row r="51" spans="18:19" ht="11.25" customHeight="1" x14ac:dyDescent="0.2">
      <c r="R51" s="561" t="e">
        <f ca="1">_xll.qlCalendarAdvance(Calendar,R50,"1D","f")</f>
        <v>#NAME?</v>
      </c>
      <c r="S51" s="560" t="e">
        <f ca="1">_xll.qlInterpolationInterpolate(B12Minterpolation,R51,TRUE)</f>
        <v>#NAME?</v>
      </c>
    </row>
    <row r="52" spans="18:19" ht="11.25" customHeight="1" x14ac:dyDescent="0.2">
      <c r="R52" s="561" t="e">
        <f ca="1">_xll.qlCalendarAdvance(Calendar,R51,"1D","f")</f>
        <v>#NAME?</v>
      </c>
      <c r="S52" s="560" t="e">
        <f ca="1">_xll.qlInterpolationInterpolate(B12Minterpolation,R52,TRUE)</f>
        <v>#NAME?</v>
      </c>
    </row>
    <row r="53" spans="18:19" x14ac:dyDescent="0.2">
      <c r="R53" s="561" t="e">
        <f ca="1">_xll.qlCalendarAdvance(Calendar,R52,"1D","f")</f>
        <v>#NAME?</v>
      </c>
      <c r="S53" s="560" t="e">
        <f ca="1">_xll.qlInterpolationInterpolate(B12Minterpolation,R53,TRUE)</f>
        <v>#NAME?</v>
      </c>
    </row>
    <row r="54" spans="18:19" x14ac:dyDescent="0.2">
      <c r="R54" s="561" t="e">
        <f ca="1">_xll.qlCalendarAdvance(Calendar,R53,"1D","f")</f>
        <v>#NAME?</v>
      </c>
      <c r="S54" s="560" t="e">
        <f ca="1">_xll.qlInterpolationInterpolate(B12Minterpolation,R54,TRUE)</f>
        <v>#NAME?</v>
      </c>
    </row>
    <row r="55" spans="18:19" x14ac:dyDescent="0.2">
      <c r="R55" s="561" t="e">
        <f ca="1">_xll.qlCalendarAdvance(Calendar,R54,"1D","f")</f>
        <v>#NAME?</v>
      </c>
      <c r="S55" s="560" t="e">
        <f ca="1">_xll.qlInterpolationInterpolate(B12Minterpolation,R55,TRUE)</f>
        <v>#NAME?</v>
      </c>
    </row>
    <row r="56" spans="18:19" x14ac:dyDescent="0.2">
      <c r="R56" s="561" t="e">
        <f ca="1">_xll.qlCalendarAdvance(Calendar,R55,"1D","f")</f>
        <v>#NAME?</v>
      </c>
      <c r="S56" s="560" t="e">
        <f ca="1">_xll.qlInterpolationInterpolate(B12Minterpolation,R56,TRUE)</f>
        <v>#NAME?</v>
      </c>
    </row>
    <row r="57" spans="18:19" x14ac:dyDescent="0.2">
      <c r="R57" s="561" t="e">
        <f ca="1">_xll.qlCalendarAdvance(Calendar,R56,"1D","f")</f>
        <v>#NAME?</v>
      </c>
      <c r="S57" s="560" t="e">
        <f ca="1">_xll.qlInterpolationInterpolate(B12Minterpolation,R57,TRUE)</f>
        <v>#NAME?</v>
      </c>
    </row>
    <row r="58" spans="18:19" x14ac:dyDescent="0.2">
      <c r="R58" s="561" t="e">
        <f ca="1">_xll.qlCalendarAdvance(Calendar,R57,"1D","f")</f>
        <v>#NAME?</v>
      </c>
      <c r="S58" s="560" t="e">
        <f ca="1">_xll.qlInterpolationInterpolate(B12Minterpolation,R58,TRUE)</f>
        <v>#NAME?</v>
      </c>
    </row>
    <row r="59" spans="18:19" x14ac:dyDescent="0.2">
      <c r="R59" s="561" t="e">
        <f ca="1">_xll.qlCalendarAdvance(Calendar,R58,"1D","f")</f>
        <v>#NAME?</v>
      </c>
      <c r="S59" s="560" t="e">
        <f ca="1">_xll.qlInterpolationInterpolate(B12Minterpolation,R59,TRUE)</f>
        <v>#NAME?</v>
      </c>
    </row>
    <row r="60" spans="18:19" x14ac:dyDescent="0.2">
      <c r="R60" s="561" t="e">
        <f ca="1">_xll.qlCalendarAdvance(Calendar,R59,"1D","f")</f>
        <v>#NAME?</v>
      </c>
      <c r="S60" s="560" t="e">
        <f ca="1">_xll.qlInterpolationInterpolate(B12Minterpolation,R60,TRUE)</f>
        <v>#NAME?</v>
      </c>
    </row>
    <row r="61" spans="18:19" x14ac:dyDescent="0.2">
      <c r="R61" s="561" t="e">
        <f ca="1">_xll.qlCalendarAdvance(Calendar,R60,"1D","f")</f>
        <v>#NAME?</v>
      </c>
      <c r="S61" s="560" t="e">
        <f ca="1">_xll.qlInterpolationInterpolate(B12Minterpolation,R61,TRUE)</f>
        <v>#NAME?</v>
      </c>
    </row>
    <row r="62" spans="18:19" x14ac:dyDescent="0.2">
      <c r="R62" s="561" t="e">
        <f ca="1">_xll.qlCalendarAdvance(Calendar,R61,"1D","f")</f>
        <v>#NAME?</v>
      </c>
      <c r="S62" s="560" t="e">
        <f ca="1">_xll.qlInterpolationInterpolate(B12Minterpolation,R62,TRUE)</f>
        <v>#NAME?</v>
      </c>
    </row>
    <row r="63" spans="18:19" x14ac:dyDescent="0.2">
      <c r="R63" s="561" t="e">
        <f ca="1">_xll.qlCalendarAdvance(Calendar,R62,"1D","f")</f>
        <v>#NAME?</v>
      </c>
      <c r="S63" s="560" t="e">
        <f ca="1">_xll.qlInterpolationInterpolate(B12Minterpolation,R63,TRUE)</f>
        <v>#NAME?</v>
      </c>
    </row>
    <row r="64" spans="18:19" x14ac:dyDescent="0.2">
      <c r="R64" s="561" t="e">
        <f ca="1">_xll.qlCalendarAdvance(Calendar,R63,"1D","f")</f>
        <v>#NAME?</v>
      </c>
      <c r="S64" s="560" t="e">
        <f ca="1">_xll.qlInterpolationInterpolate(B12Minterpolation,R64,TRUE)</f>
        <v>#NAME?</v>
      </c>
    </row>
    <row r="65" spans="18:19" x14ac:dyDescent="0.2">
      <c r="R65" s="561" t="e">
        <f ca="1">_xll.qlCalendarAdvance(Calendar,R64,"1D","f")</f>
        <v>#NAME?</v>
      </c>
      <c r="S65" s="560" t="e">
        <f ca="1">_xll.qlInterpolationInterpolate(B12Minterpolation,R65,TRUE)</f>
        <v>#NAME?</v>
      </c>
    </row>
    <row r="66" spans="18:19" x14ac:dyDescent="0.2">
      <c r="R66" s="561" t="e">
        <f ca="1">_xll.qlCalendarAdvance(Calendar,R65,"1D","f")</f>
        <v>#NAME?</v>
      </c>
      <c r="S66" s="560" t="e">
        <f ca="1">_xll.qlInterpolationInterpolate(B12Minterpolation,R66,TRUE)</f>
        <v>#NAME?</v>
      </c>
    </row>
    <row r="67" spans="18:19" x14ac:dyDescent="0.2">
      <c r="R67" s="561" t="e">
        <f ca="1">_xll.qlCalendarAdvance(Calendar,R66,"1D","f")</f>
        <v>#NAME?</v>
      </c>
      <c r="S67" s="560" t="e">
        <f ca="1">_xll.qlInterpolationInterpolate(B12Minterpolation,R67,TRUE)</f>
        <v>#NAME?</v>
      </c>
    </row>
    <row r="68" spans="18:19" x14ac:dyDescent="0.2">
      <c r="R68" s="561" t="e">
        <f ca="1">_xll.qlCalendarAdvance(Calendar,R67,"1D","f")</f>
        <v>#NAME?</v>
      </c>
      <c r="S68" s="560" t="e">
        <f ca="1">_xll.qlInterpolationInterpolate(B12Minterpolation,R68,TRUE)</f>
        <v>#NAME?</v>
      </c>
    </row>
    <row r="69" spans="18:19" x14ac:dyDescent="0.2">
      <c r="R69" s="561" t="e">
        <f ca="1">_xll.qlCalendarAdvance(Calendar,R68,"1D","f")</f>
        <v>#NAME?</v>
      </c>
      <c r="S69" s="560" t="e">
        <f ca="1">_xll.qlInterpolationInterpolate(B12Minterpolation,R69,TRUE)</f>
        <v>#NAME?</v>
      </c>
    </row>
    <row r="70" spans="18:19" x14ac:dyDescent="0.2">
      <c r="R70" s="561" t="e">
        <f ca="1">_xll.qlCalendarAdvance(Calendar,R69,"1D","f")</f>
        <v>#NAME?</v>
      </c>
      <c r="S70" s="560" t="e">
        <f ca="1">_xll.qlInterpolationInterpolate(B12Minterpolation,R70,TRUE)</f>
        <v>#NAME?</v>
      </c>
    </row>
    <row r="71" spans="18:19" x14ac:dyDescent="0.2">
      <c r="R71" s="561" t="e">
        <f ca="1">_xll.qlCalendarAdvance(Calendar,R70,"1D","f")</f>
        <v>#NAME?</v>
      </c>
      <c r="S71" s="560" t="e">
        <f ca="1">_xll.qlInterpolationInterpolate(B12Minterpolation,R71,TRUE)</f>
        <v>#NAME?</v>
      </c>
    </row>
    <row r="72" spans="18:19" x14ac:dyDescent="0.2">
      <c r="R72" s="561" t="e">
        <f ca="1">_xll.qlCalendarAdvance(Calendar,R71,"1D","f")</f>
        <v>#NAME?</v>
      </c>
      <c r="S72" s="560" t="e">
        <f ca="1">_xll.qlInterpolationInterpolate(B12Minterpolation,R72,TRUE)</f>
        <v>#NAME?</v>
      </c>
    </row>
    <row r="73" spans="18:19" x14ac:dyDescent="0.2">
      <c r="R73" s="561" t="e">
        <f ca="1">_xll.qlCalendarAdvance(Calendar,R72,"1D","f")</f>
        <v>#NAME?</v>
      </c>
      <c r="S73" s="560" t="e">
        <f ca="1">_xll.qlInterpolationInterpolate(B12Minterpolation,R73,TRUE)</f>
        <v>#NAME?</v>
      </c>
    </row>
    <row r="74" spans="18:19" x14ac:dyDescent="0.2">
      <c r="R74" s="561" t="e">
        <f ca="1">_xll.qlCalendarAdvance(Calendar,R73,"1D","f")</f>
        <v>#NAME?</v>
      </c>
      <c r="S74" s="560" t="e">
        <f ca="1">_xll.qlInterpolationInterpolate(B12Minterpolation,R74,TRUE)</f>
        <v>#NAME?</v>
      </c>
    </row>
    <row r="75" spans="18:19" x14ac:dyDescent="0.2">
      <c r="R75" s="561" t="e">
        <f ca="1">_xll.qlCalendarAdvance(Calendar,R74,"1D","f")</f>
        <v>#NAME?</v>
      </c>
      <c r="S75" s="560" t="e">
        <f ca="1">_xll.qlInterpolationInterpolate(B12Minterpolation,R75,TRUE)</f>
        <v>#NAME?</v>
      </c>
    </row>
    <row r="76" spans="18:19" x14ac:dyDescent="0.2">
      <c r="R76" s="561" t="e">
        <f ca="1">_xll.qlCalendarAdvance(Calendar,R75,"1D","f")</f>
        <v>#NAME?</v>
      </c>
      <c r="S76" s="560" t="e">
        <f ca="1">_xll.qlInterpolationInterpolate(B12Minterpolation,R76,TRUE)</f>
        <v>#NAME?</v>
      </c>
    </row>
    <row r="77" spans="18:19" x14ac:dyDescent="0.2">
      <c r="R77" s="561" t="e">
        <f ca="1">_xll.qlCalendarAdvance(Calendar,R76,"1D","f")</f>
        <v>#NAME?</v>
      </c>
      <c r="S77" s="560" t="e">
        <f ca="1">_xll.qlInterpolationInterpolate(B12Minterpolation,R77,TRUE)</f>
        <v>#NAME?</v>
      </c>
    </row>
    <row r="78" spans="18:19" x14ac:dyDescent="0.2">
      <c r="R78" s="561" t="e">
        <f ca="1">_xll.qlCalendarAdvance(Calendar,R77,"1D","f")</f>
        <v>#NAME?</v>
      </c>
      <c r="S78" s="560" t="e">
        <f ca="1">_xll.qlInterpolationInterpolate(B12Minterpolation,R78,TRUE)</f>
        <v>#NAME?</v>
      </c>
    </row>
    <row r="79" spans="18:19" x14ac:dyDescent="0.2">
      <c r="R79" s="561" t="e">
        <f ca="1">_xll.qlCalendarAdvance(Calendar,R78,"1D","f")</f>
        <v>#NAME?</v>
      </c>
      <c r="S79" s="560" t="e">
        <f ca="1">_xll.qlInterpolationInterpolate(B12Minterpolation,R79,TRUE)</f>
        <v>#NAME?</v>
      </c>
    </row>
    <row r="80" spans="18:19" x14ac:dyDescent="0.2">
      <c r="R80" s="561" t="e">
        <f ca="1">_xll.qlCalendarAdvance(Calendar,R79,"1D","f")</f>
        <v>#NAME?</v>
      </c>
      <c r="S80" s="560" t="e">
        <f ca="1">_xll.qlInterpolationInterpolate(B12Minterpolation,R80,TRUE)</f>
        <v>#NAME?</v>
      </c>
    </row>
    <row r="81" spans="18:19" x14ac:dyDescent="0.2">
      <c r="R81" s="561" t="e">
        <f ca="1">_xll.qlCalendarAdvance(Calendar,R80,"1D","f")</f>
        <v>#NAME?</v>
      </c>
      <c r="S81" s="560" t="e">
        <f ca="1">_xll.qlInterpolationInterpolate(B12Minterpolation,R81,TRUE)</f>
        <v>#NAME?</v>
      </c>
    </row>
    <row r="82" spans="18:19" x14ac:dyDescent="0.2">
      <c r="R82" s="561" t="e">
        <f ca="1">_xll.qlCalendarAdvance(Calendar,R81,"1D","f")</f>
        <v>#NAME?</v>
      </c>
      <c r="S82" s="560" t="e">
        <f ca="1">_xll.qlInterpolationInterpolate(B12Minterpolation,R82,TRUE)</f>
        <v>#NAME?</v>
      </c>
    </row>
    <row r="83" spans="18:19" x14ac:dyDescent="0.2">
      <c r="R83" s="561" t="e">
        <f ca="1">_xll.qlCalendarAdvance(Calendar,R82,"1D","f")</f>
        <v>#NAME?</v>
      </c>
      <c r="S83" s="560" t="e">
        <f ca="1">_xll.qlInterpolationInterpolate(B12Minterpolation,R83,TRUE)</f>
        <v>#NAME?</v>
      </c>
    </row>
    <row r="84" spans="18:19" x14ac:dyDescent="0.2">
      <c r="R84" s="561" t="e">
        <f ca="1">_xll.qlCalendarAdvance(Calendar,R83,"1D","f")</f>
        <v>#NAME?</v>
      </c>
      <c r="S84" s="560" t="e">
        <f ca="1">_xll.qlInterpolationInterpolate(B12Minterpolation,R84,TRUE)</f>
        <v>#NAME?</v>
      </c>
    </row>
    <row r="85" spans="18:19" x14ac:dyDescent="0.2">
      <c r="R85" s="561" t="e">
        <f ca="1">_xll.qlCalendarAdvance(Calendar,R84,"1D","f")</f>
        <v>#NAME?</v>
      </c>
      <c r="S85" s="560" t="e">
        <f ca="1">_xll.qlInterpolationInterpolate(B12Minterpolation,R85,TRUE)</f>
        <v>#NAME?</v>
      </c>
    </row>
    <row r="86" spans="18:19" x14ac:dyDescent="0.2">
      <c r="R86" s="561" t="e">
        <f ca="1">_xll.qlCalendarAdvance(Calendar,R85,"1D","f")</f>
        <v>#NAME?</v>
      </c>
      <c r="S86" s="560" t="e">
        <f ca="1">_xll.qlInterpolationInterpolate(B12Minterpolation,R86,TRUE)</f>
        <v>#NAME?</v>
      </c>
    </row>
    <row r="87" spans="18:19" x14ac:dyDescent="0.2">
      <c r="R87" s="561" t="e">
        <f ca="1">_xll.qlCalendarAdvance(Calendar,R86,"1D","f")</f>
        <v>#NAME?</v>
      </c>
      <c r="S87" s="560" t="e">
        <f ca="1">_xll.qlInterpolationInterpolate(B12Minterpolation,R87,TRUE)</f>
        <v>#NAME?</v>
      </c>
    </row>
    <row r="88" spans="18:19" x14ac:dyDescent="0.2">
      <c r="R88" s="561" t="e">
        <f ca="1">_xll.qlCalendarAdvance(Calendar,R87,"1D","f")</f>
        <v>#NAME?</v>
      </c>
      <c r="S88" s="560" t="e">
        <f ca="1">_xll.qlInterpolationInterpolate(B12Minterpolation,R88,TRUE)</f>
        <v>#NAME?</v>
      </c>
    </row>
    <row r="89" spans="18:19" x14ac:dyDescent="0.2">
      <c r="R89" s="561" t="e">
        <f ca="1">_xll.qlCalendarAdvance(Calendar,R88,"1D","f")</f>
        <v>#NAME?</v>
      </c>
      <c r="S89" s="560" t="e">
        <f ca="1">_xll.qlInterpolationInterpolate(B12Minterpolation,R89,TRUE)</f>
        <v>#NAME?</v>
      </c>
    </row>
    <row r="90" spans="18:19" x14ac:dyDescent="0.2">
      <c r="R90" s="561" t="e">
        <f ca="1">_xll.qlCalendarAdvance(Calendar,R89,"1D","f")</f>
        <v>#NAME?</v>
      </c>
      <c r="S90" s="560" t="e">
        <f ca="1">_xll.qlInterpolationInterpolate(B12Minterpolation,R90,TRUE)</f>
        <v>#NAME?</v>
      </c>
    </row>
    <row r="91" spans="18:19" x14ac:dyDescent="0.2">
      <c r="R91" s="561" t="e">
        <f ca="1">_xll.qlCalendarAdvance(Calendar,R90,"1D","f")</f>
        <v>#NAME?</v>
      </c>
      <c r="S91" s="560" t="e">
        <f ca="1">_xll.qlInterpolationInterpolate(B12Minterpolation,R91,TRUE)</f>
        <v>#NAME?</v>
      </c>
    </row>
    <row r="92" spans="18:19" x14ac:dyDescent="0.2">
      <c r="R92" s="561" t="e">
        <f ca="1">_xll.qlCalendarAdvance(Calendar,R91,"1D","f")</f>
        <v>#NAME?</v>
      </c>
      <c r="S92" s="560" t="e">
        <f ca="1">_xll.qlInterpolationInterpolate(B12Minterpolation,R92,TRUE)</f>
        <v>#NAME?</v>
      </c>
    </row>
    <row r="93" spans="18:19" x14ac:dyDescent="0.2">
      <c r="R93" s="561" t="e">
        <f ca="1">_xll.qlCalendarAdvance(Calendar,R92,"1D","f")</f>
        <v>#NAME?</v>
      </c>
      <c r="S93" s="560" t="e">
        <f ca="1">_xll.qlInterpolationInterpolate(B12Minterpolation,R93,TRUE)</f>
        <v>#NAME?</v>
      </c>
    </row>
    <row r="94" spans="18:19" x14ac:dyDescent="0.2">
      <c r="R94" s="561" t="e">
        <f ca="1">_xll.qlCalendarAdvance(Calendar,R93,"1D","f")</f>
        <v>#NAME?</v>
      </c>
      <c r="S94" s="560" t="e">
        <f ca="1">_xll.qlInterpolationInterpolate(B12Minterpolation,R94,TRUE)</f>
        <v>#NAME?</v>
      </c>
    </row>
    <row r="95" spans="18:19" x14ac:dyDescent="0.2">
      <c r="R95" s="561" t="e">
        <f ca="1">_xll.qlCalendarAdvance(Calendar,R94,"1D","f")</f>
        <v>#NAME?</v>
      </c>
      <c r="S95" s="560" t="e">
        <f ca="1">_xll.qlInterpolationInterpolate(B12Minterpolation,R95,TRUE)</f>
        <v>#NAME?</v>
      </c>
    </row>
    <row r="96" spans="18:19" x14ac:dyDescent="0.2">
      <c r="R96" s="561" t="e">
        <f ca="1">_xll.qlCalendarAdvance(Calendar,R95,"1D","f")</f>
        <v>#NAME?</v>
      </c>
      <c r="S96" s="560" t="e">
        <f ca="1">_xll.qlInterpolationInterpolate(B12Minterpolation,R96,TRUE)</f>
        <v>#NAME?</v>
      </c>
    </row>
    <row r="97" spans="18:19" x14ac:dyDescent="0.2">
      <c r="R97" s="561" t="e">
        <f ca="1">_xll.qlCalendarAdvance(Calendar,R96,"1D","f")</f>
        <v>#NAME?</v>
      </c>
      <c r="S97" s="560" t="e">
        <f ca="1">_xll.qlInterpolationInterpolate(B12Minterpolation,R97,TRUE)</f>
        <v>#NAME?</v>
      </c>
    </row>
    <row r="98" spans="18:19" x14ac:dyDescent="0.2">
      <c r="R98" s="561" t="e">
        <f ca="1">_xll.qlCalendarAdvance(Calendar,R97,"1D","f")</f>
        <v>#NAME?</v>
      </c>
      <c r="S98" s="560" t="e">
        <f ca="1">_xll.qlInterpolationInterpolate(B12Minterpolation,R98,TRUE)</f>
        <v>#NAME?</v>
      </c>
    </row>
    <row r="99" spans="18:19" x14ac:dyDescent="0.2">
      <c r="R99" s="561" t="e">
        <f ca="1">_xll.qlCalendarAdvance(Calendar,R98,"1D","f")</f>
        <v>#NAME?</v>
      </c>
      <c r="S99" s="560" t="e">
        <f ca="1">_xll.qlInterpolationInterpolate(B12Minterpolation,R99,TRUE)</f>
        <v>#NAME?</v>
      </c>
    </row>
    <row r="100" spans="18:19" x14ac:dyDescent="0.2">
      <c r="R100" s="561" t="e">
        <f ca="1">_xll.qlCalendarAdvance(Calendar,R99,"1D","f")</f>
        <v>#NAME?</v>
      </c>
      <c r="S100" s="560" t="e">
        <f ca="1">_xll.qlInterpolationInterpolate(B12Minterpolation,R100,TRUE)</f>
        <v>#NAME?</v>
      </c>
    </row>
    <row r="101" spans="18:19" x14ac:dyDescent="0.2">
      <c r="R101" s="561" t="e">
        <f ca="1">_xll.qlCalendarAdvance(Calendar,R100,"1D","f")</f>
        <v>#NAME?</v>
      </c>
      <c r="S101" s="560" t="e">
        <f ca="1">_xll.qlInterpolationInterpolate(B12Minterpolation,R101,TRUE)</f>
        <v>#NAME?</v>
      </c>
    </row>
    <row r="102" spans="18:19" x14ac:dyDescent="0.2">
      <c r="R102" s="561" t="e">
        <f ca="1">_xll.qlCalendarAdvance(Calendar,R101,"1D","f")</f>
        <v>#NAME?</v>
      </c>
      <c r="S102" s="560" t="e">
        <f ca="1">_xll.qlInterpolationInterpolate(B12Minterpolation,R102,TRUE)</f>
        <v>#NAME?</v>
      </c>
    </row>
    <row r="103" spans="18:19" x14ac:dyDescent="0.2">
      <c r="R103" s="561" t="e">
        <f ca="1">_xll.qlCalendarAdvance(Calendar,R102,"1D","f")</f>
        <v>#NAME?</v>
      </c>
      <c r="S103" s="560" t="e">
        <f ca="1">_xll.qlInterpolationInterpolate(B12Minterpolation,R103,TRUE)</f>
        <v>#NAME?</v>
      </c>
    </row>
    <row r="104" spans="18:19" x14ac:dyDescent="0.2">
      <c r="R104" s="561" t="e">
        <f ca="1">_xll.qlCalendarAdvance(Calendar,R103,"1D","f")</f>
        <v>#NAME?</v>
      </c>
      <c r="S104" s="560" t="e">
        <f ca="1">_xll.qlInterpolationInterpolate(B12Minterpolation,R104,TRUE)</f>
        <v>#NAME?</v>
      </c>
    </row>
    <row r="105" spans="18:19" x14ac:dyDescent="0.2">
      <c r="R105" s="561" t="e">
        <f ca="1">_xll.qlCalendarAdvance(Calendar,R104,"1D","f")</f>
        <v>#NAME?</v>
      </c>
      <c r="S105" s="560" t="e">
        <f ca="1">_xll.qlInterpolationInterpolate(B12Minterpolation,R105,TRUE)</f>
        <v>#NAME?</v>
      </c>
    </row>
    <row r="106" spans="18:19" x14ac:dyDescent="0.2">
      <c r="R106" s="561" t="e">
        <f ca="1">_xll.qlCalendarAdvance(Calendar,R105,"1D","f")</f>
        <v>#NAME?</v>
      </c>
      <c r="S106" s="560" t="e">
        <f ca="1">_xll.qlInterpolationInterpolate(B12Minterpolation,R106,TRUE)</f>
        <v>#NAME?</v>
      </c>
    </row>
    <row r="107" spans="18:19" x14ac:dyDescent="0.2">
      <c r="R107" s="561" t="e">
        <f ca="1">_xll.qlCalendarAdvance(Calendar,R106,"1D","f")</f>
        <v>#NAME?</v>
      </c>
      <c r="S107" s="560" t="e">
        <f ca="1">_xll.qlInterpolationInterpolate(B12Minterpolation,R107,TRUE)</f>
        <v>#NAME?</v>
      </c>
    </row>
    <row r="108" spans="18:19" x14ac:dyDescent="0.2">
      <c r="R108" s="561" t="e">
        <f ca="1">_xll.qlCalendarAdvance(Calendar,R107,"1D","f")</f>
        <v>#NAME?</v>
      </c>
      <c r="S108" s="560" t="e">
        <f ca="1">_xll.qlInterpolationInterpolate(B12Minterpolation,R108,TRUE)</f>
        <v>#NAME?</v>
      </c>
    </row>
    <row r="109" spans="18:19" x14ac:dyDescent="0.2">
      <c r="R109" s="561" t="e">
        <f ca="1">_xll.qlCalendarAdvance(Calendar,R108,"1D","f")</f>
        <v>#NAME?</v>
      </c>
      <c r="S109" s="560" t="e">
        <f ca="1">_xll.qlInterpolationInterpolate(B12Minterpolation,R109,TRUE)</f>
        <v>#NAME?</v>
      </c>
    </row>
    <row r="110" spans="18:19" x14ac:dyDescent="0.2">
      <c r="R110" s="561" t="e">
        <f ca="1">_xll.qlCalendarAdvance(Calendar,R109,"1D","f")</f>
        <v>#NAME?</v>
      </c>
      <c r="S110" s="560" t="e">
        <f ca="1">_xll.qlInterpolationInterpolate(B12Minterpolation,R110,TRUE)</f>
        <v>#NAME?</v>
      </c>
    </row>
    <row r="111" spans="18:19" x14ac:dyDescent="0.2">
      <c r="R111" s="561" t="e">
        <f ca="1">_xll.qlCalendarAdvance(Calendar,R110,"1D","f")</f>
        <v>#NAME?</v>
      </c>
      <c r="S111" s="560" t="e">
        <f ca="1">_xll.qlInterpolationInterpolate(B12Minterpolation,R111,TRUE)</f>
        <v>#NAME?</v>
      </c>
    </row>
    <row r="112" spans="18:19" x14ac:dyDescent="0.2">
      <c r="R112" s="561" t="e">
        <f ca="1">_xll.qlCalendarAdvance(Calendar,R111,"1D","f")</f>
        <v>#NAME?</v>
      </c>
      <c r="S112" s="560" t="e">
        <f ca="1">_xll.qlInterpolationInterpolate(B12Minterpolation,R112,TRUE)</f>
        <v>#NAME?</v>
      </c>
    </row>
    <row r="113" spans="18:19" x14ac:dyDescent="0.2">
      <c r="R113" s="561" t="e">
        <f ca="1">_xll.qlCalendarAdvance(Calendar,R112,"1D","f")</f>
        <v>#NAME?</v>
      </c>
      <c r="S113" s="560" t="e">
        <f ca="1">_xll.qlInterpolationInterpolate(B12Minterpolation,R113,TRUE)</f>
        <v>#NAME?</v>
      </c>
    </row>
    <row r="114" spans="18:19" x14ac:dyDescent="0.2">
      <c r="R114" s="561" t="e">
        <f ca="1">_xll.qlCalendarAdvance(Calendar,R113,"1D","f")</f>
        <v>#NAME?</v>
      </c>
      <c r="S114" s="560" t="e">
        <f ca="1">_xll.qlInterpolationInterpolate(B12Minterpolation,R114,TRUE)</f>
        <v>#NAME?</v>
      </c>
    </row>
    <row r="115" spans="18:19" x14ac:dyDescent="0.2">
      <c r="R115" s="561" t="e">
        <f ca="1">_xll.qlCalendarAdvance(Calendar,R114,"1D","f")</f>
        <v>#NAME?</v>
      </c>
      <c r="S115" s="560" t="e">
        <f ca="1">_xll.qlInterpolationInterpolate(B12Minterpolation,R115,TRUE)</f>
        <v>#NAME?</v>
      </c>
    </row>
    <row r="116" spans="18:19" x14ac:dyDescent="0.2">
      <c r="R116" s="561" t="e">
        <f ca="1">_xll.qlCalendarAdvance(Calendar,R115,"1D","f")</f>
        <v>#NAME?</v>
      </c>
      <c r="S116" s="560" t="e">
        <f ca="1">_xll.qlInterpolationInterpolate(B12Minterpolation,R116,TRUE)</f>
        <v>#NAME?</v>
      </c>
    </row>
    <row r="117" spans="18:19" x14ac:dyDescent="0.2">
      <c r="R117" s="561" t="e">
        <f ca="1">_xll.qlCalendarAdvance(Calendar,R116,"1D","f")</f>
        <v>#NAME?</v>
      </c>
      <c r="S117" s="560" t="e">
        <f ca="1">_xll.qlInterpolationInterpolate(B12Minterpolation,R117,TRUE)</f>
        <v>#NAME?</v>
      </c>
    </row>
    <row r="118" spans="18:19" x14ac:dyDescent="0.2">
      <c r="R118" s="561" t="e">
        <f ca="1">_xll.qlCalendarAdvance(Calendar,R117,"1D","f")</f>
        <v>#NAME?</v>
      </c>
      <c r="S118" s="560" t="e">
        <f ca="1">_xll.qlInterpolationInterpolate(B12Minterpolation,R118,TRUE)</f>
        <v>#NAME?</v>
      </c>
    </row>
    <row r="119" spans="18:19" x14ac:dyDescent="0.2">
      <c r="R119" s="561" t="e">
        <f ca="1">_xll.qlCalendarAdvance(Calendar,R118,"1D","f")</f>
        <v>#NAME?</v>
      </c>
      <c r="S119" s="560" t="e">
        <f ca="1">_xll.qlInterpolationInterpolate(B12Minterpolation,R119,TRUE)</f>
        <v>#NAME?</v>
      </c>
    </row>
    <row r="120" spans="18:19" x14ac:dyDescent="0.2">
      <c r="R120" s="561" t="e">
        <f ca="1">_xll.qlCalendarAdvance(Calendar,R119,"1D","f")</f>
        <v>#NAME?</v>
      </c>
      <c r="S120" s="560" t="e">
        <f ca="1">_xll.qlInterpolationInterpolate(B12Minterpolation,R120,TRUE)</f>
        <v>#NAME?</v>
      </c>
    </row>
    <row r="121" spans="18:19" x14ac:dyDescent="0.2">
      <c r="R121" s="561" t="e">
        <f ca="1">_xll.qlCalendarAdvance(Calendar,R120,"1D","f")</f>
        <v>#NAME?</v>
      </c>
      <c r="S121" s="560" t="e">
        <f ca="1">_xll.qlInterpolationInterpolate(B12Minterpolation,R121,TRUE)</f>
        <v>#NAME?</v>
      </c>
    </row>
    <row r="122" spans="18:19" x14ac:dyDescent="0.2">
      <c r="R122" s="561" t="e">
        <f ca="1">_xll.qlCalendarAdvance(Calendar,R121,"1D","f")</f>
        <v>#NAME?</v>
      </c>
      <c r="S122" s="560" t="e">
        <f ca="1">_xll.qlInterpolationInterpolate(B12Minterpolation,R122,TRUE)</f>
        <v>#NAME?</v>
      </c>
    </row>
    <row r="123" spans="18:19" x14ac:dyDescent="0.2">
      <c r="R123" s="561" t="e">
        <f ca="1">_xll.qlCalendarAdvance(Calendar,R122,"1D","f")</f>
        <v>#NAME?</v>
      </c>
      <c r="S123" s="560" t="e">
        <f ca="1">_xll.qlInterpolationInterpolate(B12Minterpolation,R123,TRUE)</f>
        <v>#NAME?</v>
      </c>
    </row>
    <row r="124" spans="18:19" x14ac:dyDescent="0.2">
      <c r="R124" s="561" t="e">
        <f ca="1">_xll.qlCalendarAdvance(Calendar,R123,"1D","f")</f>
        <v>#NAME?</v>
      </c>
      <c r="S124" s="560" t="e">
        <f ca="1">_xll.qlInterpolationInterpolate(B12Minterpolation,R124,TRUE)</f>
        <v>#NAME?</v>
      </c>
    </row>
    <row r="125" spans="18:19" x14ac:dyDescent="0.2">
      <c r="R125" s="561" t="e">
        <f ca="1">_xll.qlCalendarAdvance(Calendar,R124,"1D","f")</f>
        <v>#NAME?</v>
      </c>
      <c r="S125" s="560" t="e">
        <f ca="1">_xll.qlInterpolationInterpolate(B12Minterpolation,R125,TRUE)</f>
        <v>#NAME?</v>
      </c>
    </row>
    <row r="126" spans="18:19" x14ac:dyDescent="0.2">
      <c r="R126" s="561" t="e">
        <f ca="1">_xll.qlCalendarAdvance(Calendar,R125,"1D","f")</f>
        <v>#NAME?</v>
      </c>
      <c r="S126" s="560" t="e">
        <f ca="1">_xll.qlInterpolationInterpolate(B12Minterpolation,R126,TRUE)</f>
        <v>#NAME?</v>
      </c>
    </row>
    <row r="127" spans="18:19" x14ac:dyDescent="0.2">
      <c r="R127" s="561" t="e">
        <f ca="1">_xll.qlCalendarAdvance(Calendar,R126,"1D","f")</f>
        <v>#NAME?</v>
      </c>
      <c r="S127" s="560" t="e">
        <f ca="1">_xll.qlInterpolationInterpolate(B12Minterpolation,R127,TRUE)</f>
        <v>#NAME?</v>
      </c>
    </row>
    <row r="128" spans="18:19" x14ac:dyDescent="0.2">
      <c r="R128" s="561" t="e">
        <f ca="1">_xll.qlCalendarAdvance(Calendar,R127,"1D","f")</f>
        <v>#NAME?</v>
      </c>
      <c r="S128" s="560" t="e">
        <f ca="1">_xll.qlInterpolationInterpolate(B12Minterpolation,R128,TRUE)</f>
        <v>#NAME?</v>
      </c>
    </row>
    <row r="129" spans="18:19" x14ac:dyDescent="0.2">
      <c r="R129" s="561" t="e">
        <f ca="1">_xll.qlCalendarAdvance(Calendar,R128,"1D","f")</f>
        <v>#NAME?</v>
      </c>
      <c r="S129" s="560" t="e">
        <f ca="1">_xll.qlInterpolationInterpolate(B12Minterpolation,R129,TRUE)</f>
        <v>#NAME?</v>
      </c>
    </row>
    <row r="130" spans="18:19" x14ac:dyDescent="0.2">
      <c r="R130" s="561" t="e">
        <f ca="1">_xll.qlCalendarAdvance(Calendar,R129,"1D","f")</f>
        <v>#NAME?</v>
      </c>
      <c r="S130" s="560" t="e">
        <f ca="1">_xll.qlInterpolationInterpolate(B12Minterpolation,R130,TRUE)</f>
        <v>#NAME?</v>
      </c>
    </row>
    <row r="131" spans="18:19" x14ac:dyDescent="0.2">
      <c r="R131" s="561" t="e">
        <f ca="1">_xll.qlCalendarAdvance(Calendar,R130,"1D","f")</f>
        <v>#NAME?</v>
      </c>
      <c r="S131" s="560" t="e">
        <f ca="1">_xll.qlInterpolationInterpolate(B12Minterpolation,R131,TRUE)</f>
        <v>#NAME?</v>
      </c>
    </row>
    <row r="132" spans="18:19" x14ac:dyDescent="0.2">
      <c r="R132" s="561" t="e">
        <f ca="1">_xll.qlCalendarAdvance(Calendar,R131,"1D","f")</f>
        <v>#NAME?</v>
      </c>
      <c r="S132" s="560" t="e">
        <f ca="1">_xll.qlInterpolationInterpolate(B12Minterpolation,R132,TRUE)</f>
        <v>#NAME?</v>
      </c>
    </row>
    <row r="133" spans="18:19" x14ac:dyDescent="0.2">
      <c r="R133" s="561" t="e">
        <f ca="1">_xll.qlCalendarAdvance(Calendar,R132,"1D","f")</f>
        <v>#NAME?</v>
      </c>
      <c r="S133" s="560" t="e">
        <f ca="1">_xll.qlInterpolationInterpolate(B12Minterpolation,R133,TRUE)</f>
        <v>#NAME?</v>
      </c>
    </row>
    <row r="134" spans="18:19" x14ac:dyDescent="0.2">
      <c r="R134" s="561" t="e">
        <f ca="1">_xll.qlCalendarAdvance(Calendar,R133,"1D","f")</f>
        <v>#NAME?</v>
      </c>
      <c r="S134" s="560" t="e">
        <f ca="1">_xll.qlInterpolationInterpolate(B12Minterpolation,R134,TRUE)</f>
        <v>#NAME?</v>
      </c>
    </row>
    <row r="135" spans="18:19" x14ac:dyDescent="0.2">
      <c r="R135" s="561" t="e">
        <f ca="1">_xll.qlCalendarAdvance(Calendar,R134,"1D","f")</f>
        <v>#NAME?</v>
      </c>
      <c r="S135" s="560" t="e">
        <f ca="1">_xll.qlInterpolationInterpolate(B12Minterpolation,R135,TRUE)</f>
        <v>#NAME?</v>
      </c>
    </row>
    <row r="136" spans="18:19" x14ac:dyDescent="0.2">
      <c r="R136" s="561" t="e">
        <f ca="1">_xll.qlCalendarAdvance(Calendar,R135,"1D","f")</f>
        <v>#NAME?</v>
      </c>
      <c r="S136" s="560" t="e">
        <f ca="1">_xll.qlInterpolationInterpolate(B12Minterpolation,R136,TRUE)</f>
        <v>#NAME?</v>
      </c>
    </row>
    <row r="137" spans="18:19" x14ac:dyDescent="0.2">
      <c r="R137" s="561" t="e">
        <f ca="1">_xll.qlCalendarAdvance(Calendar,R136,"1D","f")</f>
        <v>#NAME?</v>
      </c>
      <c r="S137" s="560" t="e">
        <f ca="1">_xll.qlInterpolationInterpolate(B12Minterpolation,R137,TRUE)</f>
        <v>#NAME?</v>
      </c>
    </row>
    <row r="138" spans="18:19" x14ac:dyDescent="0.2">
      <c r="R138" s="561" t="e">
        <f ca="1">_xll.qlCalendarAdvance(Calendar,R137,"1D","f")</f>
        <v>#NAME?</v>
      </c>
      <c r="S138" s="560" t="e">
        <f ca="1">_xll.qlInterpolationInterpolate(B12Minterpolation,R138,TRUE)</f>
        <v>#NAME?</v>
      </c>
    </row>
    <row r="139" spans="18:19" x14ac:dyDescent="0.2">
      <c r="R139" s="561" t="e">
        <f ca="1">_xll.qlCalendarAdvance(Calendar,R138,"1D","f")</f>
        <v>#NAME?</v>
      </c>
      <c r="S139" s="560" t="e">
        <f ca="1">_xll.qlInterpolationInterpolate(B12Minterpolation,R139,TRUE)</f>
        <v>#NAME?</v>
      </c>
    </row>
    <row r="140" spans="18:19" x14ac:dyDescent="0.2">
      <c r="R140" s="561" t="e">
        <f ca="1">_xll.qlCalendarAdvance(Calendar,R139,"1D","f")</f>
        <v>#NAME?</v>
      </c>
      <c r="S140" s="560" t="e">
        <f ca="1">_xll.qlInterpolationInterpolate(B12Minterpolation,R140,TRUE)</f>
        <v>#NAME?</v>
      </c>
    </row>
    <row r="141" spans="18:19" x14ac:dyDescent="0.2">
      <c r="R141" s="561" t="e">
        <f ca="1">_xll.qlCalendarAdvance(Calendar,R140,"1D","f")</f>
        <v>#NAME?</v>
      </c>
      <c r="S141" s="560" t="e">
        <f ca="1">_xll.qlInterpolationInterpolate(B12Minterpolation,R141,TRUE)</f>
        <v>#NAME?</v>
      </c>
    </row>
    <row r="142" spans="18:19" x14ac:dyDescent="0.2">
      <c r="R142" s="561" t="e">
        <f ca="1">_xll.qlCalendarAdvance(Calendar,R141,"1D","f")</f>
        <v>#NAME?</v>
      </c>
      <c r="S142" s="560" t="e">
        <f ca="1">_xll.qlInterpolationInterpolate(B12Minterpolation,R142,TRUE)</f>
        <v>#NAME?</v>
      </c>
    </row>
    <row r="143" spans="18:19" x14ac:dyDescent="0.2">
      <c r="R143" s="561" t="e">
        <f ca="1">_xll.qlCalendarAdvance(Calendar,R142,"1D","f")</f>
        <v>#NAME?</v>
      </c>
      <c r="S143" s="560" t="e">
        <f ca="1">_xll.qlInterpolationInterpolate(B12Minterpolation,R143,TRUE)</f>
        <v>#NAME?</v>
      </c>
    </row>
    <row r="144" spans="18:19" x14ac:dyDescent="0.2">
      <c r="R144" s="561" t="e">
        <f ca="1">_xll.qlCalendarAdvance(Calendar,R143,"1D","f")</f>
        <v>#NAME?</v>
      </c>
      <c r="S144" s="560" t="e">
        <f ca="1">_xll.qlInterpolationInterpolate(B12Minterpolation,R144,TRUE)</f>
        <v>#NAME?</v>
      </c>
    </row>
    <row r="145" spans="18:19" x14ac:dyDescent="0.2">
      <c r="R145" s="561" t="e">
        <f ca="1">_xll.qlCalendarAdvance(Calendar,R144,"1D","f")</f>
        <v>#NAME?</v>
      </c>
      <c r="S145" s="560" t="e">
        <f ca="1">_xll.qlInterpolationInterpolate(B12Minterpolation,R145,TRUE)</f>
        <v>#NAME?</v>
      </c>
    </row>
    <row r="146" spans="18:19" x14ac:dyDescent="0.2">
      <c r="R146" s="561" t="e">
        <f ca="1">_xll.qlCalendarAdvance(Calendar,R145,"1D","f")</f>
        <v>#NAME?</v>
      </c>
      <c r="S146" s="560" t="e">
        <f ca="1">_xll.qlInterpolationInterpolate(B12Minterpolation,R146,TRUE)</f>
        <v>#NAME?</v>
      </c>
    </row>
    <row r="147" spans="18:19" x14ac:dyDescent="0.2">
      <c r="R147" s="561" t="e">
        <f ca="1">_xll.qlCalendarAdvance(Calendar,R146,"1D","f")</f>
        <v>#NAME?</v>
      </c>
      <c r="S147" s="560" t="e">
        <f ca="1">_xll.qlInterpolationInterpolate(B12Minterpolation,R147,TRUE)</f>
        <v>#NAME?</v>
      </c>
    </row>
    <row r="148" spans="18:19" x14ac:dyDescent="0.2">
      <c r="R148" s="561" t="e">
        <f ca="1">_xll.qlCalendarAdvance(Calendar,R147,"1D","f")</f>
        <v>#NAME?</v>
      </c>
      <c r="S148" s="560" t="e">
        <f ca="1">_xll.qlInterpolationInterpolate(B12Minterpolation,R148,TRUE)</f>
        <v>#NAME?</v>
      </c>
    </row>
    <row r="149" spans="18:19" x14ac:dyDescent="0.2">
      <c r="R149" s="561" t="e">
        <f ca="1">_xll.qlCalendarAdvance(Calendar,R148,"1D","f")</f>
        <v>#NAME?</v>
      </c>
      <c r="S149" s="560" t="e">
        <f ca="1">_xll.qlInterpolationInterpolate(B12Minterpolation,R149,TRUE)</f>
        <v>#NAME?</v>
      </c>
    </row>
    <row r="150" spans="18:19" x14ac:dyDescent="0.2">
      <c r="R150" s="561" t="e">
        <f ca="1">_xll.qlCalendarAdvance(Calendar,R149,"1D","f")</f>
        <v>#NAME?</v>
      </c>
      <c r="S150" s="560" t="e">
        <f ca="1">_xll.qlInterpolationInterpolate(B12Minterpolation,R150,TRUE)</f>
        <v>#NAME?</v>
      </c>
    </row>
    <row r="151" spans="18:19" x14ac:dyDescent="0.2">
      <c r="R151" s="561" t="e">
        <f ca="1">_xll.qlCalendarAdvance(Calendar,R150,"1D","f")</f>
        <v>#NAME?</v>
      </c>
      <c r="S151" s="560" t="e">
        <f ca="1">_xll.qlInterpolationInterpolate(B12Minterpolation,R151,TRUE)</f>
        <v>#NAME?</v>
      </c>
    </row>
    <row r="152" spans="18:19" x14ac:dyDescent="0.2">
      <c r="R152" s="561" t="e">
        <f ca="1">_xll.qlCalendarAdvance(Calendar,R151,"1D","f")</f>
        <v>#NAME?</v>
      </c>
      <c r="S152" s="560" t="e">
        <f ca="1">_xll.qlInterpolationInterpolate(B12Minterpolation,R152,TRUE)</f>
        <v>#NAME?</v>
      </c>
    </row>
    <row r="153" spans="18:19" x14ac:dyDescent="0.2">
      <c r="R153" s="561" t="e">
        <f ca="1">_xll.qlCalendarAdvance(Calendar,R152,"1D","f")</f>
        <v>#NAME?</v>
      </c>
      <c r="S153" s="560" t="e">
        <f ca="1">_xll.qlInterpolationInterpolate(B12Minterpolation,R153,TRUE)</f>
        <v>#NAME?</v>
      </c>
    </row>
    <row r="154" spans="18:19" x14ac:dyDescent="0.2">
      <c r="R154" s="561" t="e">
        <f ca="1">_xll.qlCalendarAdvance(Calendar,R153,"1D","f")</f>
        <v>#NAME?</v>
      </c>
      <c r="S154" s="560" t="e">
        <f ca="1">_xll.qlInterpolationInterpolate(B12Minterpolation,R154,TRUE)</f>
        <v>#NAME?</v>
      </c>
    </row>
    <row r="155" spans="18:19" x14ac:dyDescent="0.2">
      <c r="R155" s="561" t="e">
        <f ca="1">_xll.qlCalendarAdvance(Calendar,R154,"1D","f")</f>
        <v>#NAME?</v>
      </c>
      <c r="S155" s="560" t="e">
        <f ca="1">_xll.qlInterpolationInterpolate(B12Minterpolation,R155,TRUE)</f>
        <v>#NAME?</v>
      </c>
    </row>
    <row r="156" spans="18:19" x14ac:dyDescent="0.2">
      <c r="R156" s="561" t="e">
        <f ca="1">_xll.qlCalendarAdvance(Calendar,R155,"1D","f")</f>
        <v>#NAME?</v>
      </c>
      <c r="S156" s="560" t="e">
        <f ca="1">_xll.qlInterpolationInterpolate(B12Minterpolation,R156,TRUE)</f>
        <v>#NAME?</v>
      </c>
    </row>
    <row r="157" spans="18:19" x14ac:dyDescent="0.2">
      <c r="R157" s="561" t="e">
        <f ca="1">_xll.qlCalendarAdvance(Calendar,R156,"1D","f")</f>
        <v>#NAME?</v>
      </c>
      <c r="S157" s="560" t="e">
        <f ca="1">_xll.qlInterpolationInterpolate(B12Minterpolation,R157,TRUE)</f>
        <v>#NAME?</v>
      </c>
    </row>
    <row r="158" spans="18:19" x14ac:dyDescent="0.2">
      <c r="R158" s="561" t="e">
        <f ca="1">_xll.qlCalendarAdvance(Calendar,R157,"1D","f")</f>
        <v>#NAME?</v>
      </c>
      <c r="S158" s="560" t="e">
        <f ca="1">_xll.qlInterpolationInterpolate(B12Minterpolation,R158,TRUE)</f>
        <v>#NAME?</v>
      </c>
    </row>
    <row r="159" spans="18:19" x14ac:dyDescent="0.2">
      <c r="R159" s="561" t="e">
        <f ca="1">_xll.qlCalendarAdvance(Calendar,R158,"1D","f")</f>
        <v>#NAME?</v>
      </c>
      <c r="S159" s="560" t="e">
        <f ca="1">_xll.qlInterpolationInterpolate(B12Minterpolation,R159,TRUE)</f>
        <v>#NAME?</v>
      </c>
    </row>
    <row r="160" spans="18:19" x14ac:dyDescent="0.2">
      <c r="R160" s="561" t="e">
        <f ca="1">_xll.qlCalendarAdvance(Calendar,R159,"1D","f")</f>
        <v>#NAME?</v>
      </c>
      <c r="S160" s="560" t="e">
        <f ca="1">_xll.qlInterpolationInterpolate(B12Minterpolation,R160,TRUE)</f>
        <v>#NAME?</v>
      </c>
    </row>
    <row r="161" spans="18:19" x14ac:dyDescent="0.2">
      <c r="R161" s="561" t="e">
        <f ca="1">_xll.qlCalendarAdvance(Calendar,R160,"1D","f")</f>
        <v>#NAME?</v>
      </c>
      <c r="S161" s="560" t="e">
        <f ca="1">_xll.qlInterpolationInterpolate(B12Minterpolation,R161,TRUE)</f>
        <v>#NAME?</v>
      </c>
    </row>
    <row r="162" spans="18:19" x14ac:dyDescent="0.2">
      <c r="R162" s="561" t="e">
        <f ca="1">_xll.qlCalendarAdvance(Calendar,R161,"1D","f")</f>
        <v>#NAME?</v>
      </c>
      <c r="S162" s="560" t="e">
        <f ca="1">_xll.qlInterpolationInterpolate(B12Minterpolation,R162,TRUE)</f>
        <v>#NAME?</v>
      </c>
    </row>
    <row r="163" spans="18:19" x14ac:dyDescent="0.2">
      <c r="R163" s="561" t="e">
        <f ca="1">_xll.qlCalendarAdvance(Calendar,R162,"1D","f")</f>
        <v>#NAME?</v>
      </c>
      <c r="S163" s="560" t="e">
        <f ca="1">_xll.qlInterpolationInterpolate(B12Minterpolation,R163,TRUE)</f>
        <v>#NAME?</v>
      </c>
    </row>
    <row r="164" spans="18:19" x14ac:dyDescent="0.2">
      <c r="R164" s="561" t="e">
        <f ca="1">_xll.qlCalendarAdvance(Calendar,R163,"1D","f")</f>
        <v>#NAME?</v>
      </c>
      <c r="S164" s="560" t="e">
        <f ca="1">_xll.qlInterpolationInterpolate(B12Minterpolation,R164,TRUE)</f>
        <v>#NAME?</v>
      </c>
    </row>
    <row r="165" spans="18:19" x14ac:dyDescent="0.2">
      <c r="R165" s="561" t="e">
        <f ca="1">_xll.qlCalendarAdvance(Calendar,R164,"1D","f")</f>
        <v>#NAME?</v>
      </c>
      <c r="S165" s="560" t="e">
        <f ca="1">_xll.qlInterpolationInterpolate(B12Minterpolation,R165,TRUE)</f>
        <v>#NAME?</v>
      </c>
    </row>
    <row r="166" spans="18:19" x14ac:dyDescent="0.2">
      <c r="R166" s="561" t="e">
        <f ca="1">_xll.qlCalendarAdvance(Calendar,R165,"1D","f")</f>
        <v>#NAME?</v>
      </c>
      <c r="S166" s="560" t="e">
        <f ca="1">_xll.qlInterpolationInterpolate(B12Minterpolation,R166,TRUE)</f>
        <v>#NAME?</v>
      </c>
    </row>
    <row r="167" spans="18:19" x14ac:dyDescent="0.2">
      <c r="R167" s="561" t="e">
        <f ca="1">_xll.qlCalendarAdvance(Calendar,R166,"1D","f")</f>
        <v>#NAME?</v>
      </c>
      <c r="S167" s="560" t="e">
        <f ca="1">_xll.qlInterpolationInterpolate(B12Minterpolation,R167,TRUE)</f>
        <v>#NAME?</v>
      </c>
    </row>
    <row r="168" spans="18:19" x14ac:dyDescent="0.2">
      <c r="R168" s="561" t="e">
        <f ca="1">_xll.qlCalendarAdvance(Calendar,R167,"1D","f")</f>
        <v>#NAME?</v>
      </c>
      <c r="S168" s="560" t="e">
        <f ca="1">_xll.qlInterpolationInterpolate(B12Minterpolation,R168,TRUE)</f>
        <v>#NAME?</v>
      </c>
    </row>
    <row r="169" spans="18:19" x14ac:dyDescent="0.2">
      <c r="R169" s="561" t="e">
        <f ca="1">_xll.qlCalendarAdvance(Calendar,R168,"1D","f")</f>
        <v>#NAME?</v>
      </c>
      <c r="S169" s="560" t="e">
        <f ca="1">_xll.qlInterpolationInterpolate(B12Minterpolation,R169,TRUE)</f>
        <v>#NAME?</v>
      </c>
    </row>
    <row r="170" spans="18:19" x14ac:dyDescent="0.2">
      <c r="R170" s="561" t="e">
        <f ca="1">_xll.qlCalendarAdvance(Calendar,R169,"1D","f")</f>
        <v>#NAME?</v>
      </c>
      <c r="S170" s="560" t="e">
        <f ca="1">_xll.qlInterpolationInterpolate(B12Minterpolation,R170,TRUE)</f>
        <v>#NAME?</v>
      </c>
    </row>
    <row r="171" spans="18:19" x14ac:dyDescent="0.2">
      <c r="R171" s="561" t="e">
        <f ca="1">_xll.qlCalendarAdvance(Calendar,R170,"1D","f")</f>
        <v>#NAME?</v>
      </c>
      <c r="S171" s="560" t="e">
        <f ca="1">_xll.qlInterpolationInterpolate(B12Minterpolation,R171,TRUE)</f>
        <v>#NAME?</v>
      </c>
    </row>
    <row r="172" spans="18:19" x14ac:dyDescent="0.2">
      <c r="R172" s="561" t="e">
        <f ca="1">_xll.qlCalendarAdvance(Calendar,R171,"1D","f")</f>
        <v>#NAME?</v>
      </c>
      <c r="S172" s="560" t="e">
        <f ca="1">_xll.qlInterpolationInterpolate(B12Minterpolation,R172,TRUE)</f>
        <v>#NAME?</v>
      </c>
    </row>
    <row r="173" spans="18:19" x14ac:dyDescent="0.2">
      <c r="R173" s="561" t="e">
        <f ca="1">_xll.qlCalendarAdvance(Calendar,R172,"1D","f")</f>
        <v>#NAME?</v>
      </c>
      <c r="S173" s="560" t="e">
        <f ca="1">_xll.qlInterpolationInterpolate(B12Minterpolation,R173,TRUE)</f>
        <v>#NAME?</v>
      </c>
    </row>
    <row r="174" spans="18:19" x14ac:dyDescent="0.2">
      <c r="R174" s="561" t="e">
        <f ca="1">_xll.qlCalendarAdvance(Calendar,R173,"1D","f")</f>
        <v>#NAME?</v>
      </c>
      <c r="S174" s="560" t="e">
        <f ca="1">_xll.qlInterpolationInterpolate(B12Minterpolation,R174,TRUE)</f>
        <v>#NAME?</v>
      </c>
    </row>
    <row r="175" spans="18:19" x14ac:dyDescent="0.2">
      <c r="R175" s="561" t="e">
        <f ca="1">_xll.qlCalendarAdvance(Calendar,R174,"1D","f")</f>
        <v>#NAME?</v>
      </c>
      <c r="S175" s="560" t="e">
        <f ca="1">_xll.qlInterpolationInterpolate(B12Minterpolation,R175,TRUE)</f>
        <v>#NAME?</v>
      </c>
    </row>
    <row r="176" spans="18:19" x14ac:dyDescent="0.2">
      <c r="R176" s="561" t="e">
        <f ca="1">_xll.qlCalendarAdvance(Calendar,R175,"1D","f")</f>
        <v>#NAME?</v>
      </c>
      <c r="S176" s="560" t="e">
        <f ca="1">_xll.qlInterpolationInterpolate(B12Minterpolation,R176,TRUE)</f>
        <v>#NAME?</v>
      </c>
    </row>
    <row r="177" spans="18:19" x14ac:dyDescent="0.2">
      <c r="R177" s="561" t="e">
        <f ca="1">_xll.qlCalendarAdvance(Calendar,R176,"1D","f")</f>
        <v>#NAME?</v>
      </c>
      <c r="S177" s="560" t="e">
        <f ca="1">_xll.qlInterpolationInterpolate(B12Minterpolation,R177,TRUE)</f>
        <v>#NAME?</v>
      </c>
    </row>
    <row r="178" spans="18:19" x14ac:dyDescent="0.2">
      <c r="R178" s="561" t="e">
        <f ca="1">_xll.qlCalendarAdvance(Calendar,R177,"1D","f")</f>
        <v>#NAME?</v>
      </c>
      <c r="S178" s="560" t="e">
        <f ca="1">_xll.qlInterpolationInterpolate(B12Minterpolation,R178,TRUE)</f>
        <v>#NAME?</v>
      </c>
    </row>
    <row r="179" spans="18:19" x14ac:dyDescent="0.2">
      <c r="R179" s="561" t="e">
        <f ca="1">_xll.qlCalendarAdvance(Calendar,R178,"1D","f")</f>
        <v>#NAME?</v>
      </c>
      <c r="S179" s="560" t="e">
        <f ca="1">_xll.qlInterpolationInterpolate(B12Minterpolation,R179,TRUE)</f>
        <v>#NAME?</v>
      </c>
    </row>
    <row r="180" spans="18:19" x14ac:dyDescent="0.2">
      <c r="R180" s="561" t="e">
        <f ca="1">_xll.qlCalendarAdvance(Calendar,R179,"1D","f")</f>
        <v>#NAME?</v>
      </c>
      <c r="S180" s="560" t="e">
        <f ca="1">_xll.qlInterpolationInterpolate(B12Minterpolation,R180,TRUE)</f>
        <v>#NAME?</v>
      </c>
    </row>
    <row r="181" spans="18:19" x14ac:dyDescent="0.2">
      <c r="R181" s="561" t="e">
        <f ca="1">_xll.qlCalendarAdvance(Calendar,R180,"1D","f")</f>
        <v>#NAME?</v>
      </c>
      <c r="S181" s="560" t="e">
        <f ca="1">_xll.qlInterpolationInterpolate(B12Minterpolation,R181,TRUE)</f>
        <v>#NAME?</v>
      </c>
    </row>
    <row r="182" spans="18:19" x14ac:dyDescent="0.2">
      <c r="R182" s="561" t="e">
        <f ca="1">_xll.qlCalendarAdvance(Calendar,R181,"1D","f")</f>
        <v>#NAME?</v>
      </c>
      <c r="S182" s="560" t="e">
        <f ca="1">_xll.qlInterpolationInterpolate(B12Minterpolation,R182,TRUE)</f>
        <v>#NAME?</v>
      </c>
    </row>
    <row r="183" spans="18:19" x14ac:dyDescent="0.2">
      <c r="R183" s="561" t="e">
        <f ca="1">_xll.qlCalendarAdvance(Calendar,R182,"1D","f")</f>
        <v>#NAME?</v>
      </c>
      <c r="S183" s="560" t="e">
        <f ca="1">_xll.qlInterpolationInterpolate(B12Minterpolation,R183,TRUE)</f>
        <v>#NAME?</v>
      </c>
    </row>
    <row r="184" spans="18:19" x14ac:dyDescent="0.2">
      <c r="R184" s="561" t="e">
        <f ca="1">_xll.qlCalendarAdvance(Calendar,R183,"1D","f")</f>
        <v>#NAME?</v>
      </c>
      <c r="S184" s="560" t="e">
        <f ca="1">_xll.qlInterpolationInterpolate(B12Minterpolation,R184,TRUE)</f>
        <v>#NAME?</v>
      </c>
    </row>
    <row r="185" spans="18:19" x14ac:dyDescent="0.2">
      <c r="R185" s="561" t="e">
        <f ca="1">_xll.qlCalendarAdvance(Calendar,R184,"1D","f")</f>
        <v>#NAME?</v>
      </c>
      <c r="S185" s="560" t="e">
        <f ca="1">_xll.qlInterpolationInterpolate(B12Minterpolation,R185,TRUE)</f>
        <v>#NAME?</v>
      </c>
    </row>
    <row r="186" spans="18:19" x14ac:dyDescent="0.2">
      <c r="R186" s="561" t="e">
        <f ca="1">_xll.qlCalendarAdvance(Calendar,R185,"1D","f")</f>
        <v>#NAME?</v>
      </c>
      <c r="S186" s="560" t="e">
        <f ca="1">_xll.qlInterpolationInterpolate(B12Minterpolation,R186,TRUE)</f>
        <v>#NAME?</v>
      </c>
    </row>
    <row r="187" spans="18:19" x14ac:dyDescent="0.2">
      <c r="R187" s="561" t="e">
        <f ca="1">_xll.qlCalendarAdvance(Calendar,R186,"1D","f")</f>
        <v>#NAME?</v>
      </c>
      <c r="S187" s="560" t="e">
        <f ca="1">_xll.qlInterpolationInterpolate(B12Minterpolation,R187,TRUE)</f>
        <v>#NAME?</v>
      </c>
    </row>
    <row r="188" spans="18:19" x14ac:dyDescent="0.2">
      <c r="R188" s="561" t="e">
        <f ca="1">_xll.qlCalendarAdvance(Calendar,R187,"1D","f")</f>
        <v>#NAME?</v>
      </c>
      <c r="S188" s="560" t="e">
        <f ca="1">_xll.qlInterpolationInterpolate(B12Minterpolation,R188,TRUE)</f>
        <v>#NAME?</v>
      </c>
    </row>
    <row r="189" spans="18:19" x14ac:dyDescent="0.2">
      <c r="R189" s="561" t="e">
        <f ca="1">_xll.qlCalendarAdvance(Calendar,R188,"1D","f")</f>
        <v>#NAME?</v>
      </c>
      <c r="S189" s="560" t="e">
        <f ca="1">_xll.qlInterpolationInterpolate(B12Minterpolation,R189,TRUE)</f>
        <v>#NAME?</v>
      </c>
    </row>
    <row r="190" spans="18:19" x14ac:dyDescent="0.2">
      <c r="R190" s="561" t="e">
        <f ca="1">_xll.qlCalendarAdvance(Calendar,R189,"1D","f")</f>
        <v>#NAME?</v>
      </c>
      <c r="S190" s="560" t="e">
        <f ca="1">_xll.qlInterpolationInterpolate(B12Minterpolation,R190,TRUE)</f>
        <v>#NAME?</v>
      </c>
    </row>
    <row r="191" spans="18:19" x14ac:dyDescent="0.2">
      <c r="R191" s="561" t="e">
        <f ca="1">_xll.qlCalendarAdvance(Calendar,R190,"1D","f")</f>
        <v>#NAME?</v>
      </c>
      <c r="S191" s="560" t="e">
        <f ca="1">_xll.qlInterpolationInterpolate(B12Minterpolation,R191,TRUE)</f>
        <v>#NAME?</v>
      </c>
    </row>
    <row r="192" spans="18:19" x14ac:dyDescent="0.2">
      <c r="R192" s="561" t="e">
        <f ca="1">_xll.qlCalendarAdvance(Calendar,R191,"1D","f")</f>
        <v>#NAME?</v>
      </c>
      <c r="S192" s="560" t="e">
        <f ca="1">_xll.qlInterpolationInterpolate(B12Minterpolation,R192,TRUE)</f>
        <v>#NAME?</v>
      </c>
    </row>
    <row r="193" spans="18:19" x14ac:dyDescent="0.2">
      <c r="R193" s="561" t="e">
        <f ca="1">_xll.qlCalendarAdvance(Calendar,R192,"1D","f")</f>
        <v>#NAME?</v>
      </c>
      <c r="S193" s="560" t="e">
        <f ca="1">_xll.qlInterpolationInterpolate(B12Minterpolation,R193,TRUE)</f>
        <v>#NAME?</v>
      </c>
    </row>
    <row r="194" spans="18:19" x14ac:dyDescent="0.2">
      <c r="R194" s="561" t="e">
        <f ca="1">_xll.qlCalendarAdvance(Calendar,R193,"1D","f")</f>
        <v>#NAME?</v>
      </c>
      <c r="S194" s="560" t="e">
        <f ca="1">_xll.qlInterpolationInterpolate(B12Minterpolation,R194,TRUE)</f>
        <v>#NAME?</v>
      </c>
    </row>
    <row r="195" spans="18:19" x14ac:dyDescent="0.2">
      <c r="R195" s="561" t="e">
        <f ca="1">_xll.qlCalendarAdvance(Calendar,R194,"1D","f")</f>
        <v>#NAME?</v>
      </c>
      <c r="S195" s="560" t="e">
        <f ca="1">_xll.qlInterpolationInterpolate(B12Minterpolation,R195,TRUE)</f>
        <v>#NAME?</v>
      </c>
    </row>
    <row r="196" spans="18:19" x14ac:dyDescent="0.2">
      <c r="R196" s="561" t="e">
        <f ca="1">_xll.qlCalendarAdvance(Calendar,R195,"1D","f")</f>
        <v>#NAME?</v>
      </c>
      <c r="S196" s="560" t="e">
        <f ca="1">_xll.qlInterpolationInterpolate(B12Minterpolation,R196,TRUE)</f>
        <v>#NAME?</v>
      </c>
    </row>
    <row r="197" spans="18:19" x14ac:dyDescent="0.2">
      <c r="R197" s="561" t="e">
        <f ca="1">_xll.qlCalendarAdvance(Calendar,R196,"1D","f")</f>
        <v>#NAME?</v>
      </c>
      <c r="S197" s="560" t="e">
        <f ca="1">_xll.qlInterpolationInterpolate(B12Minterpolation,R197,TRUE)</f>
        <v>#NAME?</v>
      </c>
    </row>
    <row r="198" spans="18:19" x14ac:dyDescent="0.2">
      <c r="R198" s="561" t="e">
        <f ca="1">_xll.qlCalendarAdvance(Calendar,R197,"1D","f")</f>
        <v>#NAME?</v>
      </c>
      <c r="S198" s="560" t="e">
        <f ca="1">_xll.qlInterpolationInterpolate(B12Minterpolation,R198,TRUE)</f>
        <v>#NAME?</v>
      </c>
    </row>
    <row r="199" spans="18:19" x14ac:dyDescent="0.2">
      <c r="R199" s="561" t="e">
        <f ca="1">_xll.qlCalendarAdvance(Calendar,R198,"1D","f")</f>
        <v>#NAME?</v>
      </c>
      <c r="S199" s="560" t="e">
        <f ca="1">_xll.qlInterpolationInterpolate(B12Minterpolation,R199,TRUE)</f>
        <v>#NAME?</v>
      </c>
    </row>
    <row r="200" spans="18:19" x14ac:dyDescent="0.2">
      <c r="R200" s="561" t="e">
        <f ca="1">_xll.qlCalendarAdvance(Calendar,R199,"1D","f")</f>
        <v>#NAME?</v>
      </c>
      <c r="S200" s="560" t="e">
        <f ca="1">_xll.qlInterpolationInterpolate(B12Minterpolation,R200,TRUE)</f>
        <v>#NAME?</v>
      </c>
    </row>
    <row r="201" spans="18:19" x14ac:dyDescent="0.2">
      <c r="R201" s="561" t="e">
        <f ca="1">_xll.qlCalendarAdvance(Calendar,R200,"1D","f")</f>
        <v>#NAME?</v>
      </c>
      <c r="S201" s="560" t="e">
        <f ca="1">_xll.qlInterpolationInterpolate(B12Minterpolation,R201,TRUE)</f>
        <v>#NAME?</v>
      </c>
    </row>
    <row r="202" spans="18:19" x14ac:dyDescent="0.2">
      <c r="R202" s="561" t="e">
        <f ca="1">_xll.qlCalendarAdvance(Calendar,R201,"1D","f")</f>
        <v>#NAME?</v>
      </c>
      <c r="S202" s="560" t="e">
        <f ca="1">_xll.qlInterpolationInterpolate(B12Minterpolation,R202,TRUE)</f>
        <v>#NAME?</v>
      </c>
    </row>
    <row r="203" spans="18:19" x14ac:dyDescent="0.2">
      <c r="R203" s="561" t="e">
        <f ca="1">_xll.qlCalendarAdvance(Calendar,R202,"1D","f")</f>
        <v>#NAME?</v>
      </c>
      <c r="S203" s="560" t="e">
        <f ca="1">_xll.qlInterpolationInterpolate(B12Minterpolation,R203,TRUE)</f>
        <v>#NAME?</v>
      </c>
    </row>
    <row r="204" spans="18:19" x14ac:dyDescent="0.2">
      <c r="R204" s="561" t="e">
        <f ca="1">_xll.qlCalendarAdvance(Calendar,R203,"1D","f")</f>
        <v>#NAME?</v>
      </c>
      <c r="S204" s="560" t="e">
        <f ca="1">_xll.qlInterpolationInterpolate(B12Minterpolation,R204,TRUE)</f>
        <v>#NAME?</v>
      </c>
    </row>
    <row r="205" spans="18:19" x14ac:dyDescent="0.2">
      <c r="R205" s="561" t="e">
        <f ca="1">_xll.qlCalendarAdvance(Calendar,R204,"1D","f")</f>
        <v>#NAME?</v>
      </c>
      <c r="S205" s="560" t="e">
        <f ca="1">_xll.qlInterpolationInterpolate(B12Minterpolation,R205,TRUE)</f>
        <v>#NAME?</v>
      </c>
    </row>
    <row r="206" spans="18:19" x14ac:dyDescent="0.2">
      <c r="R206" s="561" t="e">
        <f ca="1">_xll.qlCalendarAdvance(Calendar,R205,"1D","f")</f>
        <v>#NAME?</v>
      </c>
      <c r="S206" s="560" t="e">
        <f ca="1">_xll.qlInterpolationInterpolate(B12Minterpolation,R206,TRUE)</f>
        <v>#NAME?</v>
      </c>
    </row>
    <row r="207" spans="18:19" x14ac:dyDescent="0.2">
      <c r="R207" s="561" t="e">
        <f ca="1">_xll.qlCalendarAdvance(Calendar,R206,"1D","f")</f>
        <v>#NAME?</v>
      </c>
      <c r="S207" s="560" t="e">
        <f ca="1">_xll.qlInterpolationInterpolate(B12Minterpolation,R207,TRUE)</f>
        <v>#NAME?</v>
      </c>
    </row>
    <row r="208" spans="18:19" x14ac:dyDescent="0.2">
      <c r="R208" s="561" t="e">
        <f ca="1">_xll.qlCalendarAdvance(Calendar,R207,"1D","f")</f>
        <v>#NAME?</v>
      </c>
      <c r="S208" s="560" t="e">
        <f ca="1">_xll.qlInterpolationInterpolate(B12Minterpolation,R208,TRUE)</f>
        <v>#NAME?</v>
      </c>
    </row>
    <row r="209" spans="18:19" x14ac:dyDescent="0.2">
      <c r="R209" s="561" t="e">
        <f ca="1">_xll.qlCalendarAdvance(Calendar,R208,"1D","f")</f>
        <v>#NAME?</v>
      </c>
      <c r="S209" s="560" t="e">
        <f ca="1">_xll.qlInterpolationInterpolate(B12Minterpolation,R209,TRUE)</f>
        <v>#NAME?</v>
      </c>
    </row>
    <row r="210" spans="18:19" x14ac:dyDescent="0.2">
      <c r="R210" s="561" t="e">
        <f ca="1">_xll.qlCalendarAdvance(Calendar,R209,"1D","f")</f>
        <v>#NAME?</v>
      </c>
      <c r="S210" s="560" t="e">
        <f ca="1">_xll.qlInterpolationInterpolate(B12Minterpolation,R210,TRUE)</f>
        <v>#NAME?</v>
      </c>
    </row>
    <row r="211" spans="18:19" x14ac:dyDescent="0.2">
      <c r="R211" s="561" t="e">
        <f ca="1">_xll.qlCalendarAdvance(Calendar,R210,"1D","f")</f>
        <v>#NAME?</v>
      </c>
      <c r="S211" s="560" t="e">
        <f ca="1">_xll.qlInterpolationInterpolate(B12Minterpolation,R211,TRUE)</f>
        <v>#NAME?</v>
      </c>
    </row>
    <row r="212" spans="18:19" x14ac:dyDescent="0.2">
      <c r="R212" s="561" t="e">
        <f ca="1">_xll.qlCalendarAdvance(Calendar,R211,"1D","f")</f>
        <v>#NAME?</v>
      </c>
      <c r="S212" s="560" t="e">
        <f ca="1">_xll.qlInterpolationInterpolate(B12Minterpolation,R212,TRUE)</f>
        <v>#NAME?</v>
      </c>
    </row>
    <row r="213" spans="18:19" x14ac:dyDescent="0.2">
      <c r="R213" s="561" t="e">
        <f ca="1">_xll.qlCalendarAdvance(Calendar,R212,"1D","f")</f>
        <v>#NAME?</v>
      </c>
      <c r="S213" s="560" t="e">
        <f ca="1">_xll.qlInterpolationInterpolate(B12Minterpolation,R213,TRUE)</f>
        <v>#NAME?</v>
      </c>
    </row>
    <row r="214" spans="18:19" x14ac:dyDescent="0.2">
      <c r="R214" s="561" t="e">
        <f ca="1">_xll.qlCalendarAdvance(Calendar,R213,"1D","f")</f>
        <v>#NAME?</v>
      </c>
      <c r="S214" s="560" t="e">
        <f ca="1">_xll.qlInterpolationInterpolate(B12Minterpolation,R214,TRUE)</f>
        <v>#NAME?</v>
      </c>
    </row>
    <row r="215" spans="18:19" x14ac:dyDescent="0.2">
      <c r="R215" s="561" t="e">
        <f ca="1">_xll.qlCalendarAdvance(Calendar,R214,"1D","f")</f>
        <v>#NAME?</v>
      </c>
      <c r="S215" s="560" t="e">
        <f ca="1">_xll.qlInterpolationInterpolate(B12Minterpolation,R215,TRUE)</f>
        <v>#NAME?</v>
      </c>
    </row>
    <row r="216" spans="18:19" x14ac:dyDescent="0.2">
      <c r="R216" s="561" t="e">
        <f ca="1">_xll.qlCalendarAdvance(Calendar,R215,"1D","f")</f>
        <v>#NAME?</v>
      </c>
      <c r="S216" s="560" t="e">
        <f ca="1">_xll.qlInterpolationInterpolate(B12Minterpolation,R216,TRUE)</f>
        <v>#NAME?</v>
      </c>
    </row>
    <row r="217" spans="18:19" x14ac:dyDescent="0.2">
      <c r="R217" s="561" t="e">
        <f ca="1">_xll.qlCalendarAdvance(Calendar,R216,"1D","f")</f>
        <v>#NAME?</v>
      </c>
      <c r="S217" s="560" t="e">
        <f ca="1">_xll.qlInterpolationInterpolate(B12Minterpolation,R217,TRUE)</f>
        <v>#NAME?</v>
      </c>
    </row>
    <row r="218" spans="18:19" x14ac:dyDescent="0.2">
      <c r="R218" s="561" t="e">
        <f ca="1">_xll.qlCalendarAdvance(Calendar,R217,"1D","f")</f>
        <v>#NAME?</v>
      </c>
      <c r="S218" s="560" t="e">
        <f ca="1">_xll.qlInterpolationInterpolate(B12Minterpolation,R218,TRUE)</f>
        <v>#NAME?</v>
      </c>
    </row>
    <row r="219" spans="18:19" x14ac:dyDescent="0.2">
      <c r="R219" s="561" t="e">
        <f ca="1">_xll.qlCalendarAdvance(Calendar,R218,"1D","f")</f>
        <v>#NAME?</v>
      </c>
      <c r="S219" s="560" t="e">
        <f ca="1">_xll.qlInterpolationInterpolate(B12Minterpolation,R219,TRUE)</f>
        <v>#NAME?</v>
      </c>
    </row>
    <row r="220" spans="18:19" x14ac:dyDescent="0.2">
      <c r="R220" s="561" t="e">
        <f ca="1">_xll.qlCalendarAdvance(Calendar,R219,"1D","f")</f>
        <v>#NAME?</v>
      </c>
      <c r="S220" s="560" t="e">
        <f ca="1">_xll.qlInterpolationInterpolate(B12Minterpolation,R220,TRUE)</f>
        <v>#NAME?</v>
      </c>
    </row>
    <row r="221" spans="18:19" x14ac:dyDescent="0.2">
      <c r="R221" s="561" t="e">
        <f ca="1">_xll.qlCalendarAdvance(Calendar,R220,"1D","f")</f>
        <v>#NAME?</v>
      </c>
      <c r="S221" s="560" t="e">
        <f ca="1">_xll.qlInterpolationInterpolate(B12Minterpolation,R221,TRUE)</f>
        <v>#NAME?</v>
      </c>
    </row>
    <row r="222" spans="18:19" x14ac:dyDescent="0.2">
      <c r="R222" s="561" t="e">
        <f ca="1">_xll.qlCalendarAdvance(Calendar,R221,"1D","f")</f>
        <v>#NAME?</v>
      </c>
      <c r="S222" s="560" t="e">
        <f ca="1">_xll.qlInterpolationInterpolate(B12Minterpolation,R222,TRUE)</f>
        <v>#NAME?</v>
      </c>
    </row>
    <row r="223" spans="18:19" x14ac:dyDescent="0.2">
      <c r="R223" s="561" t="e">
        <f ca="1">_xll.qlCalendarAdvance(Calendar,R222,"1D","f")</f>
        <v>#NAME?</v>
      </c>
      <c r="S223" s="560" t="e">
        <f ca="1">_xll.qlInterpolationInterpolate(B12Minterpolation,R223,TRUE)</f>
        <v>#NAME?</v>
      </c>
    </row>
    <row r="224" spans="18:19" x14ac:dyDescent="0.2">
      <c r="R224" s="561" t="e">
        <f ca="1">_xll.qlCalendarAdvance(Calendar,R223,"1D","f")</f>
        <v>#NAME?</v>
      </c>
      <c r="S224" s="560" t="e">
        <f ca="1">_xll.qlInterpolationInterpolate(B12Minterpolation,R224,TRUE)</f>
        <v>#NAME?</v>
      </c>
    </row>
    <row r="225" spans="18:19" x14ac:dyDescent="0.2">
      <c r="R225" s="561" t="e">
        <f ca="1">_xll.qlCalendarAdvance(Calendar,R224,"1D","f")</f>
        <v>#NAME?</v>
      </c>
      <c r="S225" s="560" t="e">
        <f ca="1">_xll.qlInterpolationInterpolate(B12Minterpolation,R225,TRUE)</f>
        <v>#NAME?</v>
      </c>
    </row>
    <row r="226" spans="18:19" x14ac:dyDescent="0.2">
      <c r="R226" s="561" t="e">
        <f ca="1">_xll.qlCalendarAdvance(Calendar,R225,"1D","f")</f>
        <v>#NAME?</v>
      </c>
      <c r="S226" s="560" t="e">
        <f ca="1">_xll.qlInterpolationInterpolate(B12Minterpolation,R226,TRUE)</f>
        <v>#NAME?</v>
      </c>
    </row>
    <row r="227" spans="18:19" x14ac:dyDescent="0.2">
      <c r="R227" s="561" t="e">
        <f ca="1">_xll.qlCalendarAdvance(Calendar,R226,"1D","f")</f>
        <v>#NAME?</v>
      </c>
      <c r="S227" s="560" t="e">
        <f ca="1">_xll.qlInterpolationInterpolate(B12Minterpolation,R227,TRUE)</f>
        <v>#NAME?</v>
      </c>
    </row>
    <row r="228" spans="18:19" x14ac:dyDescent="0.2">
      <c r="R228" s="561" t="e">
        <f ca="1">_xll.qlCalendarAdvance(Calendar,R227,"1D","f")</f>
        <v>#NAME?</v>
      </c>
      <c r="S228" s="560" t="e">
        <f ca="1">_xll.qlInterpolationInterpolate(B12Minterpolation,R228,TRUE)</f>
        <v>#NAME?</v>
      </c>
    </row>
    <row r="229" spans="18:19" x14ac:dyDescent="0.2">
      <c r="R229" s="561" t="e">
        <f ca="1">_xll.qlCalendarAdvance(Calendar,R228,"1D","f")</f>
        <v>#NAME?</v>
      </c>
      <c r="S229" s="560" t="e">
        <f ca="1">_xll.qlInterpolationInterpolate(B12Minterpolation,R229,TRUE)</f>
        <v>#NAME?</v>
      </c>
    </row>
    <row r="230" spans="18:19" x14ac:dyDescent="0.2">
      <c r="R230" s="561" t="e">
        <f ca="1">_xll.qlCalendarAdvance(Calendar,R229,"1D","f")</f>
        <v>#NAME?</v>
      </c>
      <c r="S230" s="560" t="e">
        <f ca="1">_xll.qlInterpolationInterpolate(B12Minterpolation,R230,TRUE)</f>
        <v>#NAME?</v>
      </c>
    </row>
    <row r="231" spans="18:19" x14ac:dyDescent="0.2">
      <c r="R231" s="561" t="e">
        <f ca="1">_xll.qlCalendarAdvance(Calendar,R230,"1D","f")</f>
        <v>#NAME?</v>
      </c>
      <c r="S231" s="560" t="e">
        <f ca="1">_xll.qlInterpolationInterpolate(B12Minterpolation,R231,TRUE)</f>
        <v>#NAME?</v>
      </c>
    </row>
    <row r="232" spans="18:19" x14ac:dyDescent="0.2">
      <c r="R232" s="561" t="e">
        <f ca="1">_xll.qlCalendarAdvance(Calendar,R231,"1D","f")</f>
        <v>#NAME?</v>
      </c>
      <c r="S232" s="560" t="e">
        <f ca="1">_xll.qlInterpolationInterpolate(B12Minterpolation,R232,TRUE)</f>
        <v>#NAME?</v>
      </c>
    </row>
    <row r="233" spans="18:19" x14ac:dyDescent="0.2">
      <c r="R233" s="561" t="e">
        <f ca="1">_xll.qlCalendarAdvance(Calendar,R232,"1D","f")</f>
        <v>#NAME?</v>
      </c>
      <c r="S233" s="560" t="e">
        <f ca="1">_xll.qlInterpolationInterpolate(B12Minterpolation,R233,TRUE)</f>
        <v>#NAME?</v>
      </c>
    </row>
    <row r="234" spans="18:19" x14ac:dyDescent="0.2">
      <c r="R234" s="561" t="e">
        <f ca="1">_xll.qlCalendarAdvance(Calendar,R233,"1D","f")</f>
        <v>#NAME?</v>
      </c>
      <c r="S234" s="560" t="e">
        <f ca="1">_xll.qlInterpolationInterpolate(B12Minterpolation,R234,TRUE)</f>
        <v>#NAME?</v>
      </c>
    </row>
    <row r="235" spans="18:19" x14ac:dyDescent="0.2">
      <c r="R235" s="561" t="e">
        <f ca="1">_xll.qlCalendarAdvance(Calendar,R234,"1D","f")</f>
        <v>#NAME?</v>
      </c>
      <c r="S235" s="560" t="e">
        <f ca="1">_xll.qlInterpolationInterpolate(B12Minterpolation,R235,TRUE)</f>
        <v>#NAME?</v>
      </c>
    </row>
    <row r="236" spans="18:19" x14ac:dyDescent="0.2">
      <c r="R236" s="561" t="e">
        <f ca="1">_xll.qlCalendarAdvance(Calendar,R235,"1D","f")</f>
        <v>#NAME?</v>
      </c>
      <c r="S236" s="560" t="e">
        <f ca="1">_xll.qlInterpolationInterpolate(B12Minterpolation,R236,TRUE)</f>
        <v>#NAME?</v>
      </c>
    </row>
    <row r="237" spans="18:19" x14ac:dyDescent="0.2">
      <c r="R237" s="561" t="e">
        <f ca="1">_xll.qlCalendarAdvance(Calendar,R236,"1D","f")</f>
        <v>#NAME?</v>
      </c>
      <c r="S237" s="560" t="e">
        <f ca="1">_xll.qlInterpolationInterpolate(B12Minterpolation,R237,TRUE)</f>
        <v>#NAME?</v>
      </c>
    </row>
    <row r="238" spans="18:19" x14ac:dyDescent="0.2">
      <c r="R238" s="561" t="e">
        <f ca="1">_xll.qlCalendarAdvance(Calendar,R237,"1D","f")</f>
        <v>#NAME?</v>
      </c>
      <c r="S238" s="560" t="e">
        <f ca="1">_xll.qlInterpolationInterpolate(B12Minterpolation,R238,TRUE)</f>
        <v>#NAME?</v>
      </c>
    </row>
    <row r="239" spans="18:19" x14ac:dyDescent="0.2">
      <c r="R239" s="561" t="e">
        <f ca="1">_xll.qlCalendarAdvance(Calendar,R238,"1D","f")</f>
        <v>#NAME?</v>
      </c>
      <c r="S239" s="560" t="e">
        <f ca="1">_xll.qlInterpolationInterpolate(B12Minterpolation,R239,TRUE)</f>
        <v>#NAME?</v>
      </c>
    </row>
    <row r="240" spans="18:19" x14ac:dyDescent="0.2">
      <c r="R240" s="561" t="e">
        <f ca="1">_xll.qlCalendarAdvance(Calendar,R239,"1D","f")</f>
        <v>#NAME?</v>
      </c>
      <c r="S240" s="560" t="e">
        <f ca="1">_xll.qlInterpolationInterpolate(B12Minterpolation,R240,TRUE)</f>
        <v>#NAME?</v>
      </c>
    </row>
    <row r="241" spans="18:19" x14ac:dyDescent="0.2">
      <c r="R241" s="561" t="e">
        <f ca="1">_xll.qlCalendarAdvance(Calendar,R240,"1D","f")</f>
        <v>#NAME?</v>
      </c>
      <c r="S241" s="560" t="e">
        <f ca="1">_xll.qlInterpolationInterpolate(B12Minterpolation,R241,TRUE)</f>
        <v>#NAME?</v>
      </c>
    </row>
    <row r="242" spans="18:19" x14ac:dyDescent="0.2">
      <c r="R242" s="561" t="e">
        <f ca="1">_xll.qlCalendarAdvance(Calendar,R241,"1D","f")</f>
        <v>#NAME?</v>
      </c>
      <c r="S242" s="560" t="e">
        <f ca="1">_xll.qlInterpolationInterpolate(B12Minterpolation,R242,TRUE)</f>
        <v>#NAME?</v>
      </c>
    </row>
    <row r="243" spans="18:19" x14ac:dyDescent="0.2">
      <c r="R243" s="561" t="e">
        <f ca="1">_xll.qlCalendarAdvance(Calendar,R242,"1D","f")</f>
        <v>#NAME?</v>
      </c>
      <c r="S243" s="560" t="e">
        <f ca="1">_xll.qlInterpolationInterpolate(B12Minterpolation,R243,TRUE)</f>
        <v>#NAME?</v>
      </c>
    </row>
    <row r="244" spans="18:19" x14ac:dyDescent="0.2">
      <c r="R244" s="561" t="e">
        <f ca="1">_xll.qlCalendarAdvance(Calendar,R243,"1D","f")</f>
        <v>#NAME?</v>
      </c>
      <c r="S244" s="560" t="e">
        <f ca="1">_xll.qlInterpolationInterpolate(B12Minterpolation,R244,TRUE)</f>
        <v>#NAME?</v>
      </c>
    </row>
    <row r="245" spans="18:19" x14ac:dyDescent="0.2">
      <c r="R245" s="561" t="e">
        <f ca="1">_xll.qlCalendarAdvance(Calendar,R244,"1D","f")</f>
        <v>#NAME?</v>
      </c>
      <c r="S245" s="560" t="e">
        <f ca="1">_xll.qlInterpolationInterpolate(B12Minterpolation,R245,TRUE)</f>
        <v>#NAME?</v>
      </c>
    </row>
    <row r="246" spans="18:19" x14ac:dyDescent="0.2">
      <c r="R246" s="561" t="e">
        <f ca="1">_xll.qlCalendarAdvance(Calendar,R245,"1D","f")</f>
        <v>#NAME?</v>
      </c>
      <c r="S246" s="560" t="e">
        <f ca="1">_xll.qlInterpolationInterpolate(B12Minterpolation,R246,TRUE)</f>
        <v>#NAME?</v>
      </c>
    </row>
    <row r="247" spans="18:19" x14ac:dyDescent="0.2">
      <c r="R247" s="561" t="e">
        <f ca="1">_xll.qlCalendarAdvance(Calendar,R246,"1D","f")</f>
        <v>#NAME?</v>
      </c>
      <c r="S247" s="560" t="e">
        <f ca="1">_xll.qlInterpolationInterpolate(B12Minterpolation,R247,TRUE)</f>
        <v>#NAME?</v>
      </c>
    </row>
    <row r="248" spans="18:19" x14ac:dyDescent="0.2">
      <c r="R248" s="561" t="e">
        <f ca="1">_xll.qlCalendarAdvance(Calendar,R247,"1D","f")</f>
        <v>#NAME?</v>
      </c>
      <c r="S248" s="560" t="e">
        <f ca="1">_xll.qlInterpolationInterpolate(B12Minterpolation,R248,TRUE)</f>
        <v>#NAME?</v>
      </c>
    </row>
    <row r="249" spans="18:19" x14ac:dyDescent="0.2">
      <c r="R249" s="561" t="e">
        <f ca="1">_xll.qlCalendarAdvance(Calendar,R248,"1D","f")</f>
        <v>#NAME?</v>
      </c>
      <c r="S249" s="560" t="e">
        <f ca="1">_xll.qlInterpolationInterpolate(B12Minterpolation,R249,TRUE)</f>
        <v>#NAME?</v>
      </c>
    </row>
    <row r="250" spans="18:19" x14ac:dyDescent="0.2">
      <c r="R250" s="561" t="e">
        <f ca="1">_xll.qlCalendarAdvance(Calendar,R249,"1D","f")</f>
        <v>#NAME?</v>
      </c>
      <c r="S250" s="560" t="e">
        <f ca="1">_xll.qlInterpolationInterpolate(B12Minterpolation,R250,TRUE)</f>
        <v>#NAME?</v>
      </c>
    </row>
    <row r="251" spans="18:19" x14ac:dyDescent="0.2">
      <c r="R251" s="561" t="e">
        <f ca="1">_xll.qlCalendarAdvance(Calendar,R250,"1D","f")</f>
        <v>#NAME?</v>
      </c>
      <c r="S251" s="560" t="e">
        <f ca="1">_xll.qlInterpolationInterpolate(B12Minterpolation,R251,TRUE)</f>
        <v>#NAME?</v>
      </c>
    </row>
    <row r="252" spans="18:19" x14ac:dyDescent="0.2">
      <c r="R252" s="561" t="e">
        <f ca="1">_xll.qlCalendarAdvance(Calendar,R251,"1D","f")</f>
        <v>#NAME?</v>
      </c>
      <c r="S252" s="560" t="e">
        <f ca="1">_xll.qlInterpolationInterpolate(B12Minterpolation,R252,TRUE)</f>
        <v>#NAME?</v>
      </c>
    </row>
    <row r="253" spans="18:19" x14ac:dyDescent="0.2">
      <c r="R253" s="561" t="e">
        <f ca="1">_xll.qlCalendarAdvance(Calendar,R252,"1D","f")</f>
        <v>#NAME?</v>
      </c>
      <c r="S253" s="560" t="e">
        <f ca="1">_xll.qlInterpolationInterpolate(B12Minterpolation,R253,TRUE)</f>
        <v>#NAME?</v>
      </c>
    </row>
    <row r="254" spans="18:19" x14ac:dyDescent="0.2">
      <c r="R254" s="561" t="e">
        <f ca="1">_xll.qlCalendarAdvance(Calendar,R253,"1D","f")</f>
        <v>#NAME?</v>
      </c>
      <c r="S254" s="560" t="e">
        <f ca="1">_xll.qlInterpolationInterpolate(B12Minterpolation,R254,TRUE)</f>
        <v>#NAME?</v>
      </c>
    </row>
    <row r="255" spans="18:19" x14ac:dyDescent="0.2">
      <c r="R255" s="561" t="e">
        <f ca="1">_xll.qlCalendarAdvance(Calendar,R254,"1D","f")</f>
        <v>#NAME?</v>
      </c>
      <c r="S255" s="560" t="e">
        <f ca="1">_xll.qlInterpolationInterpolate(B12Minterpolation,R255,TRUE)</f>
        <v>#NAME?</v>
      </c>
    </row>
    <row r="256" spans="18:19" x14ac:dyDescent="0.2">
      <c r="R256" s="561" t="e">
        <f ca="1">_xll.qlCalendarAdvance(Calendar,R255,"1D","f")</f>
        <v>#NAME?</v>
      </c>
      <c r="S256" s="560" t="e">
        <f ca="1">_xll.qlInterpolationInterpolate(B12Minterpolation,R256,TRUE)</f>
        <v>#NAME?</v>
      </c>
    </row>
    <row r="257" spans="18:19" x14ac:dyDescent="0.2">
      <c r="R257" s="561" t="e">
        <f ca="1">_xll.qlCalendarAdvance(Calendar,R256,"1D","f")</f>
        <v>#NAME?</v>
      </c>
      <c r="S257" s="560" t="e">
        <f ca="1">_xll.qlInterpolationInterpolate(B12Minterpolation,R257,TRUE)</f>
        <v>#NAME?</v>
      </c>
    </row>
    <row r="258" spans="18:19" x14ac:dyDescent="0.2">
      <c r="R258" s="561" t="e">
        <f ca="1">_xll.qlCalendarAdvance(Calendar,R257,"1D","f")</f>
        <v>#NAME?</v>
      </c>
      <c r="S258" s="560" t="e">
        <f ca="1">_xll.qlInterpolationInterpolate(B12Minterpolation,R258,TRUE)</f>
        <v>#NAME?</v>
      </c>
    </row>
    <row r="259" spans="18:19" x14ac:dyDescent="0.2">
      <c r="R259" s="561" t="e">
        <f ca="1">_xll.qlCalendarAdvance(Calendar,R258,"1D","f")</f>
        <v>#NAME?</v>
      </c>
      <c r="S259" s="560" t="e">
        <f ca="1">_xll.qlInterpolationInterpolate(B12Minterpolation,R259,TRUE)</f>
        <v>#NAME?</v>
      </c>
    </row>
    <row r="260" spans="18:19" x14ac:dyDescent="0.2">
      <c r="R260" s="561" t="e">
        <f ca="1">_xll.qlCalendarAdvance(Calendar,R259,"1D","f")</f>
        <v>#NAME?</v>
      </c>
      <c r="S260" s="560" t="e">
        <f ca="1">_xll.qlInterpolationInterpolate(B12Minterpolation,R260,TRUE)</f>
        <v>#NAME?</v>
      </c>
    </row>
    <row r="261" spans="18:19" x14ac:dyDescent="0.2">
      <c r="R261" s="561" t="e">
        <f ca="1">_xll.qlCalendarAdvance(Calendar,R260,"1D","f")</f>
        <v>#NAME?</v>
      </c>
      <c r="S261" s="560" t="e">
        <f ca="1">_xll.qlInterpolationInterpolate(B12Minterpolation,R261,TRUE)</f>
        <v>#NAME?</v>
      </c>
    </row>
    <row r="262" spans="18:19" x14ac:dyDescent="0.2">
      <c r="R262" s="559" t="e">
        <f ca="1">_xll.qlCalendarAdvance(Calendar,R261,"1D","f")</f>
        <v>#NAME?</v>
      </c>
      <c r="S262" s="558" t="e">
        <f ca="1">_xll.qlInterpolationInterpolate(B12Minterpolation,R262,TRUE)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2" customWidth="1"/>
    <col min="3" max="3" width="20.28515625" style="492" bestFit="1" customWidth="1"/>
    <col min="4" max="4" width="27.5703125" style="492" bestFit="1" customWidth="1"/>
    <col min="5" max="7" width="2.7109375" style="492" customWidth="1"/>
    <col min="8" max="8" width="23.42578125" style="492" bestFit="1" customWidth="1"/>
    <col min="9" max="9" width="20.7109375" style="492" customWidth="1"/>
    <col min="10" max="12" width="2.7109375" style="492" customWidth="1"/>
    <col min="13" max="13" width="7.85546875" style="492" customWidth="1"/>
    <col min="14" max="16384" width="7.140625" style="492"/>
  </cols>
  <sheetData>
    <row r="1" spans="2:14" x14ac:dyDescent="0.2">
      <c r="B1" s="492" t="e">
        <f ca="1">_xll.qlxlVersion(TRUE,EvaluationDate)</f>
        <v>#NAME?</v>
      </c>
    </row>
    <row r="2" spans="2:14" ht="19.5" thickBot="1" x14ac:dyDescent="0.25">
      <c r="B2" s="529" t="s">
        <v>232</v>
      </c>
      <c r="C2" s="529"/>
      <c r="D2" s="529"/>
      <c r="E2" s="528"/>
      <c r="G2" s="529" t="s">
        <v>308</v>
      </c>
      <c r="H2" s="529"/>
      <c r="I2" s="529"/>
      <c r="J2" s="528"/>
    </row>
    <row r="3" spans="2:14" ht="15" x14ac:dyDescent="0.25">
      <c r="B3" s="508"/>
      <c r="C3" s="554"/>
      <c r="D3" s="315"/>
      <c r="E3" s="310"/>
      <c r="G3" s="538"/>
      <c r="H3" s="553"/>
      <c r="I3" s="553"/>
      <c r="J3" s="535"/>
      <c r="M3" s="1360" t="s">
        <v>529</v>
      </c>
      <c r="N3" s="1363" t="e">
        <f ca="1">_xll.ohTrigger('General Settings'!Trigger2)</f>
        <v>#NAME?</v>
      </c>
    </row>
    <row r="4" spans="2:14" ht="15.75" thickBot="1" x14ac:dyDescent="0.3">
      <c r="B4" s="508"/>
      <c r="C4" s="552" t="s">
        <v>231</v>
      </c>
      <c r="D4" s="551" t="s">
        <v>230</v>
      </c>
      <c r="E4" s="310"/>
      <c r="G4" s="538"/>
      <c r="H4" s="540" t="s">
        <v>307</v>
      </c>
      <c r="I4" s="550" t="e">
        <f ca="1">_xll.qlSettingsEvaluationDate(Trigger)</f>
        <v>#NAME?</v>
      </c>
      <c r="J4" s="535"/>
      <c r="M4" s="1361" t="s">
        <v>530</v>
      </c>
      <c r="N4" s="1364" t="e">
        <f ca="1">_xll.ohTrigger(RateHelpers!Trigger2,Calculation!Trigger2,Contribution!Trigger2,YieldCurve,I14)</f>
        <v>#NAME?</v>
      </c>
    </row>
    <row r="5" spans="2:14" x14ac:dyDescent="0.2">
      <c r="B5" s="508"/>
      <c r="C5" s="549" t="s">
        <v>306</v>
      </c>
      <c r="D5" s="548" t="s">
        <v>117</v>
      </c>
      <c r="E5" s="310"/>
      <c r="G5" s="538"/>
      <c r="H5" s="504" t="s">
        <v>305</v>
      </c>
      <c r="I5" s="547" t="e">
        <f ca="1">_xll.qlCalendarAdvance(Calendar,EvaluationDate,"2d","f",,Trigger)</f>
        <v>#NAME?</v>
      </c>
      <c r="J5" s="535"/>
    </row>
    <row r="6" spans="2:14" x14ac:dyDescent="0.2">
      <c r="B6" s="500"/>
      <c r="C6" s="546" t="s">
        <v>304</v>
      </c>
      <c r="D6" s="545" t="s">
        <v>303</v>
      </c>
      <c r="E6" s="497"/>
      <c r="G6" s="544"/>
      <c r="H6" s="507"/>
      <c r="I6" s="507"/>
      <c r="J6" s="543"/>
    </row>
    <row r="7" spans="2:14" x14ac:dyDescent="0.2">
      <c r="B7" s="500"/>
      <c r="C7" s="542" t="s">
        <v>302</v>
      </c>
      <c r="D7" s="541" t="s">
        <v>301</v>
      </c>
      <c r="E7" s="497"/>
      <c r="G7" s="538"/>
      <c r="H7" s="540" t="s">
        <v>239</v>
      </c>
      <c r="I7" s="539">
        <v>42357.886365740742</v>
      </c>
      <c r="J7" s="535"/>
    </row>
    <row r="8" spans="2:14" x14ac:dyDescent="0.2">
      <c r="B8" s="508"/>
      <c r="C8" s="526"/>
      <c r="D8" s="526"/>
      <c r="E8" s="525"/>
      <c r="G8" s="538"/>
      <c r="H8" s="537" t="s">
        <v>300</v>
      </c>
      <c r="I8" s="536" t="e">
        <v>#REF!</v>
      </c>
      <c r="J8" s="535"/>
    </row>
    <row r="9" spans="2:14" x14ac:dyDescent="0.2">
      <c r="B9" s="508"/>
      <c r="C9" s="523" t="s">
        <v>293</v>
      </c>
      <c r="D9" s="522" t="e">
        <f ca="1">_xll.qlPiecewiseYieldCurve(,NDays,Calendar,_xll.ohPack(Calculation!A5:A129),DayCounter,,,Accuracy,TraitsID,InterpolatorID)</f>
        <v>#NAME?</v>
      </c>
      <c r="E9" s="310"/>
      <c r="G9" s="508"/>
      <c r="H9" s="534" t="s">
        <v>235</v>
      </c>
      <c r="I9" s="533" t="e">
        <f ca="1">_xll.ohTrigger(Contribution!M1)</f>
        <v>#NAME?</v>
      </c>
      <c r="J9" s="310"/>
    </row>
    <row r="10" spans="2:14" x14ac:dyDescent="0.2">
      <c r="B10" s="508"/>
      <c r="C10" s="518" t="s">
        <v>59</v>
      </c>
      <c r="D10" s="519" t="e">
        <f ca="1">_xll.ohRangeRetrieveError(YieldCurve)</f>
        <v>#NAME?</v>
      </c>
      <c r="E10" s="310"/>
      <c r="G10" s="532"/>
      <c r="H10" s="505"/>
      <c r="I10" s="505"/>
      <c r="J10" s="531"/>
    </row>
    <row r="11" spans="2:14" x14ac:dyDescent="0.2">
      <c r="B11" s="508"/>
      <c r="C11" s="521" t="s">
        <v>299</v>
      </c>
      <c r="D11" s="530">
        <v>2</v>
      </c>
      <c r="E11" s="310"/>
    </row>
    <row r="12" spans="2:14" ht="18.75" x14ac:dyDescent="0.2">
      <c r="B12" s="508"/>
      <c r="C12" s="521" t="s">
        <v>216</v>
      </c>
      <c r="D12" s="527" t="s">
        <v>298</v>
      </c>
      <c r="E12" s="310"/>
      <c r="G12" s="529" t="s">
        <v>297</v>
      </c>
      <c r="H12" s="529"/>
      <c r="I12" s="529"/>
      <c r="J12" s="528"/>
    </row>
    <row r="13" spans="2:14" x14ac:dyDescent="0.2">
      <c r="B13" s="508"/>
      <c r="C13" s="521" t="s">
        <v>296</v>
      </c>
      <c r="D13" s="527" t="s">
        <v>295</v>
      </c>
      <c r="E13" s="310"/>
      <c r="G13" s="508"/>
      <c r="H13" s="526"/>
      <c r="I13" s="526"/>
      <c r="J13" s="525"/>
    </row>
    <row r="14" spans="2:14" x14ac:dyDescent="0.2">
      <c r="B14" s="508"/>
      <c r="C14" s="521" t="s">
        <v>294</v>
      </c>
      <c r="D14" s="524" t="e">
        <f>NA()</f>
        <v>#N/A</v>
      </c>
      <c r="E14" s="310"/>
      <c r="G14" s="508"/>
      <c r="H14" s="523" t="s">
        <v>293</v>
      </c>
      <c r="I14" s="522" t="e">
        <f ca="1">_xll.qlPiecewiseYieldCurve(,NDays,Calendar,_xll.ohPack(Calculation!A5:A129),DayCounter,JumpQuotes,JumpDates,Accuracy,TraitsID,InterpolatorID)</f>
        <v>#NAME?</v>
      </c>
      <c r="J14" s="310"/>
    </row>
    <row r="15" spans="2:14" x14ac:dyDescent="0.2">
      <c r="B15" s="508"/>
      <c r="C15" s="521" t="s">
        <v>292</v>
      </c>
      <c r="D15" s="520" t="s">
        <v>291</v>
      </c>
      <c r="E15" s="310"/>
      <c r="G15" s="508"/>
      <c r="H15" s="518" t="s">
        <v>59</v>
      </c>
      <c r="I15" s="519" t="e">
        <f ca="1">_xll.ohRangeRetrieveError(YieldCurve)</f>
        <v>#NAME?</v>
      </c>
      <c r="J15" s="310"/>
    </row>
    <row r="16" spans="2:14" x14ac:dyDescent="0.2">
      <c r="B16" s="508"/>
      <c r="C16" s="518" t="s">
        <v>290</v>
      </c>
      <c r="D16" s="517" t="s">
        <v>289</v>
      </c>
      <c r="E16" s="310"/>
      <c r="G16" s="508"/>
      <c r="H16" s="516" t="s">
        <v>288</v>
      </c>
      <c r="I16" s="515" t="e">
        <f ca="1">_xll.qlEonia(,$I$14,,I14)</f>
        <v>#NAME?</v>
      </c>
      <c r="J16" s="310"/>
    </row>
    <row r="17" spans="1:10" x14ac:dyDescent="0.2">
      <c r="B17" s="500"/>
      <c r="C17" s="514"/>
      <c r="D17" s="513"/>
      <c r="E17" s="497"/>
      <c r="G17" s="500"/>
      <c r="H17" s="514"/>
      <c r="I17" s="513"/>
      <c r="J17" s="497"/>
    </row>
    <row r="18" spans="1:10" x14ac:dyDescent="0.2">
      <c r="B18" s="500"/>
      <c r="C18" s="512" t="e">
        <f ca="1">_xll.qlTermStructureReferenceDate(YieldCurve)</f>
        <v>#NAME?</v>
      </c>
      <c r="D18" s="511" t="e">
        <f ca="1">_xll.qlYieldTSDiscount(YieldCurve,C18,,Trigger)</f>
        <v>#NAME?</v>
      </c>
      <c r="E18" s="497"/>
      <c r="G18" s="500"/>
      <c r="H18" s="512" t="e">
        <f ca="1">_xll.qlTermStructureReferenceDate(YieldCurve)</f>
        <v>#NAME?</v>
      </c>
      <c r="I18" s="511" t="e">
        <f ca="1">_xll.qlYieldTSDiscount($I$14,H18,,Trigger)</f>
        <v>#NAME?</v>
      </c>
      <c r="J18" s="497"/>
    </row>
    <row r="19" spans="1:10" x14ac:dyDescent="0.2">
      <c r="B19" s="508"/>
      <c r="C19" s="510" t="e">
        <f ca="1">MAX(_xll.ohPack(Calculation!D5:D129))</f>
        <v>#NAME?</v>
      </c>
      <c r="D19" s="509" t="e">
        <f ca="1">_xll.qlYieldTSDiscount(YieldCurve,C19,,Trigger)</f>
        <v>#NAME?</v>
      </c>
      <c r="E19" s="497"/>
      <c r="G19" s="508"/>
      <c r="H19" s="510" t="e">
        <f ca="1">MAX(_xll.ohPack(Calculation!D27:D151))</f>
        <v>#NAME?</v>
      </c>
      <c r="I19" s="509" t="e">
        <f ca="1">_xll.qlYieldTSDiscount($I$14,H19,,Trigger)</f>
        <v>#NAME?</v>
      </c>
      <c r="J19" s="497"/>
    </row>
    <row r="20" spans="1:10" x14ac:dyDescent="0.2">
      <c r="B20" s="508"/>
      <c r="C20" s="507"/>
      <c r="D20" s="507"/>
      <c r="E20" s="497"/>
      <c r="G20" s="506"/>
      <c r="H20" s="505"/>
      <c r="I20" s="505"/>
      <c r="J20" s="494"/>
    </row>
    <row r="21" spans="1:10" x14ac:dyDescent="0.2">
      <c r="B21" s="500"/>
      <c r="C21" s="504" t="s">
        <v>287</v>
      </c>
      <c r="D21" s="503" t="s">
        <v>286</v>
      </c>
      <c r="E21" s="497"/>
    </row>
    <row r="22" spans="1:10" x14ac:dyDescent="0.2">
      <c r="B22" s="500"/>
      <c r="C22" s="502"/>
      <c r="D22" s="502"/>
      <c r="E22" s="497"/>
    </row>
    <row r="23" spans="1:10" x14ac:dyDescent="0.2">
      <c r="B23" s="500"/>
      <c r="C23" s="499" t="s">
        <v>285</v>
      </c>
      <c r="D23" s="501">
        <v>41934.827800925923</v>
      </c>
      <c r="E23" s="497"/>
    </row>
    <row r="24" spans="1:10" x14ac:dyDescent="0.2">
      <c r="A24" s="493"/>
      <c r="B24" s="500"/>
      <c r="C24" s="499" t="s">
        <v>284</v>
      </c>
      <c r="D24" s="498" t="b">
        <v>0</v>
      </c>
      <c r="E24" s="497"/>
    </row>
    <row r="25" spans="1:10" x14ac:dyDescent="0.2">
      <c r="A25" s="493"/>
      <c r="B25" s="496"/>
      <c r="C25" s="495"/>
      <c r="D25" s="495"/>
      <c r="E25" s="494"/>
    </row>
    <row r="26" spans="1:10" x14ac:dyDescent="0.2">
      <c r="A26" s="493"/>
    </row>
    <row r="27" spans="1:10" x14ac:dyDescent="0.2">
      <c r="A27" s="493"/>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2" hidden="1" customWidth="1" outlineLevel="1"/>
    <col min="2" max="3" width="4" style="423" hidden="1" customWidth="1" outlineLevel="1"/>
    <col min="4" max="4" width="7" style="423" bestFit="1" customWidth="1" collapsed="1"/>
    <col min="5" max="6" width="21.42578125" style="422" bestFit="1" customWidth="1"/>
    <col min="7" max="7" width="8" style="423" bestFit="1" customWidth="1"/>
    <col min="8" max="8" width="9.85546875" style="423" customWidth="1"/>
    <col min="9" max="9" width="9" style="423" customWidth="1"/>
    <col min="10" max="11" width="17.28515625" style="423" bestFit="1" customWidth="1"/>
    <col min="12" max="12" width="2.7109375" style="422" bestFit="1" customWidth="1"/>
    <col min="13" max="16384" width="9.140625" style="422"/>
  </cols>
  <sheetData>
    <row r="1" spans="1:14" ht="23.25" thickBot="1" x14ac:dyDescent="0.25">
      <c r="B1" s="1403" t="s">
        <v>144</v>
      </c>
      <c r="C1" s="1404"/>
      <c r="D1" s="1405"/>
      <c r="E1" s="491" t="s">
        <v>283</v>
      </c>
      <c r="F1" s="491" t="s">
        <v>282</v>
      </c>
      <c r="G1" s="491" t="s">
        <v>281</v>
      </c>
      <c r="H1" s="491" t="s">
        <v>280</v>
      </c>
      <c r="I1" s="491" t="s">
        <v>279</v>
      </c>
      <c r="J1" s="491" t="s">
        <v>272</v>
      </c>
      <c r="K1" s="491" t="s">
        <v>271</v>
      </c>
    </row>
    <row r="2" spans="1:14" ht="15" x14ac:dyDescent="0.25">
      <c r="B2" s="490"/>
      <c r="C2" s="489"/>
      <c r="D2" s="488" t="s">
        <v>278</v>
      </c>
      <c r="E2" s="487" t="str">
        <f t="shared" ref="E2:E12" si="0">UPPER(Currency)&amp;B2&amp;C2&amp;D2&amp;"_Quote"</f>
        <v>EURSND_Quote</v>
      </c>
      <c r="F2" s="487" t="e">
        <f ca="1">_xll.qlFraRateHelper("W"&amp;Currency&amp;B2&amp;C2&amp;D2,E2,"2d",OvernightIndex,,EvaluationDate)</f>
        <v>#NAME?</v>
      </c>
      <c r="G2" s="486" t="b">
        <v>0</v>
      </c>
      <c r="H2" s="486">
        <v>10</v>
      </c>
      <c r="I2" s="486">
        <v>1</v>
      </c>
      <c r="J2" s="485" t="e">
        <f ca="1">_xll.qlRateHelperEarliestDate($F2)</f>
        <v>#NAME?</v>
      </c>
      <c r="K2" s="485" t="e">
        <f ca="1">qlRateHelperLatestDate($F2)</f>
        <v>#NAME?</v>
      </c>
      <c r="M2" s="1360" t="s">
        <v>529</v>
      </c>
      <c r="N2" s="1363" t="e">
        <f ca="1">_xll.ohTrigger('General Settings_2'!Trigger)</f>
        <v>#NAME?</v>
      </c>
    </row>
    <row r="3" spans="1:14" ht="11.25" customHeight="1" thickBot="1" x14ac:dyDescent="0.3">
      <c r="A3" s="429" t="e">
        <f ca="1">_xll.qlECBNextDate(SettlementDate)</f>
        <v>#NAME?</v>
      </c>
      <c r="B3" s="481" t="s">
        <v>146</v>
      </c>
      <c r="C3" s="481" t="s">
        <v>135</v>
      </c>
      <c r="D3" s="483" t="e">
        <f ca="1">_xll.qlECBcode(A3)</f>
        <v>#NAME?</v>
      </c>
      <c r="E3" s="455" t="e">
        <f t="shared" ca="1" si="0"/>
        <v>#NAME?</v>
      </c>
      <c r="F3" s="455" t="e">
        <f ca="1">_xll.qlDatedOISRateHelper("W"&amp;Currency&amp;B3&amp;C3&amp;D3,A3,A4,E3,OvernightIndex)</f>
        <v>#NAME?</v>
      </c>
      <c r="G3" s="475" t="b">
        <f t="shared" ref="G3:G12" ca="1" si="1">IF(ISERROR(F3),FALSE,TRUE)</f>
        <v>0</v>
      </c>
      <c r="H3" s="479">
        <v>70</v>
      </c>
      <c r="I3" s="479">
        <v>5</v>
      </c>
      <c r="J3" s="478" t="e">
        <f ca="1">_xll.qlRateHelperEarliestDate($F3)</f>
        <v>#NAME?</v>
      </c>
      <c r="K3" s="478" t="e">
        <f ca="1">_xll.qlRateHelperLatestDate($F3)</f>
        <v>#NAME?</v>
      </c>
      <c r="L3" s="446"/>
      <c r="M3" s="1361" t="s">
        <v>530</v>
      </c>
      <c r="N3" s="1364" t="e">
        <f ca="1">_xll.ohTrigger(RateHelpers)</f>
        <v>#NAME?</v>
      </c>
    </row>
    <row r="4" spans="1:14" x14ac:dyDescent="0.2">
      <c r="A4" s="429" t="e">
        <f ca="1">_xll.qlECBNextDate(A3)</f>
        <v>#NAME?</v>
      </c>
      <c r="B4" s="477" t="s">
        <v>146</v>
      </c>
      <c r="C4" s="477" t="s">
        <v>135</v>
      </c>
      <c r="D4" s="482" t="e">
        <f ca="1">_xll.qlECBcode(A4)</f>
        <v>#NAME?</v>
      </c>
      <c r="E4" s="440" t="e">
        <f t="shared" ca="1" si="0"/>
        <v>#NAME?</v>
      </c>
      <c r="F4" s="440" t="e">
        <f ca="1">_xll.qlDatedOISRateHelper("W"&amp;Currency&amp;B4&amp;C4&amp;D4,A4,A5,E4,OvernightIndex)</f>
        <v>#NAME?</v>
      </c>
      <c r="G4" s="475" t="b">
        <f t="shared" ca="1" si="1"/>
        <v>0</v>
      </c>
      <c r="H4" s="475">
        <v>70</v>
      </c>
      <c r="I4" s="475">
        <v>5</v>
      </c>
      <c r="J4" s="474" t="e">
        <f ca="1">_xll.qlRateHelperEarliestDate($F4)</f>
        <v>#NAME?</v>
      </c>
      <c r="K4" s="474" t="e">
        <f ca="1">_xll.qlRateHelperLatestDate($F4)</f>
        <v>#NAME?</v>
      </c>
      <c r="L4" s="484"/>
    </row>
    <row r="5" spans="1:14" x14ac:dyDescent="0.2">
      <c r="A5" s="429" t="e">
        <f ca="1">_xll.qlECBNextDate(A4)</f>
        <v>#NAME?</v>
      </c>
      <c r="B5" s="477" t="s">
        <v>146</v>
      </c>
      <c r="C5" s="477" t="s">
        <v>135</v>
      </c>
      <c r="D5" s="482" t="e">
        <f ca="1">_xll.qlECBcode(A5)</f>
        <v>#NAME?</v>
      </c>
      <c r="E5" s="440" t="e">
        <f t="shared" ca="1" si="0"/>
        <v>#NAME?</v>
      </c>
      <c r="F5" s="440" t="e">
        <f ca="1">_xll.qlDatedOISRateHelper("W"&amp;Currency&amp;B5&amp;C5&amp;D5,A5,A6,E5,OvernightIndex)</f>
        <v>#NAME?</v>
      </c>
      <c r="G5" s="475" t="b">
        <f t="shared" ca="1" si="1"/>
        <v>0</v>
      </c>
      <c r="H5" s="475">
        <v>70</v>
      </c>
      <c r="I5" s="475">
        <v>5</v>
      </c>
      <c r="J5" s="474" t="e">
        <f ca="1">_xll.qlRateHelperEarliestDate($F5)</f>
        <v>#NAME?</v>
      </c>
      <c r="K5" s="474" t="e">
        <f ca="1">_xll.qlRateHelperLatestDate($F5)</f>
        <v>#NAME?</v>
      </c>
    </row>
    <row r="6" spans="1:14" x14ac:dyDescent="0.2">
      <c r="A6" s="429" t="e">
        <f ca="1">_xll.qlECBNextDate(A5)</f>
        <v>#NAME?</v>
      </c>
      <c r="B6" s="477" t="s">
        <v>146</v>
      </c>
      <c r="C6" s="477" t="s">
        <v>135</v>
      </c>
      <c r="D6" s="482" t="e">
        <f ca="1">_xll.qlECBcode(A6)</f>
        <v>#NAME?</v>
      </c>
      <c r="E6" s="440" t="e">
        <f t="shared" ca="1" si="0"/>
        <v>#NAME?</v>
      </c>
      <c r="F6" s="440" t="e">
        <f ca="1">_xll.qlDatedOISRateHelper("W"&amp;Currency&amp;B6&amp;C6&amp;D6,A6,A7,E6,OvernightIndex)</f>
        <v>#NAME?</v>
      </c>
      <c r="G6" s="475" t="b">
        <f t="shared" ca="1" si="1"/>
        <v>0</v>
      </c>
      <c r="H6" s="475">
        <v>70</v>
      </c>
      <c r="I6" s="475">
        <v>5</v>
      </c>
      <c r="J6" s="474" t="e">
        <f ca="1">_xll.qlRateHelperEarliestDate($F6)</f>
        <v>#NAME?</v>
      </c>
      <c r="K6" s="474" t="e">
        <f ca="1">_xll.qlRateHelperLatestDate($F6)</f>
        <v>#NAME?</v>
      </c>
    </row>
    <row r="7" spans="1:14" x14ac:dyDescent="0.2">
      <c r="A7" s="429" t="e">
        <f ca="1">_xll.qlECBNextDate(A6)</f>
        <v>#NAME?</v>
      </c>
      <c r="B7" s="477" t="s">
        <v>146</v>
      </c>
      <c r="C7" s="477" t="s">
        <v>135</v>
      </c>
      <c r="D7" s="482" t="e">
        <f ca="1">_xll.qlECBcode(A7)</f>
        <v>#NAME?</v>
      </c>
      <c r="E7" s="440" t="e">
        <f t="shared" ca="1" si="0"/>
        <v>#NAME?</v>
      </c>
      <c r="F7" s="440" t="e">
        <f ca="1">_xll.qlDatedOISRateHelper("W"&amp;Currency&amp;B7&amp;C7&amp;D7,A7,A8,E7,OvernightIndex)</f>
        <v>#NAME?</v>
      </c>
      <c r="G7" s="475" t="b">
        <f t="shared" ca="1" si="1"/>
        <v>0</v>
      </c>
      <c r="H7" s="475">
        <v>70</v>
      </c>
      <c r="I7" s="475">
        <v>5</v>
      </c>
      <c r="J7" s="474" t="e">
        <f ca="1">_xll.qlRateHelperEarliestDate($F7)</f>
        <v>#NAME?</v>
      </c>
      <c r="K7" s="474" t="e">
        <f ca="1">_xll.qlRateHelperLatestDate($F7)</f>
        <v>#NAME?</v>
      </c>
    </row>
    <row r="8" spans="1:14" x14ac:dyDescent="0.2">
      <c r="A8" s="429" t="e">
        <f ca="1">_xll.qlECBNextDate(A7)</f>
        <v>#NAME?</v>
      </c>
      <c r="B8" s="477" t="s">
        <v>146</v>
      </c>
      <c r="C8" s="477" t="s">
        <v>135</v>
      </c>
      <c r="D8" s="482" t="e">
        <f ca="1">_xll.qlECBcode(A8)</f>
        <v>#NAME?</v>
      </c>
      <c r="E8" s="440" t="e">
        <f t="shared" ca="1" si="0"/>
        <v>#NAME?</v>
      </c>
      <c r="F8" s="440" t="e">
        <f ca="1">_xll.qlDatedOISRateHelper("W"&amp;Currency&amp;B8&amp;C8&amp;D8,A8,A9,E8,OvernightIndex)</f>
        <v>#NAME?</v>
      </c>
      <c r="G8" s="475" t="b">
        <f t="shared" ca="1" si="1"/>
        <v>0</v>
      </c>
      <c r="H8" s="475">
        <v>70</v>
      </c>
      <c r="I8" s="475">
        <v>5</v>
      </c>
      <c r="J8" s="474" t="e">
        <f ca="1">_xll.qlRateHelperEarliestDate($F8)</f>
        <v>#NAME?</v>
      </c>
      <c r="K8" s="474" t="e">
        <f ca="1">_xll.qlRateHelperLatestDate($F8)</f>
        <v>#NAME?</v>
      </c>
    </row>
    <row r="9" spans="1:14" x14ac:dyDescent="0.2">
      <c r="A9" s="429" t="e">
        <f ca="1">_xll.qlECBNextDate(A8)</f>
        <v>#NAME?</v>
      </c>
      <c r="B9" s="477" t="s">
        <v>146</v>
      </c>
      <c r="C9" s="477" t="s">
        <v>135</v>
      </c>
      <c r="D9" s="482" t="e">
        <f ca="1">_xll.qlECBcode(A9)</f>
        <v>#NAME?</v>
      </c>
      <c r="E9" s="440" t="e">
        <f t="shared" ca="1" si="0"/>
        <v>#NAME?</v>
      </c>
      <c r="F9" s="440" t="e">
        <f ca="1">_xll.qlDatedOISRateHelper("W"&amp;Currency&amp;B9&amp;C9&amp;D9,A9,A10,E9,OvernightIndex)</f>
        <v>#NAME?</v>
      </c>
      <c r="G9" s="475" t="b">
        <f t="shared" ca="1" si="1"/>
        <v>0</v>
      </c>
      <c r="H9" s="475">
        <v>70</v>
      </c>
      <c r="I9" s="475">
        <v>5</v>
      </c>
      <c r="J9" s="474" t="e">
        <f ca="1">_xll.qlRateHelperEarliestDate($F9)</f>
        <v>#NAME?</v>
      </c>
      <c r="K9" s="474" t="e">
        <f ca="1">_xll.qlRateHelperLatestDate($F9)</f>
        <v>#NAME?</v>
      </c>
    </row>
    <row r="10" spans="1:14" x14ac:dyDescent="0.2">
      <c r="A10" s="429" t="e">
        <f ca="1">_xll.qlECBNextDate(A9)</f>
        <v>#NAME?</v>
      </c>
      <c r="B10" s="477" t="s">
        <v>146</v>
      </c>
      <c r="C10" s="477" t="s">
        <v>135</v>
      </c>
      <c r="D10" s="482" t="e">
        <f ca="1">_xll.qlECBcode(A10)</f>
        <v>#NAME?</v>
      </c>
      <c r="E10" s="440" t="e">
        <f t="shared" ca="1" si="0"/>
        <v>#NAME?</v>
      </c>
      <c r="F10" s="440" t="e">
        <f ca="1">_xll.qlDatedOISRateHelper("W"&amp;Currency&amp;B10&amp;C10&amp;D10,A10,A11,E10,OvernightIndex)</f>
        <v>#NAME?</v>
      </c>
      <c r="G10" s="475" t="b">
        <f t="shared" ca="1" si="1"/>
        <v>0</v>
      </c>
      <c r="H10" s="475">
        <v>70</v>
      </c>
      <c r="I10" s="475">
        <v>5</v>
      </c>
      <c r="J10" s="474" t="e">
        <f ca="1">_xll.qlRateHelperEarliestDate($F10)</f>
        <v>#NAME?</v>
      </c>
      <c r="K10" s="474" t="e">
        <f ca="1">_xll.qlRateHelperLatestDate($F10)</f>
        <v>#NAME?</v>
      </c>
    </row>
    <row r="11" spans="1:14" x14ac:dyDescent="0.2">
      <c r="A11" s="429" t="e">
        <f ca="1">_xll.qlECBNextDate(A10)</f>
        <v>#NAME?</v>
      </c>
      <c r="B11" s="477" t="s">
        <v>146</v>
      </c>
      <c r="C11" s="477" t="s">
        <v>135</v>
      </c>
      <c r="D11" s="482" t="e">
        <f ca="1">_xll.qlECBcode(A11)</f>
        <v>#NAME?</v>
      </c>
      <c r="E11" s="440" t="e">
        <f t="shared" ca="1" si="0"/>
        <v>#NAME?</v>
      </c>
      <c r="F11" s="440" t="e">
        <f ca="1">_xll.qlDatedOISRateHelper("W"&amp;Currency&amp;B11&amp;C11&amp;D11,A11,A12,E11,OvernightIndex)</f>
        <v>#NAME?</v>
      </c>
      <c r="G11" s="475" t="b">
        <f t="shared" ca="1" si="1"/>
        <v>0</v>
      </c>
      <c r="H11" s="475">
        <v>70</v>
      </c>
      <c r="I11" s="475">
        <v>5</v>
      </c>
      <c r="J11" s="474" t="e">
        <f ca="1">_xll.qlRateHelperEarliestDate($F11)</f>
        <v>#NAME?</v>
      </c>
      <c r="K11" s="474" t="e">
        <f ca="1">_xll.qlRateHelperLatestDate($F11)</f>
        <v>#NAME?</v>
      </c>
    </row>
    <row r="12" spans="1:14" x14ac:dyDescent="0.2">
      <c r="A12" s="429" t="e">
        <f ca="1">_xll.qlECBNextDate(A11)</f>
        <v>#NAME?</v>
      </c>
      <c r="B12" s="477" t="s">
        <v>146</v>
      </c>
      <c r="C12" s="477" t="s">
        <v>135</v>
      </c>
      <c r="D12" s="482" t="e">
        <f ca="1">_xll.qlECBcode(A12)</f>
        <v>#NAME?</v>
      </c>
      <c r="E12" s="440" t="e">
        <f t="shared" ca="1" si="0"/>
        <v>#NAME?</v>
      </c>
      <c r="F12" s="440" t="e">
        <f ca="1">_xll.qlDatedOISRateHelper("W"&amp;Currency&amp;B12&amp;C12&amp;D12,A12,#REF!,E12,OvernightIndex)</f>
        <v>#NAME?</v>
      </c>
      <c r="G12" s="475" t="b">
        <f t="shared" ca="1" si="1"/>
        <v>0</v>
      </c>
      <c r="H12" s="475">
        <v>70</v>
      </c>
      <c r="I12" s="475">
        <v>5</v>
      </c>
      <c r="J12" s="474" t="e">
        <f ca="1">_xll.qlRateHelperEarliestDate($F12)</f>
        <v>#NAME?</v>
      </c>
      <c r="K12" s="474" t="e">
        <f ca="1">_xll.qlRateHelperLatestDate($F12)</f>
        <v>#NAME?</v>
      </c>
    </row>
    <row r="13" spans="1:14" ht="11.25" customHeight="1" x14ac:dyDescent="0.2">
      <c r="A13" s="429" t="b">
        <v>1</v>
      </c>
      <c r="B13" s="481"/>
      <c r="C13" s="481" t="s">
        <v>135</v>
      </c>
      <c r="D13" s="483" t="e">
        <f t="array" aca="1" ref="D13:D17" ca="1">_xll.qlIMMNextCodes(_xll.qlSettingsEvaluationDate(Trigger)-1,$A13:$A17)</f>
        <v>#NAME?</v>
      </c>
      <c r="E13" s="455" t="e">
        <f ca="1">Currency&amp;B13&amp;C13&amp;D13&amp;"_Quote"</f>
        <v>#NAME?</v>
      </c>
      <c r="F13" s="455" t="e">
        <f ca="1">_xll.qlFuturesRateHelper("W"&amp;Currency&amp;C13&amp;D13,E13,D13,PROPER(Currency)&amp;"ibor3M",0,,Trigger)</f>
        <v>#NAME?</v>
      </c>
      <c r="G13" s="479" t="b">
        <v>0</v>
      </c>
      <c r="H13" s="479">
        <v>70</v>
      </c>
      <c r="I13" s="479">
        <v>7</v>
      </c>
      <c r="J13" s="478" t="e">
        <f ca="1">_xll.qlRateHelperEarliestDate($F13)</f>
        <v>#NAME?</v>
      </c>
      <c r="K13" s="478" t="e">
        <f ca="1">_xll.qlRateHelperLatestDate($F13)</f>
        <v>#NAME?</v>
      </c>
    </row>
    <row r="14" spans="1:14" ht="11.25" customHeight="1" x14ac:dyDescent="0.2">
      <c r="A14" s="429" t="b">
        <v>1</v>
      </c>
      <c r="B14" s="477"/>
      <c r="C14" s="477" t="s">
        <v>135</v>
      </c>
      <c r="D14" s="482" t="e">
        <f ca="1"/>
        <v>#NAME?</v>
      </c>
      <c r="E14" s="440" t="e">
        <f ca="1">Currency&amp;B14&amp;C14&amp;D14&amp;"_Quote"</f>
        <v>#NAME?</v>
      </c>
      <c r="F14" s="440" t="e">
        <f ca="1">_xll.qlFuturesRateHelper("W"&amp;Currency&amp;C14&amp;D14,E14,D14,PROPER(Currency)&amp;"ibor3M",0,,Trigger)</f>
        <v>#NAME?</v>
      </c>
      <c r="G14" s="475" t="b">
        <v>0</v>
      </c>
      <c r="H14" s="475">
        <v>70</v>
      </c>
      <c r="I14" s="475">
        <v>7</v>
      </c>
      <c r="J14" s="474" t="e">
        <f ca="1">_xll.qlRateHelperEarliestDate($F14)</f>
        <v>#NAME?</v>
      </c>
      <c r="K14" s="474" t="e">
        <f ca="1">_xll.qlRateHelperLatestDate($F14)</f>
        <v>#NAME?</v>
      </c>
    </row>
    <row r="15" spans="1:14" ht="11.25" customHeight="1" x14ac:dyDescent="0.2">
      <c r="A15" s="429" t="b">
        <v>1</v>
      </c>
      <c r="B15" s="477"/>
      <c r="C15" s="477" t="s">
        <v>135</v>
      </c>
      <c r="D15" s="482" t="e">
        <f ca="1"/>
        <v>#NAME?</v>
      </c>
      <c r="E15" s="440" t="e">
        <f ca="1">Currency&amp;B15&amp;C15&amp;D15&amp;"_Quote"</f>
        <v>#NAME?</v>
      </c>
      <c r="F15" s="440" t="e">
        <f ca="1">_xll.qlFuturesRateHelper("W"&amp;Currency&amp;C15&amp;D15,E15,D15,PROPER(Currency)&amp;"ibor3M",0,,Trigger)</f>
        <v>#NAME?</v>
      </c>
      <c r="G15" s="475" t="b">
        <v>0</v>
      </c>
      <c r="H15" s="475">
        <v>70</v>
      </c>
      <c r="I15" s="475">
        <v>7</v>
      </c>
      <c r="J15" s="474" t="e">
        <f ca="1">_xll.qlRateHelperEarliestDate($F15)</f>
        <v>#NAME?</v>
      </c>
      <c r="K15" s="474" t="e">
        <f ca="1">_xll.qlRateHelperLatestDate($F15)</f>
        <v>#NAME?</v>
      </c>
    </row>
    <row r="16" spans="1:14" ht="11.25" customHeight="1" x14ac:dyDescent="0.2">
      <c r="A16" s="429" t="b">
        <v>1</v>
      </c>
      <c r="B16" s="477"/>
      <c r="C16" s="477" t="s">
        <v>135</v>
      </c>
      <c r="D16" s="482" t="e">
        <f ca="1"/>
        <v>#NAME?</v>
      </c>
      <c r="E16" s="440" t="e">
        <f ca="1">Currency&amp;B16&amp;C16&amp;D16&amp;"_Quote"</f>
        <v>#NAME?</v>
      </c>
      <c r="F16" s="440" t="e">
        <f ca="1">_xll.qlFuturesRateHelper("W"&amp;Currency&amp;C16&amp;D16,E16,D16,PROPER(Currency)&amp;"ibor3M",0,,Trigger)</f>
        <v>#NAME?</v>
      </c>
      <c r="G16" s="475" t="b">
        <v>0</v>
      </c>
      <c r="H16" s="475">
        <v>70</v>
      </c>
      <c r="I16" s="475">
        <v>7</v>
      </c>
      <c r="J16" s="474" t="e">
        <f ca="1">_xll.qlRateHelperEarliestDate($F16)</f>
        <v>#NAME?</v>
      </c>
      <c r="K16" s="474" t="e">
        <f ca="1">_xll.qlRateHelperLatestDate($F16)</f>
        <v>#NAME?</v>
      </c>
    </row>
    <row r="17" spans="1:11" ht="11.25" customHeight="1" x14ac:dyDescent="0.2">
      <c r="A17" s="429" t="b">
        <v>1</v>
      </c>
      <c r="B17" s="477"/>
      <c r="C17" s="473" t="s">
        <v>135</v>
      </c>
      <c r="D17" s="482" t="e">
        <f ca="1"/>
        <v>#NAME?</v>
      </c>
      <c r="E17" s="440" t="e">
        <f ca="1">Currency&amp;B17&amp;C17&amp;D17&amp;"_Quote"</f>
        <v>#NAME?</v>
      </c>
      <c r="F17" s="440" t="e">
        <f ca="1">_xll.qlFuturesRateHelper("W"&amp;Currency&amp;C17&amp;D17,E17,D17,PROPER(Currency)&amp;"ibor3M",0,,Trigger)</f>
        <v>#NAME?</v>
      </c>
      <c r="G17" s="475" t="b">
        <v>0</v>
      </c>
      <c r="H17" s="475">
        <v>70</v>
      </c>
      <c r="I17" s="475">
        <v>7</v>
      </c>
      <c r="J17" s="474" t="e">
        <f ca="1">_xll.qlRateHelperEarliestDate($F17)</f>
        <v>#NAME?</v>
      </c>
      <c r="K17" s="474" t="e">
        <f ca="1">_xll.qlRateHelperLatestDate($F17)</f>
        <v>#NAME?</v>
      </c>
    </row>
    <row r="18" spans="1:11" ht="11.25" customHeight="1" x14ac:dyDescent="0.2">
      <c r="A18" s="429"/>
      <c r="B18" s="481"/>
      <c r="C18" s="481" t="str">
        <f t="shared" ref="C18:C36" si="2">IborType</f>
        <v>EON</v>
      </c>
      <c r="D18" s="480" t="s">
        <v>178</v>
      </c>
      <c r="E18" s="455" t="str">
        <f t="shared" ref="E18:E36" si="3">UPPER(Currency)&amp;B18&amp;C18&amp;D18&amp;"_Quote"</f>
        <v>EUREONSW_Quote</v>
      </c>
      <c r="F18" s="455" t="e">
        <f ca="1">_xll.qlOISRateHelper("W"&amp;Currency&amp;B18&amp;C18&amp;D18,2,"1w",E18,OvernightIndex,,EvaluationDate)</f>
        <v>#NAME?</v>
      </c>
      <c r="G18" s="479" t="b">
        <v>1</v>
      </c>
      <c r="H18" s="479">
        <v>50</v>
      </c>
      <c r="I18" s="479">
        <v>1</v>
      </c>
      <c r="J18" s="478" t="e">
        <f ca="1">_xll.qlRateHelperEarliestDate($F18)</f>
        <v>#NAME?</v>
      </c>
      <c r="K18" s="478" t="e">
        <f ca="1">_xll.qlRateHelperLatestDate($F18)</f>
        <v>#NAME?</v>
      </c>
    </row>
    <row r="19" spans="1:11" x14ac:dyDescent="0.2">
      <c r="B19" s="477"/>
      <c r="C19" s="477" t="str">
        <f t="shared" si="2"/>
        <v>EON</v>
      </c>
      <c r="D19" s="476" t="s">
        <v>177</v>
      </c>
      <c r="E19" s="440" t="str">
        <f t="shared" si="3"/>
        <v>EUREON2W_Quote</v>
      </c>
      <c r="F19" s="440" t="e">
        <f ca="1">_xll.qlOISRateHelper("W"&amp;Currency&amp;B19&amp;C19&amp;D19,2,D19,E19,OvernightIndex,,EvaluationDate)</f>
        <v>#NAME?</v>
      </c>
      <c r="G19" s="475" t="b">
        <v>1</v>
      </c>
      <c r="H19" s="475">
        <v>50</v>
      </c>
      <c r="I19" s="475">
        <v>1</v>
      </c>
      <c r="J19" s="474" t="e">
        <f ca="1">_xll.qlRateHelperEarliestDate($F19)</f>
        <v>#NAME?</v>
      </c>
      <c r="K19" s="474" t="e">
        <f ca="1">_xll.qlRateHelperLatestDate($F19)</f>
        <v>#NAME?</v>
      </c>
    </row>
    <row r="20" spans="1:11" x14ac:dyDescent="0.2">
      <c r="B20" s="477"/>
      <c r="C20" s="477" t="str">
        <f t="shared" si="2"/>
        <v>EON</v>
      </c>
      <c r="D20" s="476" t="s">
        <v>176</v>
      </c>
      <c r="E20" s="440" t="str">
        <f t="shared" si="3"/>
        <v>EUREON3W_Quote</v>
      </c>
      <c r="F20" s="440" t="e">
        <f ca="1">_xll.qlOISRateHelper("W"&amp;Currency&amp;B20&amp;C20&amp;D20,2,D20,E20,OvernightIndex,,EvaluationDate)</f>
        <v>#NAME?</v>
      </c>
      <c r="G20" s="475" t="b">
        <v>1</v>
      </c>
      <c r="H20" s="475">
        <v>50</v>
      </c>
      <c r="I20" s="475">
        <v>1</v>
      </c>
      <c r="J20" s="474" t="e">
        <f ca="1">_xll.qlRateHelperEarliestDate($F20)</f>
        <v>#NAME?</v>
      </c>
      <c r="K20" s="474" t="e">
        <f ca="1">_xll.qlRateHelperLatestDate($F20)</f>
        <v>#NAME?</v>
      </c>
    </row>
    <row r="21" spans="1:11" x14ac:dyDescent="0.2">
      <c r="B21" s="477"/>
      <c r="C21" s="477" t="str">
        <f t="shared" si="2"/>
        <v>EON</v>
      </c>
      <c r="D21" s="476" t="s">
        <v>175</v>
      </c>
      <c r="E21" s="440" t="str">
        <f t="shared" si="3"/>
        <v>EUREON1M_Quote</v>
      </c>
      <c r="F21" s="440" t="e">
        <f ca="1">_xll.qlOISRateHelper("W"&amp;Currency&amp;B21&amp;C21&amp;D21,2,D21,E21,OvernightIndex,,EvaluationDate)</f>
        <v>#NAME?</v>
      </c>
      <c r="G21" s="475" t="b">
        <v>1</v>
      </c>
      <c r="H21" s="475">
        <v>50</v>
      </c>
      <c r="I21" s="475">
        <v>1</v>
      </c>
      <c r="J21" s="474" t="e">
        <f ca="1">_xll.qlRateHelperEarliestDate($F21)</f>
        <v>#NAME?</v>
      </c>
      <c r="K21" s="474" t="e">
        <f ca="1">_xll.qlRateHelperLatestDate($F21)</f>
        <v>#NAME?</v>
      </c>
    </row>
    <row r="22" spans="1:11" x14ac:dyDescent="0.2">
      <c r="B22" s="477"/>
      <c r="C22" s="477" t="str">
        <f t="shared" si="2"/>
        <v>EON</v>
      </c>
      <c r="D22" s="476" t="s">
        <v>174</v>
      </c>
      <c r="E22" s="440" t="str">
        <f t="shared" si="3"/>
        <v>EUREON2M_Quote</v>
      </c>
      <c r="F22" s="440" t="e">
        <f ca="1">_xll.qlOISRateHelper("W"&amp;Currency&amp;B22&amp;C22&amp;D22,2,D22,E22,OvernightIndex,,EvaluationDate)</f>
        <v>#NAME?</v>
      </c>
      <c r="G22" s="475" t="b">
        <v>1</v>
      </c>
      <c r="H22" s="475">
        <v>50</v>
      </c>
      <c r="I22" s="475">
        <v>1</v>
      </c>
      <c r="J22" s="474" t="e">
        <f ca="1">_xll.qlRateHelperEarliestDate($F22)</f>
        <v>#NAME?</v>
      </c>
      <c r="K22" s="474" t="e">
        <f ca="1">_xll.qlRateHelperLatestDate($F22)</f>
        <v>#NAME?</v>
      </c>
    </row>
    <row r="23" spans="1:11" x14ac:dyDescent="0.2">
      <c r="B23" s="477"/>
      <c r="C23" s="477" t="str">
        <f t="shared" si="2"/>
        <v>EON</v>
      </c>
      <c r="D23" s="476" t="s">
        <v>127</v>
      </c>
      <c r="E23" s="440" t="str">
        <f t="shared" si="3"/>
        <v>EUREON3M_Quote</v>
      </c>
      <c r="F23" s="440" t="e">
        <f ca="1">_xll.qlOISRateHelper("W"&amp;Currency&amp;B23&amp;C23&amp;D23,2,D23,E23,OvernightIndex,,EvaluationDate)</f>
        <v>#NAME?</v>
      </c>
      <c r="G23" s="475" t="b">
        <v>1</v>
      </c>
      <c r="H23" s="475">
        <v>50</v>
      </c>
      <c r="I23" s="475">
        <v>1</v>
      </c>
      <c r="J23" s="474" t="e">
        <f ca="1">_xll.qlRateHelperEarliestDate($F23)</f>
        <v>#NAME?</v>
      </c>
      <c r="K23" s="474" t="e">
        <f ca="1">_xll.qlRateHelperLatestDate($F23)</f>
        <v>#NAME?</v>
      </c>
    </row>
    <row r="24" spans="1:11" x14ac:dyDescent="0.2">
      <c r="B24" s="477"/>
      <c r="C24" s="477" t="str">
        <f t="shared" si="2"/>
        <v>EON</v>
      </c>
      <c r="D24" s="476" t="s">
        <v>173</v>
      </c>
      <c r="E24" s="440" t="str">
        <f t="shared" si="3"/>
        <v>EUREON4M_Quote</v>
      </c>
      <c r="F24" s="440" t="e">
        <f ca="1">_xll.qlOISRateHelper("W"&amp;Currency&amp;B24&amp;C24&amp;D24,2,D24,E24,OvernightIndex,,EvaluationDate)</f>
        <v>#NAME?</v>
      </c>
      <c r="G24" s="475" t="b">
        <v>1</v>
      </c>
      <c r="H24" s="475">
        <v>50</v>
      </c>
      <c r="I24" s="475">
        <v>1</v>
      </c>
      <c r="J24" s="474" t="e">
        <f ca="1">_xll.qlRateHelperEarliestDate($F24)</f>
        <v>#NAME?</v>
      </c>
      <c r="K24" s="474" t="e">
        <f ca="1">_xll.qlRateHelperLatestDate($F24)</f>
        <v>#NAME?</v>
      </c>
    </row>
    <row r="25" spans="1:11" x14ac:dyDescent="0.2">
      <c r="B25" s="477"/>
      <c r="C25" s="477" t="str">
        <f t="shared" si="2"/>
        <v>EON</v>
      </c>
      <c r="D25" s="476" t="s">
        <v>172</v>
      </c>
      <c r="E25" s="440" t="str">
        <f t="shared" si="3"/>
        <v>EUREON5M_Quote</v>
      </c>
      <c r="F25" s="440" t="e">
        <f ca="1">_xll.qlOISRateHelper("W"&amp;Currency&amp;B25&amp;C25&amp;D25,2,D25,E25,OvernightIndex,,EvaluationDate)</f>
        <v>#NAME?</v>
      </c>
      <c r="G25" s="475" t="b">
        <v>1</v>
      </c>
      <c r="H25" s="475">
        <v>50</v>
      </c>
      <c r="I25" s="475">
        <v>1</v>
      </c>
      <c r="J25" s="474" t="e">
        <f ca="1">_xll.qlRateHelperEarliestDate($F25)</f>
        <v>#NAME?</v>
      </c>
      <c r="K25" s="474" t="e">
        <f ca="1">_xll.qlRateHelperLatestDate($F25)</f>
        <v>#NAME?</v>
      </c>
    </row>
    <row r="26" spans="1:11" x14ac:dyDescent="0.2">
      <c r="B26" s="477"/>
      <c r="C26" s="477" t="str">
        <f t="shared" si="2"/>
        <v>EON</v>
      </c>
      <c r="D26" s="476" t="s">
        <v>92</v>
      </c>
      <c r="E26" s="440" t="str">
        <f t="shared" si="3"/>
        <v>EUREON6M_Quote</v>
      </c>
      <c r="F26" s="440" t="e">
        <f ca="1">_xll.qlOISRateHelper("W"&amp;Currency&amp;B26&amp;C26&amp;D26,2,D26,E26,OvernightIndex,,EvaluationDate)</f>
        <v>#NAME?</v>
      </c>
      <c r="G26" s="475" t="b">
        <v>1</v>
      </c>
      <c r="H26" s="475">
        <v>50</v>
      </c>
      <c r="I26" s="475">
        <v>1</v>
      </c>
      <c r="J26" s="474" t="e">
        <f ca="1">_xll.qlRateHelperEarliestDate($F26)</f>
        <v>#NAME?</v>
      </c>
      <c r="K26" s="474" t="e">
        <f ca="1">_xll.qlRateHelperLatestDate($F26)</f>
        <v>#NAME?</v>
      </c>
    </row>
    <row r="27" spans="1:11" x14ac:dyDescent="0.2">
      <c r="B27" s="477"/>
      <c r="C27" s="477" t="str">
        <f t="shared" si="2"/>
        <v>EON</v>
      </c>
      <c r="D27" s="476" t="s">
        <v>171</v>
      </c>
      <c r="E27" s="440" t="str">
        <f t="shared" si="3"/>
        <v>EUREON7M_Quote</v>
      </c>
      <c r="F27" s="440" t="e">
        <f ca="1">_xll.qlOISRateHelper("W"&amp;Currency&amp;B27&amp;C27&amp;D27,2,D27,E27,OvernightIndex,,EvaluationDate)</f>
        <v>#NAME?</v>
      </c>
      <c r="G27" s="475" t="b">
        <v>1</v>
      </c>
      <c r="H27" s="475">
        <v>50</v>
      </c>
      <c r="I27" s="475">
        <v>1</v>
      </c>
      <c r="J27" s="474" t="e">
        <f ca="1">_xll.qlRateHelperEarliestDate($F27)</f>
        <v>#NAME?</v>
      </c>
      <c r="K27" s="474" t="e">
        <f ca="1">_xll.qlRateHelperLatestDate($F27)</f>
        <v>#NAME?</v>
      </c>
    </row>
    <row r="28" spans="1:11" x14ac:dyDescent="0.2">
      <c r="B28" s="477"/>
      <c r="C28" s="477" t="str">
        <f t="shared" si="2"/>
        <v>EON</v>
      </c>
      <c r="D28" s="476" t="s">
        <v>170</v>
      </c>
      <c r="E28" s="440" t="str">
        <f t="shared" si="3"/>
        <v>EUREON8M_Quote</v>
      </c>
      <c r="F28" s="440" t="e">
        <f ca="1">_xll.qlOISRateHelper("W"&amp;Currency&amp;B28&amp;C28&amp;D28,2,D28,E28,OvernightIndex,,EvaluationDate)</f>
        <v>#NAME?</v>
      </c>
      <c r="G28" s="475" t="b">
        <v>1</v>
      </c>
      <c r="H28" s="475">
        <v>50</v>
      </c>
      <c r="I28" s="475">
        <v>1</v>
      </c>
      <c r="J28" s="474" t="e">
        <f ca="1">_xll.qlRateHelperEarliestDate($F28)</f>
        <v>#NAME?</v>
      </c>
      <c r="K28" s="474" t="e">
        <f ca="1">_xll.qlRateHelperLatestDate($F28)</f>
        <v>#NAME?</v>
      </c>
    </row>
    <row r="29" spans="1:11" x14ac:dyDescent="0.2">
      <c r="B29" s="477"/>
      <c r="C29" s="477" t="str">
        <f t="shared" si="2"/>
        <v>EON</v>
      </c>
      <c r="D29" s="476" t="s">
        <v>169</v>
      </c>
      <c r="E29" s="440" t="str">
        <f t="shared" si="3"/>
        <v>EUREON9M_Quote</v>
      </c>
      <c r="F29" s="440" t="e">
        <f ca="1">_xll.qlOISRateHelper("W"&amp;Currency&amp;B29&amp;C29&amp;D29,2,D29,E29,OvernightIndex,,EvaluationDate)</f>
        <v>#NAME?</v>
      </c>
      <c r="G29" s="475" t="b">
        <v>1</v>
      </c>
      <c r="H29" s="475">
        <v>50</v>
      </c>
      <c r="I29" s="475">
        <v>1</v>
      </c>
      <c r="J29" s="474" t="e">
        <f ca="1">_xll.qlRateHelperEarliestDate($F29)</f>
        <v>#NAME?</v>
      </c>
      <c r="K29" s="474" t="e">
        <f ca="1">_xll.qlRateHelperLatestDate($F29)</f>
        <v>#NAME?</v>
      </c>
    </row>
    <row r="30" spans="1:11" x14ac:dyDescent="0.2">
      <c r="B30" s="477"/>
      <c r="C30" s="477" t="str">
        <f t="shared" si="2"/>
        <v>EON</v>
      </c>
      <c r="D30" s="476" t="s">
        <v>168</v>
      </c>
      <c r="E30" s="440" t="str">
        <f t="shared" si="3"/>
        <v>EUREON10M_Quote</v>
      </c>
      <c r="F30" s="440" t="e">
        <f ca="1">_xll.qlOISRateHelper("W"&amp;Currency&amp;B30&amp;C30&amp;D30,2,D30,E30,OvernightIndex,,EvaluationDate)</f>
        <v>#NAME?</v>
      </c>
      <c r="G30" s="475" t="b">
        <v>1</v>
      </c>
      <c r="H30" s="475">
        <v>50</v>
      </c>
      <c r="I30" s="475">
        <v>1</v>
      </c>
      <c r="J30" s="474" t="e">
        <f ca="1">_xll.qlRateHelperEarliestDate($F30)</f>
        <v>#NAME?</v>
      </c>
      <c r="K30" s="474" t="e">
        <f ca="1">_xll.qlRateHelperLatestDate($F30)</f>
        <v>#NAME?</v>
      </c>
    </row>
    <row r="31" spans="1:11" x14ac:dyDescent="0.2">
      <c r="B31" s="477"/>
      <c r="C31" s="477" t="str">
        <f t="shared" si="2"/>
        <v>EON</v>
      </c>
      <c r="D31" s="476" t="s">
        <v>167</v>
      </c>
      <c r="E31" s="440" t="str">
        <f t="shared" si="3"/>
        <v>EUREON11M_Quote</v>
      </c>
      <c r="F31" s="440" t="e">
        <f ca="1">_xll.qlOISRateHelper("W"&amp;Currency&amp;B31&amp;C31&amp;D31,2,D31,E31,OvernightIndex,,EvaluationDate)</f>
        <v>#NAME?</v>
      </c>
      <c r="G31" s="475" t="b">
        <v>1</v>
      </c>
      <c r="H31" s="475">
        <v>50</v>
      </c>
      <c r="I31" s="475">
        <v>1</v>
      </c>
      <c r="J31" s="474" t="e">
        <f ca="1">_xll.qlRateHelperEarliestDate($F31)</f>
        <v>#NAME?</v>
      </c>
      <c r="K31" s="474" t="e">
        <f ca="1">_xll.qlRateHelperLatestDate($F31)</f>
        <v>#NAME?</v>
      </c>
    </row>
    <row r="32" spans="1:11" x14ac:dyDescent="0.2">
      <c r="B32" s="477"/>
      <c r="C32" s="477" t="str">
        <f t="shared" si="2"/>
        <v>EON</v>
      </c>
      <c r="D32" s="476" t="s">
        <v>58</v>
      </c>
      <c r="E32" s="440" t="str">
        <f t="shared" si="3"/>
        <v>EUREON1Y_Quote</v>
      </c>
      <c r="F32" s="440" t="e">
        <f ca="1">_xll.qlOISRateHelper("W"&amp;Currency&amp;B32&amp;C32&amp;D32,2,D32,E32,OvernightIndex,,EvaluationDate)</f>
        <v>#NAME?</v>
      </c>
      <c r="G32" s="475" t="b">
        <v>1</v>
      </c>
      <c r="H32" s="475">
        <v>50</v>
      </c>
      <c r="I32" s="475">
        <v>1</v>
      </c>
      <c r="J32" s="474" t="e">
        <f ca="1">_xll.qlRateHelperEarliestDate($F32)</f>
        <v>#NAME?</v>
      </c>
      <c r="K32" s="474" t="e">
        <f ca="1">_xll.qlRateHelperLatestDate($F32)</f>
        <v>#NAME?</v>
      </c>
    </row>
    <row r="33" spans="2:11" x14ac:dyDescent="0.2">
      <c r="B33" s="477"/>
      <c r="C33" s="477" t="str">
        <f t="shared" si="2"/>
        <v>EON</v>
      </c>
      <c r="D33" s="476" t="s">
        <v>57</v>
      </c>
      <c r="E33" s="440" t="str">
        <f t="shared" si="3"/>
        <v>EUREON15M_Quote</v>
      </c>
      <c r="F33" s="440" t="e">
        <f ca="1">_xll.qlOISRateHelper("W"&amp;Currency&amp;B33&amp;C33&amp;D33,2,D33,E33,OvernightIndex,,EvaluationDate)</f>
        <v>#NAME?</v>
      </c>
      <c r="G33" s="475" t="b">
        <v>1</v>
      </c>
      <c r="H33" s="475">
        <v>50</v>
      </c>
      <c r="I33" s="475">
        <v>1</v>
      </c>
      <c r="J33" s="474" t="e">
        <f ca="1">_xll.qlRateHelperEarliestDate($F33)</f>
        <v>#NAME?</v>
      </c>
      <c r="K33" s="474" t="e">
        <f ca="1">_xll.qlRateHelperLatestDate($F33)</f>
        <v>#NAME?</v>
      </c>
    </row>
    <row r="34" spans="2:11" x14ac:dyDescent="0.2">
      <c r="B34" s="477"/>
      <c r="C34" s="477" t="str">
        <f t="shared" si="2"/>
        <v>EON</v>
      </c>
      <c r="D34" s="476" t="s">
        <v>56</v>
      </c>
      <c r="E34" s="440" t="str">
        <f t="shared" si="3"/>
        <v>EUREON18M_Quote</v>
      </c>
      <c r="F34" s="440" t="e">
        <f ca="1">_xll.qlOISRateHelper("W"&amp;Currency&amp;B34&amp;C34&amp;D34,2,D34,E34,OvernightIndex,,EvaluationDate)</f>
        <v>#NAME?</v>
      </c>
      <c r="G34" s="475" t="b">
        <v>1</v>
      </c>
      <c r="H34" s="475">
        <v>50</v>
      </c>
      <c r="I34" s="475">
        <v>1</v>
      </c>
      <c r="J34" s="474" t="e">
        <f ca="1">_xll.qlRateHelperEarliestDate($F34)</f>
        <v>#NAME?</v>
      </c>
      <c r="K34" s="474" t="e">
        <f ca="1">_xll.qlRateHelperLatestDate($F34)</f>
        <v>#NAME?</v>
      </c>
    </row>
    <row r="35" spans="2:11" x14ac:dyDescent="0.2">
      <c r="B35" s="477"/>
      <c r="C35" s="477" t="str">
        <f t="shared" si="2"/>
        <v>EON</v>
      </c>
      <c r="D35" s="476" t="s">
        <v>55</v>
      </c>
      <c r="E35" s="440" t="str">
        <f t="shared" si="3"/>
        <v>EUREON21M_Quote</v>
      </c>
      <c r="F35" s="440" t="e">
        <f ca="1">_xll.qlOISRateHelper("W"&amp;Currency&amp;B35&amp;C35&amp;D35,2,D35,E35,OvernightIndex,,EvaluationDate)</f>
        <v>#NAME?</v>
      </c>
      <c r="G35" s="475" t="b">
        <v>1</v>
      </c>
      <c r="H35" s="475">
        <v>50</v>
      </c>
      <c r="I35" s="475">
        <v>1</v>
      </c>
      <c r="J35" s="474" t="e">
        <f ca="1">_xll.qlRateHelperEarliestDate($F35)</f>
        <v>#NAME?</v>
      </c>
      <c r="K35" s="474" t="e">
        <f ca="1">_xll.qlRateHelperLatestDate($F35)</f>
        <v>#NAME?</v>
      </c>
    </row>
    <row r="36" spans="2:11" x14ac:dyDescent="0.2">
      <c r="B36" s="473"/>
      <c r="C36" s="473" t="str">
        <f t="shared" si="2"/>
        <v>EON</v>
      </c>
      <c r="D36" s="472" t="s">
        <v>54</v>
      </c>
      <c r="E36" s="426" t="str">
        <f t="shared" si="3"/>
        <v>EUREON2Y_Quote</v>
      </c>
      <c r="F36" s="426" t="e">
        <f ca="1">_xll.qlOISRateHelper("W"&amp;Currency&amp;B36&amp;C36&amp;D36,2,D36,E36,OvernightIndex,,EvaluationDate)</f>
        <v>#NAME?</v>
      </c>
      <c r="G36" s="471" t="b">
        <v>1</v>
      </c>
      <c r="H36" s="471">
        <v>50</v>
      </c>
      <c r="I36" s="471">
        <v>1</v>
      </c>
      <c r="J36" s="470" t="e">
        <f ca="1">_xll.qlRateHelperEarliestDate($F36)</f>
        <v>#NAME?</v>
      </c>
      <c r="K36" s="470" t="e">
        <f ca="1">_xll.qlRateHelperLatestDate($F36)</f>
        <v>#NAME?</v>
      </c>
    </row>
    <row r="37" spans="2:11" x14ac:dyDescent="0.2">
      <c r="D37" s="424"/>
      <c r="E37" s="469"/>
      <c r="F37" s="469"/>
      <c r="G37" s="424"/>
      <c r="H37" s="424"/>
      <c r="I37" s="424"/>
      <c r="J37" s="424"/>
      <c r="K37" s="424"/>
    </row>
    <row r="38" spans="2:11" x14ac:dyDescent="0.2">
      <c r="D38" s="422" t="e">
        <f ca="1">_xll.ohTrigger(RateHelpers)</f>
        <v>#NAME?</v>
      </c>
      <c r="E38" s="422" t="e">
        <f ca="1">_xll.ohTrigger(RateHelpers)</f>
        <v>#NAME?</v>
      </c>
      <c r="F38" s="422" t="e">
        <f ca="1">_xll.ohTrigger(RateHelpers)</f>
        <v>#NAME?</v>
      </c>
      <c r="G38" s="422" t="e">
        <f ca="1">_xll.ohTrigger(RateHelpers)</f>
        <v>#NAME?</v>
      </c>
      <c r="H38" s="422" t="e">
        <f ca="1">_xll.ohTrigger(RateHelpers)</f>
        <v>#NAME?</v>
      </c>
      <c r="I38" s="422" t="e">
        <f ca="1">_xll.ohTrigger(RateHelpers)</f>
        <v>#NAME?</v>
      </c>
      <c r="J38" s="422" t="e">
        <f ca="1">_xll.ohTrigger(RateHelpers)</f>
        <v>#NAME?</v>
      </c>
      <c r="K38" s="422"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3" hidden="1" customWidth="1" outlineLevel="1"/>
    <col min="2" max="2" width="10" style="423" hidden="1" customWidth="1" outlineLevel="1"/>
    <col min="3" max="4" width="17.28515625" style="423" hidden="1" customWidth="1" outlineLevel="1"/>
    <col min="5" max="5" width="2.7109375" style="422" hidden="1" customWidth="1" outlineLevel="1"/>
    <col min="6" max="6" width="10" style="422" hidden="1" customWidth="1" outlineLevel="1"/>
    <col min="7" max="7" width="7" style="422" hidden="1" customWidth="1" outlineLevel="1"/>
    <col min="8" max="8" width="2.7109375" style="422" customWidth="1" collapsed="1"/>
    <col min="9" max="9" width="17.28515625" style="422" bestFit="1" customWidth="1"/>
    <col min="10" max="10" width="9" style="422" bestFit="1" customWidth="1"/>
    <col min="11" max="11" width="17.28515625" style="422" bestFit="1" customWidth="1"/>
    <col min="12" max="12" width="2.7109375" style="422" customWidth="1"/>
    <col min="13" max="13" width="17.28515625" style="422" bestFit="1" customWidth="1"/>
    <col min="14" max="15" width="10.7109375" style="422" customWidth="1"/>
    <col min="16" max="16" width="2.7109375" style="422" customWidth="1"/>
    <col min="17" max="17" width="17.28515625" style="422" bestFit="1" customWidth="1"/>
    <col min="18" max="19" width="10.7109375" style="422" customWidth="1"/>
    <col min="20" max="20" width="2.7109375" style="422" customWidth="1"/>
    <col min="21" max="21" width="17.28515625" style="422" bestFit="1" customWidth="1"/>
    <col min="22" max="23" width="10.7109375" style="422" customWidth="1"/>
    <col min="24" max="24" width="2.7109375" style="422" customWidth="1"/>
    <col min="25" max="25" width="17.28515625" style="422" bestFit="1" customWidth="1"/>
    <col min="26" max="27" width="10.7109375" style="422" customWidth="1"/>
    <col min="28" max="28" width="2.7109375" style="422" customWidth="1"/>
    <col min="29" max="29" width="17.28515625" style="422" bestFit="1" customWidth="1"/>
    <col min="30" max="31" width="10.7109375" style="422" customWidth="1"/>
    <col min="32" max="32" width="2.7109375" style="422" customWidth="1"/>
    <col min="33" max="33" width="17.28515625" style="422" bestFit="1" customWidth="1"/>
    <col min="34" max="35" width="10.7109375" style="422" customWidth="1"/>
    <col min="36" max="36" width="2.7109375" style="422" customWidth="1"/>
    <col min="37" max="37" width="17.28515625" style="422" bestFit="1" customWidth="1"/>
    <col min="38" max="39" width="10.7109375" style="422" customWidth="1"/>
    <col min="40" max="40" width="2.7109375" style="422" customWidth="1"/>
    <col min="41" max="41" width="17.28515625" style="422" bestFit="1" customWidth="1"/>
    <col min="42" max="43" width="10.7109375" style="422" customWidth="1"/>
    <col min="44" max="44" width="2.7109375" style="422" customWidth="1"/>
    <col min="45" max="45" width="17.28515625" style="422" bestFit="1" customWidth="1"/>
    <col min="46" max="47" width="10.7109375" style="422" customWidth="1"/>
    <col min="48" max="48" width="2.7109375" style="422" customWidth="1"/>
    <col min="49" max="49" width="17.28515625" style="422" bestFit="1" customWidth="1"/>
    <col min="50" max="51" width="10.7109375" style="422" customWidth="1"/>
    <col min="52" max="52" width="2.7109375" style="422" customWidth="1"/>
    <col min="53" max="53" width="17.28515625" style="422" bestFit="1" customWidth="1"/>
    <col min="54" max="55" width="10.7109375" style="422" customWidth="1"/>
    <col min="56" max="56" width="2.7109375" style="422" customWidth="1"/>
    <col min="57" max="57" width="17.28515625" style="422" bestFit="1" customWidth="1"/>
    <col min="58" max="59" width="10.7109375" style="422" customWidth="1"/>
    <col min="60" max="60" width="2.7109375" style="422" customWidth="1"/>
    <col min="61" max="61" width="17.28515625" style="422" bestFit="1" customWidth="1"/>
    <col min="62" max="64" width="10.7109375" style="422" customWidth="1"/>
    <col min="65" max="65" width="17.28515625" style="422" bestFit="1" customWidth="1"/>
    <col min="66" max="66" width="10" style="422" bestFit="1" customWidth="1"/>
    <col min="67" max="67" width="11" style="422" bestFit="1" customWidth="1"/>
    <col min="68" max="68" width="1.7109375" style="422" customWidth="1"/>
    <col min="69" max="69" width="17.28515625" style="422" bestFit="1" customWidth="1"/>
    <col min="70" max="70" width="10" style="422" bestFit="1" customWidth="1"/>
    <col min="71" max="71" width="11" style="422" bestFit="1" customWidth="1"/>
    <col min="72" max="72" width="9.140625" style="422"/>
    <col min="73" max="73" width="17.28515625" style="422" bestFit="1" customWidth="1"/>
    <col min="74" max="16384" width="9.140625" style="422"/>
  </cols>
  <sheetData>
    <row r="1" spans="1:83" x14ac:dyDescent="0.2">
      <c r="A1" s="464" t="s">
        <v>277</v>
      </c>
      <c r="B1" s="468">
        <v>0</v>
      </c>
      <c r="N1" s="459" t="s">
        <v>276</v>
      </c>
      <c r="O1" s="439" t="e">
        <f ca="1">MAX(O5:O129)</f>
        <v>#NAME?</v>
      </c>
      <c r="R1" s="459" t="s">
        <v>276</v>
      </c>
      <c r="S1" s="439" t="e">
        <f ca="1">MAX(S5:S129)</f>
        <v>#NAME?</v>
      </c>
      <c r="V1" s="459" t="s">
        <v>276</v>
      </c>
      <c r="W1" s="439" t="e">
        <f ca="1">MAX(W5:W129)</f>
        <v>#NAME?</v>
      </c>
      <c r="Z1" s="459" t="s">
        <v>276</v>
      </c>
      <c r="AA1" s="439" t="e">
        <f ca="1">MAX(AA5:AA129)</f>
        <v>#NAME?</v>
      </c>
      <c r="AD1" s="459" t="s">
        <v>276</v>
      </c>
      <c r="AE1" s="439" t="e">
        <f ca="1">MAX(AE5:AE129)</f>
        <v>#NAME?</v>
      </c>
      <c r="AH1" s="459" t="s">
        <v>276</v>
      </c>
      <c r="AI1" s="439" t="e">
        <f ca="1">MAX(AI5:AI129)</f>
        <v>#NAME?</v>
      </c>
      <c r="AL1" s="459" t="s">
        <v>276</v>
      </c>
      <c r="AM1" s="439" t="e">
        <f ca="1">MAX(AM5:AM129)</f>
        <v>#NAME?</v>
      </c>
      <c r="AP1" s="459" t="s">
        <v>276</v>
      </c>
      <c r="AQ1" s="439" t="e">
        <f ca="1">MAX(AQ5:AQ129)</f>
        <v>#NAME?</v>
      </c>
      <c r="AT1" s="459" t="s">
        <v>276</v>
      </c>
      <c r="AU1" s="439" t="e">
        <f ca="1">MAX(AU5:AU129)</f>
        <v>#NAME?</v>
      </c>
      <c r="AX1" s="459" t="s">
        <v>276</v>
      </c>
      <c r="AY1" s="439" t="e">
        <f ca="1">MAX(AY5:AY129)</f>
        <v>#NAME?</v>
      </c>
      <c r="BB1" s="459" t="s">
        <v>276</v>
      </c>
      <c r="BC1" s="439" t="e">
        <f ca="1">MAX(BC5:BC129)</f>
        <v>#NAME?</v>
      </c>
      <c r="BF1" s="459" t="s">
        <v>276</v>
      </c>
      <c r="BG1" s="439" t="e">
        <f ca="1">MAX(BG5:BG129)</f>
        <v>#NAME?</v>
      </c>
      <c r="BJ1" s="459" t="s">
        <v>276</v>
      </c>
      <c r="BK1" s="439" t="e">
        <f ca="1">MAX(BK5:BK129)</f>
        <v>#NAME?</v>
      </c>
    </row>
    <row r="2" spans="1:83" x14ac:dyDescent="0.2">
      <c r="I2" s="467" t="e">
        <f ca="1">_xll.qlCalendarEndOfMonth(Calendar,EDATE(DATE(YEAR(K4),MONTH(K4),1),-1))</f>
        <v>#NAME?</v>
      </c>
      <c r="M2" s="461" t="e">
        <f ca="1">_xll.qlCalendarAdvance(Calendar,I2,"1m","mf",TRUE)</f>
        <v>#NAME?</v>
      </c>
      <c r="N2" s="459" t="s">
        <v>275</v>
      </c>
      <c r="O2" s="466" t="e">
        <f ca="1">_xll.qlDayCounterYearFraction(DayCounter,M2,_xll.qlCalendarAdvance(Calendar,M2,"1D"))</f>
        <v>#NAME?</v>
      </c>
      <c r="P2" s="449"/>
      <c r="Q2" s="461" t="e">
        <f ca="1">_xll.qlCalendarAdvance(Calendar,M2,"1m","mf",TRUE)</f>
        <v>#NAME?</v>
      </c>
      <c r="R2" s="459" t="s">
        <v>275</v>
      </c>
      <c r="S2" s="466" t="e">
        <f ca="1">_xll.qlDayCounterYearFraction(DayCounter,Q2,_xll.qlCalendarAdvance(Calendar,Q2,"1D"))</f>
        <v>#NAME?</v>
      </c>
      <c r="T2" s="428"/>
      <c r="U2" s="461" t="e">
        <f ca="1">_xll.qlCalendarAdvance(Calendar,Q2,"1m","mf",TRUE)</f>
        <v>#NAME?</v>
      </c>
      <c r="V2" s="459" t="s">
        <v>275</v>
      </c>
      <c r="W2" s="466" t="e">
        <f ca="1">_xll.qlDayCounterYearFraction(DayCounter,U2,_xll.qlCalendarAdvance(Calendar,U2,"1D"))</f>
        <v>#NAME?</v>
      </c>
      <c r="X2" s="428"/>
      <c r="Y2" s="461" t="e">
        <f ca="1">_xll.qlCalendarAdvance(Calendar,U2,"1m","mf",TRUE)</f>
        <v>#NAME?</v>
      </c>
      <c r="Z2" s="459" t="s">
        <v>275</v>
      </c>
      <c r="AA2" s="466" t="e">
        <f ca="1">_xll.qlDayCounterYearFraction(DayCounter,Y2,_xll.qlCalendarAdvance(Calendar,Y2,"1D"))</f>
        <v>#NAME?</v>
      </c>
      <c r="AB2" s="428"/>
      <c r="AC2" s="461" t="e">
        <f ca="1">_xll.qlCalendarAdvance(Calendar,Y2,"1m","mf",TRUE)</f>
        <v>#NAME?</v>
      </c>
      <c r="AD2" s="459" t="s">
        <v>275</v>
      </c>
      <c r="AE2" s="466" t="e">
        <f ca="1">_xll.qlDayCounterYearFraction(DayCounter,AC2,_xll.qlCalendarAdvance(Calendar,AC2,"1D"))</f>
        <v>#NAME?</v>
      </c>
      <c r="AF2" s="428"/>
      <c r="AG2" s="461" t="e">
        <f ca="1">_xll.qlCalendarAdvance(Calendar,AC2,"1m","mf",TRUE)</f>
        <v>#NAME?</v>
      </c>
      <c r="AH2" s="459" t="s">
        <v>275</v>
      </c>
      <c r="AI2" s="466" t="e">
        <f ca="1">_xll.qlDayCounterYearFraction(DayCounter,AG2,_xll.qlCalendarAdvance(Calendar,AG2,"1D"))</f>
        <v>#NAME?</v>
      </c>
      <c r="AJ2" s="428"/>
      <c r="AK2" s="461" t="e">
        <f ca="1">_xll.qlCalendarAdvance(Calendar,AG2,"1m","mf",TRUE)</f>
        <v>#NAME?</v>
      </c>
      <c r="AL2" s="459" t="s">
        <v>275</v>
      </c>
      <c r="AM2" s="466" t="e">
        <f ca="1">_xll.qlDayCounterYearFraction(DayCounter,AK2,_xll.qlCalendarAdvance(Calendar,AK2,"1D"))</f>
        <v>#NAME?</v>
      </c>
      <c r="AO2" s="461" t="e">
        <f ca="1">_xll.qlCalendarAdvance(Calendar,AK2,"1m","mf",TRUE)</f>
        <v>#NAME?</v>
      </c>
      <c r="AP2" s="459" t="s">
        <v>275</v>
      </c>
      <c r="AQ2" s="466" t="e">
        <f ca="1">_xll.qlDayCounterYearFraction(DayCounter,AO2,_xll.qlCalendarAdvance(Calendar,AO2,"1D"))</f>
        <v>#NAME?</v>
      </c>
      <c r="AS2" s="461" t="e">
        <f ca="1">_xll.qlCalendarAdvance(Calendar,AO2,"1m","mf",TRUE)</f>
        <v>#NAME?</v>
      </c>
      <c r="AT2" s="459" t="s">
        <v>275</v>
      </c>
      <c r="AU2" s="466" t="e">
        <f ca="1">_xll.qlDayCounterYearFraction(DayCounter,AS2,_xll.qlCalendarAdvance(Calendar,AS2,"1D"))</f>
        <v>#NAME?</v>
      </c>
      <c r="AW2" s="461" t="e">
        <f ca="1">_xll.qlCalendarAdvance(Calendar,AS2,"1m","mf",TRUE)</f>
        <v>#NAME?</v>
      </c>
      <c r="AX2" s="459" t="s">
        <v>275</v>
      </c>
      <c r="AY2" s="466" t="e">
        <f ca="1">_xll.qlDayCounterYearFraction(DayCounter,AW2,_xll.qlCalendarAdvance(Calendar,AW2,"1D"))</f>
        <v>#NAME?</v>
      </c>
      <c r="BA2" s="461" t="e">
        <f ca="1">_xll.qlCalendarAdvance(Calendar,AW2,"1m","mf",TRUE)</f>
        <v>#NAME?</v>
      </c>
      <c r="BB2" s="459" t="s">
        <v>275</v>
      </c>
      <c r="BC2" s="466" t="e">
        <f ca="1">_xll.qlDayCounterYearFraction(DayCounter,BA2,_xll.qlCalendarAdvance(Calendar,BA2,"1D"))</f>
        <v>#NAME?</v>
      </c>
      <c r="BE2" s="461" t="e">
        <f ca="1">_xll.qlCalendarAdvance(Calendar,BA2,"1m","mf",TRUE)</f>
        <v>#NAME?</v>
      </c>
      <c r="BF2" s="459" t="s">
        <v>275</v>
      </c>
      <c r="BG2" s="466" t="e">
        <f ca="1">_xll.qlDayCounterYearFraction(DayCounter,BE2,_xll.qlCalendarAdvance(Calendar,BE2,"1D"))</f>
        <v>#NAME?</v>
      </c>
      <c r="BI2" s="461" t="e">
        <f ca="1">_xll.qlCalendarAdjust(Calendar,DATE(YEAR(SettlementDate)+1,12,31),"Preceding",Trigger)</f>
        <v>#NAME?</v>
      </c>
      <c r="BJ2" s="459" t="s">
        <v>275</v>
      </c>
      <c r="BK2" s="466" t="e">
        <f ca="1">_xll.qlDayCounterYearFraction(DayCounter,BI2,_xll.qlCalendarAdvance(Calendar,BI2,"1D"))</f>
        <v>#NAME?</v>
      </c>
    </row>
    <row r="3" spans="1:83" ht="21" customHeight="1" thickBot="1" x14ac:dyDescent="0.25">
      <c r="A3" s="464" t="s">
        <v>274</v>
      </c>
      <c r="B3" s="464" t="s">
        <v>273</v>
      </c>
      <c r="C3" s="464" t="s">
        <v>272</v>
      </c>
      <c r="D3" s="464" t="s">
        <v>271</v>
      </c>
      <c r="E3" s="465"/>
      <c r="F3" s="464" t="s">
        <v>270</v>
      </c>
      <c r="G3" s="464" t="s">
        <v>269</v>
      </c>
      <c r="H3" s="465"/>
      <c r="I3" s="464" t="s">
        <v>268</v>
      </c>
      <c r="J3" s="463" t="s">
        <v>267</v>
      </c>
      <c r="K3" s="462" t="s">
        <v>266</v>
      </c>
      <c r="L3" s="429"/>
      <c r="M3" s="461" t="e">
        <f ca="1">_xll.qlInterpolation(,FwdInterpolation,_xll.ohFilter($F5:$F129,M5:M129),_xll.ohFilter(J5:J129,M5:M129))</f>
        <v>#NAME?</v>
      </c>
      <c r="N3" s="460" t="s">
        <v>265</v>
      </c>
      <c r="O3" s="459" t="s">
        <v>264</v>
      </c>
      <c r="P3" s="449"/>
      <c r="Q3" s="461" t="e">
        <f ca="1">_xll.qlInterpolation(,FwdInterpolation,_xll.ohFilter($F5:$F129,Q5:Q129),_xll.ohFilter(N5:N129,Q5:Q129))</f>
        <v>#NAME?</v>
      </c>
      <c r="R3" s="460" t="s">
        <v>265</v>
      </c>
      <c r="S3" s="459" t="s">
        <v>264</v>
      </c>
      <c r="T3" s="428"/>
      <c r="U3" s="461" t="e">
        <f ca="1">_xll.qlInterpolation(,FwdInterpolation,_xll.ohFilter($F5:$F129,U5:U129),_xll.ohFilter(R5:R129,U5:U129))</f>
        <v>#NAME?</v>
      </c>
      <c r="V3" s="460" t="s">
        <v>265</v>
      </c>
      <c r="W3" s="459" t="s">
        <v>264</v>
      </c>
      <c r="X3" s="428"/>
      <c r="Y3" s="461" t="e">
        <f ca="1">_xll.qlInterpolation(,FwdInterpolation,_xll.ohFilter($F5:$F129,Y5:Y129),_xll.ohFilter(V5:V129,Y5:Y129))</f>
        <v>#NAME?</v>
      </c>
      <c r="Z3" s="460" t="s">
        <v>265</v>
      </c>
      <c r="AA3" s="459" t="s">
        <v>264</v>
      </c>
      <c r="AB3" s="428"/>
      <c r="AC3" s="461" t="e">
        <f ca="1">_xll.qlInterpolation(,FwdInterpolation,_xll.ohFilter($F5:$F129,AC5:AC129),_xll.ohFilter(Z5:Z129,AC5:AC129))</f>
        <v>#NAME?</v>
      </c>
      <c r="AD3" s="460" t="s">
        <v>265</v>
      </c>
      <c r="AE3" s="459" t="s">
        <v>264</v>
      </c>
      <c r="AF3" s="428"/>
      <c r="AG3" s="461" t="e">
        <f ca="1">_xll.qlInterpolation(,FwdInterpolation,_xll.ohFilter($F5:$F129,AG5:AG129),_xll.ohFilter(AD5:AD129,AG5:AG129))</f>
        <v>#NAME?</v>
      </c>
      <c r="AH3" s="460" t="s">
        <v>265</v>
      </c>
      <c r="AI3" s="459" t="s">
        <v>264</v>
      </c>
      <c r="AJ3" s="428"/>
      <c r="AK3" s="461" t="e">
        <f ca="1">_xll.qlInterpolation(,FwdInterpolation,_xll.ohFilter($F5:$F129,AK5:AK129),_xll.ohFilter(AH5:AH129,AK5:AK129))</f>
        <v>#NAME?</v>
      </c>
      <c r="AL3" s="460" t="s">
        <v>265</v>
      </c>
      <c r="AM3" s="459" t="s">
        <v>264</v>
      </c>
      <c r="AO3" s="461" t="e">
        <f ca="1">_xll.qlInterpolation(,FwdInterpolation,_xll.ohFilter($F5:$F129,AO5:AO129),_xll.ohFilter(AL5:AL129,AO5:AO129))</f>
        <v>#NAME?</v>
      </c>
      <c r="AP3" s="460" t="s">
        <v>265</v>
      </c>
      <c r="AQ3" s="459" t="s">
        <v>264</v>
      </c>
      <c r="AS3" s="461" t="e">
        <f ca="1">_xll.qlInterpolation(,FwdInterpolation,_xll.ohFilter($F5:$F129,AS5:AS129),_xll.ohFilter(AP5:AP129,AS5:AS129))</f>
        <v>#NAME?</v>
      </c>
      <c r="AT3" s="460" t="s">
        <v>265</v>
      </c>
      <c r="AU3" s="459" t="s">
        <v>264</v>
      </c>
      <c r="AW3" s="461" t="e">
        <f ca="1">_xll.qlInterpolation(,FwdInterpolation,_xll.ohFilter($F5:$F129,AW5:AW129),_xll.ohFilter(AT5:AT129,AW5:AW129))</f>
        <v>#NAME?</v>
      </c>
      <c r="AX3" s="460" t="s">
        <v>265</v>
      </c>
      <c r="AY3" s="459" t="s">
        <v>264</v>
      </c>
      <c r="BA3" s="461" t="e">
        <f ca="1">_xll.qlInterpolation(,FwdInterpolation,_xll.ohFilter($F5:$F129,BA5:BA129),_xll.ohFilter(AX5:AX129,BA5:BA129))</f>
        <v>#NAME?</v>
      </c>
      <c r="BB3" s="460" t="s">
        <v>265</v>
      </c>
      <c r="BC3" s="459" t="s">
        <v>264</v>
      </c>
      <c r="BE3" s="461" t="e">
        <f ca="1">_xll.qlInterpolation(,FwdInterpolation,_xll.ohFilter($F5:$F129,BE5:BE129),_xll.ohFilter(BB5:BB129,BE5:BE129))</f>
        <v>#NAME?</v>
      </c>
      <c r="BF3" s="460" t="s">
        <v>265</v>
      </c>
      <c r="BG3" s="459" t="s">
        <v>264</v>
      </c>
      <c r="BI3" s="461" t="e">
        <f ca="1">_xll.qlInterpolation(,FwdInterpolation,_xll.ohFilter($F5:$F129,BI5:BI129),_xll.ohFilter(BF5:BF129,BI5:BI129))</f>
        <v>#NAME?</v>
      </c>
      <c r="BJ3" s="460" t="s">
        <v>265</v>
      </c>
      <c r="BK3" s="459" t="s">
        <v>264</v>
      </c>
    </row>
    <row r="4" spans="1:83" ht="13.5" customHeight="1" x14ac:dyDescent="0.25">
      <c r="A4" s="458"/>
      <c r="B4" s="457"/>
      <c r="C4" s="456"/>
      <c r="D4" s="435" t="e">
        <f ca="1">'General Settings_2'!C18</f>
        <v>#NAME?</v>
      </c>
      <c r="F4" s="440"/>
      <c r="G4" s="440"/>
      <c r="I4" s="455" t="b">
        <v>0</v>
      </c>
      <c r="J4" s="454" t="e">
        <f t="array" aca="1" ref="J4:J129" ca="1">_xll.qlPiecewiseYieldCurveData(YieldCurve,InterestRatesTrigger)</f>
        <v>#NAME?</v>
      </c>
      <c r="K4" s="453" t="e">
        <f t="shared" ref="K4:K35" ca="1" si="0">D4</f>
        <v>#NAME?</v>
      </c>
      <c r="L4" s="446"/>
      <c r="M4" s="452" t="b">
        <v>1</v>
      </c>
      <c r="N4" s="451"/>
      <c r="O4" s="450" t="e">
        <f ca="1">-LN(MAX(O5:O33))/O$2</f>
        <v>#NAME?</v>
      </c>
      <c r="P4" s="449"/>
      <c r="Q4" s="452" t="b">
        <v>1</v>
      </c>
      <c r="R4" s="451"/>
      <c r="S4" s="450" t="e">
        <f ca="1">-LN(MAX(S5:S33))/S$2</f>
        <v>#NAME?</v>
      </c>
      <c r="T4" s="428"/>
      <c r="U4" s="452" t="b">
        <v>1</v>
      </c>
      <c r="V4" s="451"/>
      <c r="W4" s="450" t="e">
        <f ca="1">-LN(MAX(W5:W33))/W$2</f>
        <v>#NAME?</v>
      </c>
      <c r="X4" s="428"/>
      <c r="Y4" s="452" t="b">
        <v>1</v>
      </c>
      <c r="Z4" s="451"/>
      <c r="AA4" s="450" t="e">
        <f ca="1">-LN(MAX(AA5:AA33))/AA$2</f>
        <v>#NAME?</v>
      </c>
      <c r="AB4" s="428"/>
      <c r="AC4" s="452" t="b">
        <v>1</v>
      </c>
      <c r="AD4" s="451"/>
      <c r="AE4" s="450" t="e">
        <f ca="1">-LN(MAX(AE5:AE33))/AE$2</f>
        <v>#NAME?</v>
      </c>
      <c r="AF4" s="428"/>
      <c r="AG4" s="452" t="b">
        <v>1</v>
      </c>
      <c r="AH4" s="451"/>
      <c r="AI4" s="450" t="e">
        <f ca="1">-LN(MAX(AI5:AI33))/AI$2</f>
        <v>#NAME?</v>
      </c>
      <c r="AJ4" s="428"/>
      <c r="AK4" s="452" t="b">
        <v>1</v>
      </c>
      <c r="AL4" s="451"/>
      <c r="AM4" s="450" t="e">
        <f ca="1">-LN(MAX(AM5:AM33))/AM$2</f>
        <v>#NAME?</v>
      </c>
      <c r="AO4" s="452" t="b">
        <v>1</v>
      </c>
      <c r="AP4" s="451"/>
      <c r="AQ4" s="450" t="e">
        <f ca="1">-LN(MAX(AQ5:AQ33))/AQ$2</f>
        <v>#NAME?</v>
      </c>
      <c r="AS4" s="452" t="b">
        <v>1</v>
      </c>
      <c r="AT4" s="451"/>
      <c r="AU4" s="450" t="e">
        <f ca="1">-LN(MAX(AU5:AU33))/AU$2</f>
        <v>#NAME?</v>
      </c>
      <c r="AW4" s="452" t="b">
        <v>1</v>
      </c>
      <c r="AX4" s="451"/>
      <c r="AY4" s="450" t="e">
        <f ca="1">-LN(MAX(AY5:AY33))/AY$2</f>
        <v>#NAME?</v>
      </c>
      <c r="BA4" s="452" t="b">
        <v>1</v>
      </c>
      <c r="BB4" s="451"/>
      <c r="BC4" s="450" t="e">
        <f ca="1">-LN(MAX(BC5:BC33))/BC$2</f>
        <v>#NAME?</v>
      </c>
      <c r="BE4" s="452" t="b">
        <v>1</v>
      </c>
      <c r="BF4" s="451"/>
      <c r="BG4" s="450" t="e">
        <f ca="1">-LN(MAX(BG5:BG33))/BG$2</f>
        <v>#NAME?</v>
      </c>
      <c r="BI4" s="452" t="b">
        <v>1</v>
      </c>
      <c r="BJ4" s="451"/>
      <c r="BK4" s="450" t="e">
        <f ca="1">-LN(MAX(BK5:BK33))/BK$2</f>
        <v>#NAME?</v>
      </c>
      <c r="CD4" s="1360" t="s">
        <v>529</v>
      </c>
      <c r="CE4" s="1363" t="e">
        <f ca="1">_xll.ohTrigger('General Settings_2'!Trigger)</f>
        <v>#NAME?</v>
      </c>
    </row>
    <row r="5" spans="1:83" ht="15.75" thickBot="1" x14ac:dyDescent="0.3">
      <c r="A5" s="438" t="e">
        <f t="array" aca="1" ref="A5:A129" ca="1">_xll.qlRateHelperSelection(_xll.ohFilter(RateHelpers,RateHelpersIncluded),_xll.ohFilter(RateHelpersPriority,RateHelpersIncluded),$B$1,0,2,"AllDepos",_xll.ohFilter(MinDistance,RateHelpersIncluded))</f>
        <v>#NAME?</v>
      </c>
      <c r="B5" s="437" t="e">
        <f ca="1">_xll.qlRateHelperRate($A5,InterestRatesTrigger)</f>
        <v>#NAME?</v>
      </c>
      <c r="C5" s="436" t="e">
        <f ca="1">_xll.qlRateHelperEarliestDate($A5)</f>
        <v>#NAME?</v>
      </c>
      <c r="D5" s="435" t="e">
        <f ca="1">_xll.qlRateHelperPillarDate($A5)</f>
        <v>#NAME?</v>
      </c>
      <c r="F5" s="445" t="e">
        <f t="shared" ref="F5:F36" ca="1" si="1">IF(ISERROR(D5),NA(),(D5-D4)/2+D4)</f>
        <v>#N/A</v>
      </c>
      <c r="G5" s="444" t="e">
        <f ca="1">_xll.qlDayCounterYearFraction(DayCounter,D4,D5)</f>
        <v>#NAME?</v>
      </c>
      <c r="H5" s="448"/>
      <c r="I5" s="443" t="b">
        <f t="shared" ref="I5:I36" ca="1" si="2">IF(ISERROR(K5),FALSE,IF(OR(MONTH(K5)-MONTH(K4)=1,YEAR(K5)-YEAR(K4)=1),FALSE,TRUE))</f>
        <v>0</v>
      </c>
      <c r="J5" s="442" t="e">
        <f ca="1"/>
        <v>#NAME?</v>
      </c>
      <c r="K5" s="441" t="e">
        <f t="shared" ca="1" si="0"/>
        <v>#NAME?</v>
      </c>
      <c r="L5" s="446"/>
      <c r="M5" s="440" t="b">
        <f ca="1">IF(AND(NOT(I5),AND(I$4:I4)),TRUE,I5)</f>
        <v>0</v>
      </c>
      <c r="N5" s="439" t="e">
        <f ca="1">IF(AND(NOT(ISBLANK(Jumpoverwrite1)),AND(NOT(M5),AND(M$4:M4))),($J5*$G5-LN(1+Jumpoverwrite1*O$2))/$G5,_xll.qlInterpolationInterpolate(M$3,$F5,TRUE))</f>
        <v>#NAME?</v>
      </c>
      <c r="O5" s="439" t="e">
        <f ca="1">IF(AND(NOT(M5),AND(M$4:M4)),MIN(EXP((N5-$J5)*$G5),1),"")</f>
        <v>#NAME?</v>
      </c>
      <c r="P5" s="449"/>
      <c r="Q5" s="440" t="b">
        <f ca="1">IF(AND(NOT(M5),AND(M$4:M4)),TRUE,M5)</f>
        <v>1</v>
      </c>
      <c r="R5" s="439" t="e">
        <f ca="1">IF(AND(NOT(ISBLANK(Jumpoverwrite2)),AND(NOT(Q5),AND(Q$4:Q4))),($J5*$G5-LN(1+Jumpoverwrite2*S$2))/$G5,_xll.qlInterpolationInterpolate(Q$3,$F5,TRUE))</f>
        <v>#NAME?</v>
      </c>
      <c r="S5" s="439" t="str">
        <f ca="1">IF(AND(NOT(Q5),AND(Q$4:Q4)),MIN(EXP((R5-$J5)*$G5),1),"")</f>
        <v/>
      </c>
      <c r="T5" s="428"/>
      <c r="U5" s="440" t="b">
        <f ca="1">IF(AND(NOT(Q5),AND(Q$4:Q4)),TRUE,Q5)</f>
        <v>1</v>
      </c>
      <c r="V5" s="439" t="e">
        <f ca="1">IF(AND(NOT(ISBLANK(Jumpoverwrite3)),AND(NOT(U5),AND(U$4:U4))),($J5*$G5-LN(1+Jumpoverwrite3*W$2))/$G5,_xll.qlInterpolationInterpolate(U$3,$F5,TRUE))</f>
        <v>#NAME?</v>
      </c>
      <c r="W5" s="439" t="str">
        <f ca="1">IF(AND(NOT(U5),AND(U$4:U4)),MIN(EXP((V5-$J5)*$G5),1),"")</f>
        <v/>
      </c>
      <c r="X5" s="428"/>
      <c r="Y5" s="440" t="b">
        <f ca="1">IF(AND(NOT(U5),AND(U$4:U4)),TRUE,U5)</f>
        <v>1</v>
      </c>
      <c r="Z5" s="439" t="e">
        <f ca="1">IF(AND(NOT(ISBLANK(Jumpoverwrite4)),AND(NOT(Y5),AND(Y$4:Y4))),($J5*$G5-LN(1+Jumpoverwrite4*AA$2))/$G5,_xll.qlInterpolationInterpolate(Y$3,$F5,TRUE))</f>
        <v>#NAME?</v>
      </c>
      <c r="AA5" s="439" t="str">
        <f ca="1">IF(AND(NOT(Y5),AND(Y$4:Y4)),MIN(EXP((Z5-$J5)*$G5),1),"")</f>
        <v/>
      </c>
      <c r="AB5" s="428"/>
      <c r="AC5" s="440" t="b">
        <f ca="1">IF(AND(NOT(Y5),AND(Y$4:Y4)),TRUE,Y5)</f>
        <v>1</v>
      </c>
      <c r="AD5" s="439" t="e">
        <f ca="1">IF(AND(NOT(ISBLANK(Jumpoverwrite5)),AND(NOT(AC5),AND(AC$4:AC4))),($J5*$G5-LN(1+Jumpoverwrite5*AE$2))/$G5,_xll.qlInterpolationInterpolate(AC$3,$F5,TRUE))</f>
        <v>#NAME?</v>
      </c>
      <c r="AE5" s="439" t="str">
        <f ca="1">IF(AND(NOT(AC5),AND(AC$4:AC4)),MIN(EXP((AD5-$J5)*$G5),1),"")</f>
        <v/>
      </c>
      <c r="AF5" s="428"/>
      <c r="AG5" s="440" t="b">
        <f ca="1">IF(AND(NOT(AC5),AND(AC$4:AC4)),TRUE,AC5)</f>
        <v>1</v>
      </c>
      <c r="AH5" s="439" t="e">
        <f ca="1">IF(AND(NOT(ISBLANK(Jumpoverwrite6)),AND(NOT(AG5),AND(AG$4:AG4))),($J5*$G5-LN(1+Jumpoverwrite6*AI$2))/$G5,_xll.qlInterpolationInterpolate(AG$3,$F5,TRUE))</f>
        <v>#NAME?</v>
      </c>
      <c r="AI5" s="439" t="str">
        <f ca="1">IF(AND(NOT(AG5),AND(AG$4:AG4)),MIN(EXP((AH5-$J5)*$G5),1),"")</f>
        <v/>
      </c>
      <c r="AJ5" s="428"/>
      <c r="AK5" s="440" t="b">
        <f ca="1">IF(AND(NOT(AG5),AND(AG$4:AG4)),TRUE,AG5)</f>
        <v>1</v>
      </c>
      <c r="AL5" s="439" t="e">
        <f ca="1">IF(AND(NOT(ISBLANK(Jumpoverwrite7)),AND(NOT(AK5),AND(AK$4:AK4))),($J5*$G5-LN(1+Jumpoverwrite7*AM$2))/$G5,_xll.qlInterpolationInterpolate(AK$3,$F5,TRUE))</f>
        <v>#NAME?</v>
      </c>
      <c r="AM5" s="439" t="str">
        <f ca="1">IF(AND(NOT(AK5),AND(AK$4:AK4)),MIN(EXP((AL5-$J5)*$G5),1),"")</f>
        <v/>
      </c>
      <c r="AO5" s="440" t="b">
        <f ca="1">IF(AND(NOT(AK5),AND(AK$4:AK4)),TRUE,AK5)</f>
        <v>1</v>
      </c>
      <c r="AP5" s="439" t="e">
        <f ca="1">IF(AND(NOT(ISBLANK(Jumpoverwrite8)),AND(NOT(AO5),AND(AO$4:AO4))),($J5*$G5-LN(1+Jumpoverwrite8*AQ$2))/$G5,_xll.qlInterpolationInterpolate(AO$3,$F5,TRUE))</f>
        <v>#NAME?</v>
      </c>
      <c r="AQ5" s="439" t="str">
        <f ca="1">IF(AND(NOT(AO5),AND(AO$4:AO4)),MIN(EXP((AP5-$J5)*$G5),1),"")</f>
        <v/>
      </c>
      <c r="AS5" s="440" t="b">
        <f ca="1">IF(AND(NOT(AO5),AND(AO$4:AO4)),TRUE,AO5)</f>
        <v>1</v>
      </c>
      <c r="AT5" s="439" t="e">
        <f ca="1">IF(AND(NOT(ISBLANK(Jumpoverwrite9)),AND(NOT(AS5),AND(AS$4:AS4))),($J5*$G5-LN(1+Jumpoverwrite9*AU$2))/$G5,_xll.qlInterpolationInterpolate(AS$3,$F5,TRUE))</f>
        <v>#NAME?</v>
      </c>
      <c r="AU5" s="439" t="str">
        <f ca="1">IF(AND(NOT(AS5),AND(AS$4:AS4)),MIN(EXP((AT5-$J5)*$G5),1),"")</f>
        <v/>
      </c>
      <c r="AW5" s="440" t="b">
        <f ca="1">IF(AND(NOT(AS5),AND(AS$4:AS4)),TRUE,AS5)</f>
        <v>1</v>
      </c>
      <c r="AX5" s="439" t="e">
        <f ca="1">IF(AND(NOT(ISBLANK(Jumpoverwrite10)),AND(NOT(AW5),AND(AW$4:AW4))),($J5*$G5-LN(1+Jumpoverwrite10*AY$2))/$G5,_xll.qlInterpolationInterpolate(AW$3,$F5,TRUE))</f>
        <v>#NAME?</v>
      </c>
      <c r="AY5" s="439" t="str">
        <f ca="1">IF(AND(NOT(AW5),AND(AW$4:AW4)),MIN(EXP((AX5-$J5)*$G5),1),"")</f>
        <v/>
      </c>
      <c r="BA5" s="440" t="b">
        <f ca="1">IF(AND(NOT(AW5),AND(AW$4:AW4)),TRUE,AW5)</f>
        <v>1</v>
      </c>
      <c r="BB5" s="439" t="e">
        <f ca="1">IF(AND(NOT(ISBLANK(Jumpoverwrite11)),AND(NOT(BA5),AND(BA$4:BA4))),($J5*$G5-LN(1+Jumpoverwrite11*BC$2))/$G5,_xll.qlInterpolationInterpolate(BA$3,$F5,TRUE))</f>
        <v>#NAME?</v>
      </c>
      <c r="BC5" s="439" t="str">
        <f ca="1">IF(AND(NOT(BA5),AND(BA$4:BA4)),MIN(EXP((BB5-$J5)*$G5),1),"")</f>
        <v/>
      </c>
      <c r="BE5" s="440" t="b">
        <f ca="1">IF(AND(NOT(BA5),AND(BA$4:BA4)),TRUE,BA5)</f>
        <v>1</v>
      </c>
      <c r="BF5" s="439" t="e">
        <f ca="1">IF(AND(NOT(ISBLANK(Jumpoverwrite12)),AND(NOT(BE5),AND(BE$4:BE4))),($J5*$G5-LN(1+Jumpoverwrite12*BG$2))/$G5,_xll.qlInterpolationInterpolate(BE$3,$F5,TRUE))</f>
        <v>#NAME?</v>
      </c>
      <c r="BG5" s="439" t="str">
        <f ca="1">IF(AND(NOT(BE5),AND(BE$4:BE4)),MIN(EXP((BF5-$J5)*$G5),1),"")</f>
        <v/>
      </c>
      <c r="BI5" s="440" t="b">
        <f t="shared" ref="BI5:BI36" ca="1" si="3">IF(ISERROR(K5),FALSE,IF(YEAR(K5)-YEAR(SettlementDate)=2,FALSE,TRUE))</f>
        <v>0</v>
      </c>
      <c r="BJ5" s="439" t="e">
        <f ca="1">IF(AND(NOT(ISBLANK(jumpoverwrite13)),AND(NOT(BI5),AND(BI$4:BI4))),($J5*$G5-LN(1+jumpoverwrite13*BK$2))/$G5,_xll.qlInterpolationInterpolate(BI$3,$F5,TRUE))</f>
        <v>#NAME?</v>
      </c>
      <c r="BK5" s="439" t="e">
        <f ca="1">IF(AND(NOT(BI5),AND(BI$4:BI4)),MIN(EXP((BJ5-$J5)*$G5),1),"")</f>
        <v>#NAME?</v>
      </c>
      <c r="CD5" s="1361" t="s">
        <v>530</v>
      </c>
      <c r="CE5" s="1364" t="e">
        <f ca="1">_xll.ohTrigger(BI4:BI129)</f>
        <v>#NAME?</v>
      </c>
    </row>
    <row r="6" spans="1:83" x14ac:dyDescent="0.2">
      <c r="A6" s="438" t="e">
        <f ca="1"/>
        <v>#NAME?</v>
      </c>
      <c r="B6" s="437" t="e">
        <f ca="1">_xll.qlRateHelperRate($A6,InterestRatesTrigger)</f>
        <v>#NAME?</v>
      </c>
      <c r="C6" s="436" t="e">
        <f ca="1">_xll.qlRateHelperEarliestDate($A6)</f>
        <v>#NAME?</v>
      </c>
      <c r="D6" s="435" t="e">
        <f ca="1">_xll.qlRateHelperPillarDate($A6)</f>
        <v>#NAME?</v>
      </c>
      <c r="F6" s="445" t="e">
        <f t="shared" ca="1" si="1"/>
        <v>#N/A</v>
      </c>
      <c r="G6" s="444" t="e">
        <f ca="1">_xll.qlDayCounterYearFraction(DayCounter,D5,D6)</f>
        <v>#NAME?</v>
      </c>
      <c r="H6" s="448"/>
      <c r="I6" s="443" t="b">
        <f t="shared" ca="1" si="2"/>
        <v>0</v>
      </c>
      <c r="J6" s="442" t="e">
        <f ca="1"/>
        <v>#NAME?</v>
      </c>
      <c r="K6" s="441" t="e">
        <f t="shared" ca="1" si="0"/>
        <v>#NAME?</v>
      </c>
      <c r="L6" s="446"/>
      <c r="M6" s="440" t="b">
        <f ca="1">IF(AND(NOT(I6),AND(I$4:I5)),TRUE,I6)</f>
        <v>0</v>
      </c>
      <c r="N6" s="439" t="e">
        <f ca="1">IF(AND(NOT(ISBLANK(Jumpoverwrite1)),AND(NOT(M6),AND(M$4:M5))),($J6*$G6-LN(1+Jumpoverwrite1*O$2))/$G6,_xll.qlInterpolationInterpolate(M$3,$F6,TRUE))</f>
        <v>#NAME?</v>
      </c>
      <c r="O6" s="439" t="str">
        <f ca="1">IF(AND(NOT(M6),AND(M$4:M5)),MIN(EXP((N6-$J6)*$G6),1),"")</f>
        <v/>
      </c>
      <c r="P6" s="428"/>
      <c r="Q6" s="440" t="b">
        <f ca="1">IF(AND(NOT(M6),AND(M$4:M5)),TRUE,M6)</f>
        <v>0</v>
      </c>
      <c r="R6" s="439" t="e">
        <f ca="1">IF(AND(NOT(ISBLANK(Jumpoverwrite2)),AND(NOT(Q6),AND(Q$4:Q5))),($J6*$G6-LN(1+Jumpoverwrite2*S$2))/$G6,_xll.qlInterpolationInterpolate(Q$3,$F6,TRUE))</f>
        <v>#NAME?</v>
      </c>
      <c r="S6" s="439" t="e">
        <f ca="1">IF(AND(NOT(Q6),AND(Q$4:Q5)),MIN(EXP((R6-$J6)*$G6),1),"")</f>
        <v>#NAME?</v>
      </c>
      <c r="T6" s="428"/>
      <c r="U6" s="440" t="b">
        <f ca="1">IF(AND(NOT(Q6),AND(Q$4:Q5)),TRUE,Q6)</f>
        <v>1</v>
      </c>
      <c r="V6" s="439" t="e">
        <f ca="1">IF(AND(NOT(ISBLANK(Jumpoverwrite3)),AND(NOT(U6),AND(U$4:U5))),($J6*$G6-LN(1+Jumpoverwrite3*W$2))/$G6,_xll.qlInterpolationInterpolate(U$3,$F6,TRUE))</f>
        <v>#NAME?</v>
      </c>
      <c r="W6" s="439" t="str">
        <f ca="1">IF(AND(NOT(U6),AND(U$4:U5)),MIN(EXP((V6-$J6)*$G6),1),"")</f>
        <v/>
      </c>
      <c r="X6" s="428"/>
      <c r="Y6" s="440" t="b">
        <f ca="1">IF(AND(NOT(U6),AND(U$4:U5)),TRUE,U6)</f>
        <v>1</v>
      </c>
      <c r="Z6" s="439" t="e">
        <f ca="1">IF(AND(NOT(ISBLANK(Jumpoverwrite4)),AND(NOT(Y6),AND(Y$4:Y5))),($J6*$G6-LN(1+Jumpoverwrite4*AA$2))/$G6,_xll.qlInterpolationInterpolate(Y$3,$F6,TRUE))</f>
        <v>#NAME?</v>
      </c>
      <c r="AA6" s="439" t="str">
        <f ca="1">IF(AND(NOT(Y6),AND(Y$4:Y5)),MIN(EXP((Z6-$J6)*$G6),1),"")</f>
        <v/>
      </c>
      <c r="AB6" s="428"/>
      <c r="AC6" s="440" t="b">
        <f ca="1">IF(AND(NOT(Y6),AND(Y$4:Y5)),TRUE,Y6)</f>
        <v>1</v>
      </c>
      <c r="AD6" s="439" t="e">
        <f ca="1">IF(AND(NOT(ISBLANK(Jumpoverwrite5)),AND(NOT(AC6),AND(AC$4:AC5))),($J6*$G6-LN(1+Jumpoverwrite5*AE$2))/$G6,_xll.qlInterpolationInterpolate(AC$3,$F6,TRUE))</f>
        <v>#NAME?</v>
      </c>
      <c r="AE6" s="439" t="str">
        <f ca="1">IF(AND(NOT(AC6),AND(AC$4:AC5)),MIN(EXP((AD6-$J6)*$G6),1),"")</f>
        <v/>
      </c>
      <c r="AF6" s="428"/>
      <c r="AG6" s="440" t="b">
        <f ca="1">IF(AND(NOT(AC6),AND(AC$4:AC5)),TRUE,AC6)</f>
        <v>1</v>
      </c>
      <c r="AH6" s="439" t="e">
        <f ca="1">IF(AND(NOT(ISBLANK(Jumpoverwrite6)),AND(NOT(AG6),AND(AG$4:AG5))),($J6*$G6-LN(1+Jumpoverwrite6*AI$2))/$G6,_xll.qlInterpolationInterpolate(AG$3,$F6,TRUE))</f>
        <v>#NAME?</v>
      </c>
      <c r="AI6" s="439" t="str">
        <f ca="1">IF(AND(NOT(AG6),AND(AG$4:AG5)),MIN(EXP((AH6-$J6)*$G6),1),"")</f>
        <v/>
      </c>
      <c r="AJ6" s="428"/>
      <c r="AK6" s="440" t="b">
        <f ca="1">IF(AND(NOT(AG6),AND(AG$4:AG5)),TRUE,AG6)</f>
        <v>1</v>
      </c>
      <c r="AL6" s="439" t="e">
        <f ca="1">IF(AND(NOT(ISBLANK(Jumpoverwrite7)),AND(NOT(AK6),AND(AK$4:AK5))),($J6*$G6-LN(1+Jumpoverwrite7*AM$2))/$G6,_xll.qlInterpolationInterpolate(AK$3,$F6,TRUE))</f>
        <v>#NAME?</v>
      </c>
      <c r="AM6" s="439" t="str">
        <f ca="1">IF(AND(NOT(AK6),AND(AK$4:AK5)),MIN(EXP((AL6-$J6)*$G6),1),"")</f>
        <v/>
      </c>
      <c r="AO6" s="440" t="b">
        <f ca="1">IF(AND(NOT(AK6),AND(AK$4:AK5)),TRUE,AK6)</f>
        <v>1</v>
      </c>
      <c r="AP6" s="439" t="e">
        <f ca="1">IF(AND(NOT(ISBLANK(Jumpoverwrite8)),AND(NOT(AO6),AND(AO$4:AO5))),($J6*$G6-LN(1+Jumpoverwrite8*AQ$2))/$G6,_xll.qlInterpolationInterpolate(AO$3,$F6,TRUE))</f>
        <v>#NAME?</v>
      </c>
      <c r="AQ6" s="439" t="str">
        <f ca="1">IF(AND(NOT(AO6),AND(AO$4:AO5)),MIN(EXP((AP6-$J6)*$G6),1),"")</f>
        <v/>
      </c>
      <c r="AS6" s="440" t="b">
        <f ca="1">IF(AND(NOT(AO6),AND(AO$4:AO5)),TRUE,AO6)</f>
        <v>1</v>
      </c>
      <c r="AT6" s="439" t="e">
        <f ca="1">IF(AND(NOT(ISBLANK(Jumpoverwrite9)),AND(NOT(AS6),AND(AS$4:AS5))),($J6*$G6-LN(1+Jumpoverwrite9*AU$2))/$G6,_xll.qlInterpolationInterpolate(AS$3,$F6,TRUE))</f>
        <v>#NAME?</v>
      </c>
      <c r="AU6" s="439" t="str">
        <f ca="1">IF(AND(NOT(AS6),AND(AS$4:AS5)),MIN(EXP((AT6-$J6)*$G6),1),"")</f>
        <v/>
      </c>
      <c r="AW6" s="440" t="b">
        <f ca="1">IF(AND(NOT(AS6),AND(AS$4:AS5)),TRUE,AS6)</f>
        <v>1</v>
      </c>
      <c r="AX6" s="439" t="e">
        <f ca="1">IF(AND(NOT(ISBLANK(Jumpoverwrite10)),AND(NOT(AW6),AND(AW$4:AW5))),($J6*$G6-LN(1+Jumpoverwrite10*AY$2))/$G6,_xll.qlInterpolationInterpolate(AW$3,$F6,TRUE))</f>
        <v>#NAME?</v>
      </c>
      <c r="AY6" s="439" t="str">
        <f ca="1">IF(AND(NOT(AW6),AND(AW$4:AW5)),MIN(EXP((AX6-$J6)*$G6),1),"")</f>
        <v/>
      </c>
      <c r="BA6" s="440" t="b">
        <f ca="1">IF(AND(NOT(AW6),AND(AW$4:AW5)),TRUE,AW6)</f>
        <v>1</v>
      </c>
      <c r="BB6" s="439" t="e">
        <f ca="1">IF(AND(NOT(ISBLANK(Jumpoverwrite11)),AND(NOT(BA6),AND(BA$4:BA5))),($J6*$G6-LN(1+Jumpoverwrite11*BC$2))/$G6,_xll.qlInterpolationInterpolate(BA$3,$F6,TRUE))</f>
        <v>#NAME?</v>
      </c>
      <c r="BC6" s="439" t="str">
        <f ca="1">IF(AND(NOT(BA6),AND(BA$4:BA5)),MIN(EXP((BB6-$J6)*$G6),1),"")</f>
        <v/>
      </c>
      <c r="BE6" s="440" t="b">
        <f ca="1">IF(AND(NOT(BA6),AND(BA$4:BA5)),TRUE,BA6)</f>
        <v>1</v>
      </c>
      <c r="BF6" s="439" t="e">
        <f ca="1">IF(AND(NOT(ISBLANK(Jumpoverwrite12)),AND(NOT(BE6),AND(BE$4:BE5))),($J6*$G6-LN(1+Jumpoverwrite12*BG$2))/$G6,_xll.qlInterpolationInterpolate(BE$3,$F6,TRUE))</f>
        <v>#NAME?</v>
      </c>
      <c r="BG6" s="439" t="str">
        <f ca="1">IF(AND(NOT(BE6),AND(BE$4:BE5)),MIN(EXP((BF6-$J6)*$G6),1),"")</f>
        <v/>
      </c>
      <c r="BI6" s="440" t="b">
        <f t="shared" ca="1" si="3"/>
        <v>0</v>
      </c>
      <c r="BJ6" s="439" t="e">
        <f ca="1">IF(AND(NOT(ISBLANK(jumpoverwrite13)),AND(NOT(BI6),AND(BI$4:BI5))),($J6*$G6-LN(1+jumpoverwrite13*BK$2))/$G6,_xll.qlInterpolationInterpolate(BI$3,$F6,TRUE))</f>
        <v>#NAME?</v>
      </c>
      <c r="BK6" s="439" t="str">
        <f ca="1">IF(AND(NOT(BI6),AND(BI$4:BI5)),MIN(EXP((BJ6-$J6)*$G6),1),"")</f>
        <v/>
      </c>
    </row>
    <row r="7" spans="1:83" x14ac:dyDescent="0.2">
      <c r="A7" s="438" t="e">
        <f ca="1"/>
        <v>#NAME?</v>
      </c>
      <c r="B7" s="437" t="e">
        <f ca="1">_xll.qlRateHelperRate($A7,InterestRatesTrigger)</f>
        <v>#NAME?</v>
      </c>
      <c r="C7" s="436" t="e">
        <f ca="1">_xll.qlRateHelperEarliestDate($A7)</f>
        <v>#NAME?</v>
      </c>
      <c r="D7" s="435" t="e">
        <f ca="1">_xll.qlRateHelperPillarDate($A7)</f>
        <v>#NAME?</v>
      </c>
      <c r="F7" s="445" t="e">
        <f t="shared" ca="1" si="1"/>
        <v>#N/A</v>
      </c>
      <c r="G7" s="444" t="e">
        <f ca="1">_xll.qlDayCounterYearFraction(DayCounter,D6,D7)</f>
        <v>#NAME?</v>
      </c>
      <c r="I7" s="443" t="b">
        <f t="shared" ca="1" si="2"/>
        <v>0</v>
      </c>
      <c r="J7" s="442" t="e">
        <f ca="1"/>
        <v>#NAME?</v>
      </c>
      <c r="K7" s="441" t="e">
        <f t="shared" ca="1" si="0"/>
        <v>#NAME?</v>
      </c>
      <c r="L7" s="446"/>
      <c r="M7" s="440" t="b">
        <f ca="1">IF(AND(NOT(I7),AND(I$4:I6)),TRUE,I7)</f>
        <v>0</v>
      </c>
      <c r="N7" s="439" t="e">
        <f ca="1">IF(AND(NOT(ISBLANK(Jumpoverwrite1)),AND(NOT(M7),AND(M$4:M6))),($J7*$G7-LN(1+Jumpoverwrite1*O$2))/$G7,_xll.qlInterpolationInterpolate(M$3,$F7,TRUE))</f>
        <v>#NAME?</v>
      </c>
      <c r="O7" s="439" t="str">
        <f ca="1">IF(AND(NOT(M7),AND(M$4:M6)),MIN(EXP((N7-$J7)*$G7),1),"")</f>
        <v/>
      </c>
      <c r="P7" s="447"/>
      <c r="Q7" s="440" t="b">
        <f ca="1">IF(AND(NOT(M7),AND(M$4:M6)),TRUE,M7)</f>
        <v>0</v>
      </c>
      <c r="R7" s="439" t="e">
        <f ca="1">IF(AND(NOT(ISBLANK(Jumpoverwrite2)),AND(NOT(Q7),AND(Q$4:Q6))),($J7*$G7-LN(1+Jumpoverwrite2*S$2))/$G7,_xll.qlInterpolationInterpolate(Q$3,$F7,TRUE))</f>
        <v>#NAME?</v>
      </c>
      <c r="S7" s="439" t="str">
        <f ca="1">IF(AND(NOT(Q7),AND(Q$4:Q6)),MIN(EXP((R7-$J7)*$G7),1),"")</f>
        <v/>
      </c>
      <c r="T7" s="428"/>
      <c r="U7" s="440" t="b">
        <f ca="1">IF(AND(NOT(Q7),AND(Q$4:Q6)),TRUE,Q7)</f>
        <v>0</v>
      </c>
      <c r="V7" s="439" t="e">
        <f ca="1">IF(AND(NOT(ISBLANK(Jumpoverwrite3)),AND(NOT(U7),AND(U$4:U6))),($J7*$G7-LN(1+Jumpoverwrite3*W$2))/$G7,_xll.qlInterpolationInterpolate(U$3,$F7,TRUE))</f>
        <v>#NAME?</v>
      </c>
      <c r="W7" s="439" t="e">
        <f ca="1">IF(AND(NOT(U7),AND(U$4:U6)),MIN(EXP((V7-$J7)*$G7),1),"")</f>
        <v>#NAME?</v>
      </c>
      <c r="X7" s="428"/>
      <c r="Y7" s="440" t="b">
        <f ca="1">IF(AND(NOT(U7),AND(U$4:U6)),TRUE,U7)</f>
        <v>1</v>
      </c>
      <c r="Z7" s="439" t="e">
        <f ca="1">IF(AND(NOT(ISBLANK(Jumpoverwrite4)),AND(NOT(Y7),AND(Y$4:Y6))),($J7*$G7-LN(1+Jumpoverwrite4*AA$2))/$G7,_xll.qlInterpolationInterpolate(Y$3,$F7,TRUE))</f>
        <v>#NAME?</v>
      </c>
      <c r="AA7" s="439" t="str">
        <f ca="1">IF(AND(NOT(Y7),AND(Y$4:Y6)),MIN(EXP((Z7-$J7)*$G7),1),"")</f>
        <v/>
      </c>
      <c r="AB7" s="428"/>
      <c r="AC7" s="440" t="b">
        <f ca="1">IF(AND(NOT(Y7),AND(Y$4:Y6)),TRUE,Y7)</f>
        <v>1</v>
      </c>
      <c r="AD7" s="439" t="e">
        <f ca="1">IF(AND(NOT(ISBLANK(Jumpoverwrite5)),AND(NOT(AC7),AND(AC$4:AC6))),($J7*$G7-LN(1+Jumpoverwrite5*AE$2))/$G7,_xll.qlInterpolationInterpolate(AC$3,$F7,TRUE))</f>
        <v>#NAME?</v>
      </c>
      <c r="AE7" s="439" t="str">
        <f ca="1">IF(AND(NOT(AC7),AND(AC$4:AC6)),MIN(EXP((AD7-$J7)*$G7),1),"")</f>
        <v/>
      </c>
      <c r="AF7" s="428"/>
      <c r="AG7" s="440" t="b">
        <f ca="1">IF(AND(NOT(AC7),AND(AC$4:AC6)),TRUE,AC7)</f>
        <v>1</v>
      </c>
      <c r="AH7" s="439" t="e">
        <f ca="1">IF(AND(NOT(ISBLANK(Jumpoverwrite6)),AND(NOT(AG7),AND(AG$4:AG6))),($J7*$G7-LN(1+Jumpoverwrite6*AI$2))/$G7,_xll.qlInterpolationInterpolate(AG$3,$F7,TRUE))</f>
        <v>#NAME?</v>
      </c>
      <c r="AI7" s="439" t="str">
        <f ca="1">IF(AND(NOT(AG7),AND(AG$4:AG6)),MIN(EXP((AH7-$J7)*$G7),1),"")</f>
        <v/>
      </c>
      <c r="AJ7" s="428"/>
      <c r="AK7" s="440" t="b">
        <f ca="1">IF(AND(NOT(AG7),AND(AG$4:AG6)),TRUE,AG7)</f>
        <v>1</v>
      </c>
      <c r="AL7" s="439" t="e">
        <f ca="1">IF(AND(NOT(ISBLANK(Jumpoverwrite7)),AND(NOT(AK7),AND(AK$4:AK6))),($J7*$G7-LN(1+Jumpoverwrite7*AM$2))/$G7,_xll.qlInterpolationInterpolate(AK$3,$F7,TRUE))</f>
        <v>#NAME?</v>
      </c>
      <c r="AM7" s="439" t="str">
        <f ca="1">IF(AND(NOT(AK7),AND(AK$4:AK6)),MIN(EXP((AL7-$J7)*$G7),1),"")</f>
        <v/>
      </c>
      <c r="AO7" s="440" t="b">
        <f ca="1">IF(AND(NOT(AK7),AND(AK$4:AK6)),TRUE,AK7)</f>
        <v>1</v>
      </c>
      <c r="AP7" s="439" t="e">
        <f ca="1">IF(AND(NOT(ISBLANK(Jumpoverwrite8)),AND(NOT(AO7),AND(AO$4:AO6))),($J7*$G7-LN(1+Jumpoverwrite8*AQ$2))/$G7,_xll.qlInterpolationInterpolate(AO$3,$F7,TRUE))</f>
        <v>#NAME?</v>
      </c>
      <c r="AQ7" s="439" t="str">
        <f ca="1">IF(AND(NOT(AO7),AND(AO$4:AO6)),MIN(EXP((AP7-$J7)*$G7),1),"")</f>
        <v/>
      </c>
      <c r="AS7" s="440" t="b">
        <f ca="1">IF(AND(NOT(AO7),AND(AO$4:AO6)),TRUE,AO7)</f>
        <v>1</v>
      </c>
      <c r="AT7" s="439" t="e">
        <f ca="1">IF(AND(NOT(ISBLANK(Jumpoverwrite9)),AND(NOT(AS7),AND(AS$4:AS6))),($J7*$G7-LN(1+Jumpoverwrite9*AU$2))/$G7,_xll.qlInterpolationInterpolate(AS$3,$F7,TRUE))</f>
        <v>#NAME?</v>
      </c>
      <c r="AU7" s="439" t="str">
        <f ca="1">IF(AND(NOT(AS7),AND(AS$4:AS6)),MIN(EXP((AT7-$J7)*$G7),1),"")</f>
        <v/>
      </c>
      <c r="AW7" s="440" t="b">
        <f ca="1">IF(AND(NOT(AS7),AND(AS$4:AS6)),TRUE,AS7)</f>
        <v>1</v>
      </c>
      <c r="AX7" s="439" t="e">
        <f ca="1">IF(AND(NOT(ISBLANK(Jumpoverwrite10)),AND(NOT(AW7),AND(AW$4:AW6))),($J7*$G7-LN(1+Jumpoverwrite10*AY$2))/$G7,_xll.qlInterpolationInterpolate(AW$3,$F7,TRUE))</f>
        <v>#NAME?</v>
      </c>
      <c r="AY7" s="439" t="str">
        <f ca="1">IF(AND(NOT(AW7),AND(AW$4:AW6)),MIN(EXP((AX7-$J7)*$G7),1),"")</f>
        <v/>
      </c>
      <c r="BA7" s="440" t="b">
        <f ca="1">IF(AND(NOT(AW7),AND(AW$4:AW6)),TRUE,AW7)</f>
        <v>1</v>
      </c>
      <c r="BB7" s="439" t="e">
        <f ca="1">IF(AND(NOT(ISBLANK(Jumpoverwrite11)),AND(NOT(BA7),AND(BA$4:BA6))),($J7*$G7-LN(1+Jumpoverwrite11*BC$2))/$G7,_xll.qlInterpolationInterpolate(BA$3,$F7,TRUE))</f>
        <v>#NAME?</v>
      </c>
      <c r="BC7" s="439" t="str">
        <f ca="1">IF(AND(NOT(BA7),AND(BA$4:BA6)),MIN(EXP((BB7-$J7)*$G7),1),"")</f>
        <v/>
      </c>
      <c r="BE7" s="440" t="b">
        <f ca="1">IF(AND(NOT(BA7),AND(BA$4:BA6)),TRUE,BA7)</f>
        <v>1</v>
      </c>
      <c r="BF7" s="439" t="e">
        <f ca="1">IF(AND(NOT(ISBLANK(Jumpoverwrite12)),AND(NOT(BE7),AND(BE$4:BE6))),($J7*$G7-LN(1+Jumpoverwrite12*BG$2))/$G7,_xll.qlInterpolationInterpolate(BE$3,$F7,TRUE))</f>
        <v>#NAME?</v>
      </c>
      <c r="BG7" s="439" t="str">
        <f ca="1">IF(AND(NOT(BE7),AND(BE$4:BE6)),MIN(EXP((BF7-$J7)*$G7),1),"")</f>
        <v/>
      </c>
      <c r="BI7" s="440" t="b">
        <f t="shared" ca="1" si="3"/>
        <v>0</v>
      </c>
      <c r="BJ7" s="439" t="e">
        <f ca="1">IF(AND(NOT(ISBLANK(jumpoverwrite13)),AND(NOT(BI7),AND(BI$4:BI6))),($J7*$G7-LN(1+jumpoverwrite13*BK$2))/$G7,_xll.qlInterpolationInterpolate(BI$3,$F7,TRUE))</f>
        <v>#NAME?</v>
      </c>
      <c r="BK7" s="439" t="str">
        <f ca="1">IF(AND(NOT(BI7),AND(BI$4:BI6)),MIN(EXP((BJ7-$J7)*$G7),1),"")</f>
        <v/>
      </c>
    </row>
    <row r="8" spans="1:83" x14ac:dyDescent="0.2">
      <c r="A8" s="438" t="e">
        <f ca="1"/>
        <v>#NAME?</v>
      </c>
      <c r="B8" s="437" t="e">
        <f ca="1">_xll.qlRateHelperRate($A8,InterestRatesTrigger)</f>
        <v>#NAME?</v>
      </c>
      <c r="C8" s="436" t="e">
        <f ca="1">_xll.qlRateHelperEarliestDate($A8)</f>
        <v>#NAME?</v>
      </c>
      <c r="D8" s="435" t="e">
        <f ca="1">_xll.qlRateHelperPillarDate($A8)</f>
        <v>#NAME?</v>
      </c>
      <c r="F8" s="445" t="e">
        <f t="shared" ca="1" si="1"/>
        <v>#N/A</v>
      </c>
      <c r="G8" s="444" t="e">
        <f ca="1">_xll.qlDayCounterYearFraction(DayCounter,D7,D8)</f>
        <v>#NAME?</v>
      </c>
      <c r="I8" s="443" t="b">
        <f t="shared" ca="1" si="2"/>
        <v>0</v>
      </c>
      <c r="J8" s="442" t="e">
        <f ca="1"/>
        <v>#NAME?</v>
      </c>
      <c r="K8" s="441" t="e">
        <f t="shared" ca="1" si="0"/>
        <v>#NAME?</v>
      </c>
      <c r="L8" s="446"/>
      <c r="M8" s="440" t="b">
        <f ca="1">IF(AND(NOT(I8),AND(I$4:I7)),TRUE,I8)</f>
        <v>0</v>
      </c>
      <c r="N8" s="439" t="e">
        <f ca="1">IF(AND(NOT(ISBLANK(Jumpoverwrite1)),AND(NOT(M8),AND(M$4:M7))),($J8*$G8-LN(1+Jumpoverwrite1*O$2))/$G8,_xll.qlInterpolationInterpolate(M$3,$F8,TRUE))</f>
        <v>#NAME?</v>
      </c>
      <c r="O8" s="439" t="str">
        <f ca="1">IF(AND(NOT(M8),AND(M$4:M7)),MIN(EXP((N8-$J8)*$G8),1),"")</f>
        <v/>
      </c>
      <c r="P8" s="428"/>
      <c r="Q8" s="440" t="b">
        <f ca="1">IF(AND(NOT(M8),AND(M$4:M7)),TRUE,M8)</f>
        <v>0</v>
      </c>
      <c r="R8" s="439" t="e">
        <f ca="1">IF(AND(NOT(ISBLANK(Jumpoverwrite2)),AND(NOT(Q8),AND(Q$4:Q7))),($J8*$G8-LN(1+Jumpoverwrite2*S$2))/$G8,_xll.qlInterpolationInterpolate(Q$3,$F8,TRUE))</f>
        <v>#NAME?</v>
      </c>
      <c r="S8" s="439" t="str">
        <f ca="1">IF(AND(NOT(Q8),AND(Q$4:Q7)),MIN(EXP((R8-$J8)*$G8),1),"")</f>
        <v/>
      </c>
      <c r="T8" s="428"/>
      <c r="U8" s="440" t="b">
        <f ca="1">IF(AND(NOT(Q8),AND(Q$4:Q7)),TRUE,Q8)</f>
        <v>0</v>
      </c>
      <c r="V8" s="439" t="e">
        <f ca="1">IF(AND(NOT(ISBLANK(Jumpoverwrite3)),AND(NOT(U8),AND(U$4:U7))),($J8*$G8-LN(1+Jumpoverwrite3*W$2))/$G8,_xll.qlInterpolationInterpolate(U$3,$F8,TRUE))</f>
        <v>#NAME?</v>
      </c>
      <c r="W8" s="439" t="str">
        <f ca="1">IF(AND(NOT(U8),AND(U$4:U7)),MIN(EXP((V8-$J8)*$G8),1),"")</f>
        <v/>
      </c>
      <c r="X8" s="428"/>
      <c r="Y8" s="440" t="b">
        <f ca="1">IF(AND(NOT(U8),AND(U$4:U7)),TRUE,U8)</f>
        <v>0</v>
      </c>
      <c r="Z8" s="439" t="e">
        <f ca="1">IF(AND(NOT(ISBLANK(Jumpoverwrite4)),AND(NOT(Y8),AND(Y$4:Y7))),($J8*$G8-LN(1+Jumpoverwrite4*AA$2))/$G8,_xll.qlInterpolationInterpolate(Y$3,$F8,TRUE))</f>
        <v>#NAME?</v>
      </c>
      <c r="AA8" s="439" t="e">
        <f ca="1">IF(AND(NOT(Y8),AND(Y$4:Y7)),MIN(EXP((Z8-$J8)*$G8),1),"")</f>
        <v>#NAME?</v>
      </c>
      <c r="AB8" s="428"/>
      <c r="AC8" s="440" t="b">
        <f ca="1">IF(AND(NOT(Y8),AND(Y$4:Y7)),TRUE,Y8)</f>
        <v>1</v>
      </c>
      <c r="AD8" s="439" t="e">
        <f ca="1">IF(AND(NOT(ISBLANK(Jumpoverwrite5)),AND(NOT(AC8),AND(AC$4:AC7))),($J8*$G8-LN(1+Jumpoverwrite5*AE$2))/$G8,_xll.qlInterpolationInterpolate(AC$3,$F8,TRUE))</f>
        <v>#NAME?</v>
      </c>
      <c r="AE8" s="439" t="str">
        <f ca="1">IF(AND(NOT(AC8),AND(AC$4:AC7)),MIN(EXP((AD8-$J8)*$G8),1),"")</f>
        <v/>
      </c>
      <c r="AF8" s="428"/>
      <c r="AG8" s="440" t="b">
        <f ca="1">IF(AND(NOT(AC8),AND(AC$4:AC7)),TRUE,AC8)</f>
        <v>1</v>
      </c>
      <c r="AH8" s="439" t="e">
        <f ca="1">IF(AND(NOT(ISBLANK(Jumpoverwrite6)),AND(NOT(AG8),AND(AG$4:AG7))),($J8*$G8-LN(1+Jumpoverwrite6*AI$2))/$G8,_xll.qlInterpolationInterpolate(AG$3,$F8,TRUE))</f>
        <v>#NAME?</v>
      </c>
      <c r="AI8" s="439" t="str">
        <f ca="1">IF(AND(NOT(AG8),AND(AG$4:AG7)),MIN(EXP((AH8-$J8)*$G8),1),"")</f>
        <v/>
      </c>
      <c r="AJ8" s="428"/>
      <c r="AK8" s="440" t="b">
        <f ca="1">IF(AND(NOT(AG8),AND(AG$4:AG7)),TRUE,AG8)</f>
        <v>1</v>
      </c>
      <c r="AL8" s="439" t="e">
        <f ca="1">IF(AND(NOT(ISBLANK(Jumpoverwrite7)),AND(NOT(AK8),AND(AK$4:AK7))),($J8*$G8-LN(1+Jumpoverwrite7*AM$2))/$G8,_xll.qlInterpolationInterpolate(AK$3,$F8,TRUE))</f>
        <v>#NAME?</v>
      </c>
      <c r="AM8" s="439" t="str">
        <f ca="1">IF(AND(NOT(AK8),AND(AK$4:AK7)),MIN(EXP((AL8-$J8)*$G8),1),"")</f>
        <v/>
      </c>
      <c r="AO8" s="440" t="b">
        <f ca="1">IF(AND(NOT(AK8),AND(AK$4:AK7)),TRUE,AK8)</f>
        <v>1</v>
      </c>
      <c r="AP8" s="439" t="e">
        <f ca="1">IF(AND(NOT(ISBLANK(Jumpoverwrite8)),AND(NOT(AO8),AND(AO$4:AO7))),($J8*$G8-LN(1+Jumpoverwrite8*AQ$2))/$G8,_xll.qlInterpolationInterpolate(AO$3,$F8,TRUE))</f>
        <v>#NAME?</v>
      </c>
      <c r="AQ8" s="439" t="str">
        <f ca="1">IF(AND(NOT(AO8),AND(AO$4:AO7)),MIN(EXP((AP8-$J8)*$G8),1),"")</f>
        <v/>
      </c>
      <c r="AS8" s="440" t="b">
        <f ca="1">IF(AND(NOT(AO8),AND(AO$4:AO7)),TRUE,AO8)</f>
        <v>1</v>
      </c>
      <c r="AT8" s="439" t="e">
        <f ca="1">IF(AND(NOT(ISBLANK(Jumpoverwrite9)),AND(NOT(AS8),AND(AS$4:AS7))),($J8*$G8-LN(1+Jumpoverwrite9*AU$2))/$G8,_xll.qlInterpolationInterpolate(AS$3,$F8,TRUE))</f>
        <v>#NAME?</v>
      </c>
      <c r="AU8" s="439" t="str">
        <f ca="1">IF(AND(NOT(AS8),AND(AS$4:AS7)),MIN(EXP((AT8-$J8)*$G8),1),"")</f>
        <v/>
      </c>
      <c r="AW8" s="440" t="b">
        <f ca="1">IF(AND(NOT(AS8),AND(AS$4:AS7)),TRUE,AS8)</f>
        <v>1</v>
      </c>
      <c r="AX8" s="439" t="e">
        <f ca="1">IF(AND(NOT(ISBLANK(Jumpoverwrite10)),AND(NOT(AW8),AND(AW$4:AW7))),($J8*$G8-LN(1+Jumpoverwrite10*AY$2))/$G8,_xll.qlInterpolationInterpolate(AW$3,$F8,TRUE))</f>
        <v>#NAME?</v>
      </c>
      <c r="AY8" s="439" t="str">
        <f ca="1">IF(AND(NOT(AW8),AND(AW$4:AW7)),MIN(EXP((AX8-$J8)*$G8),1),"")</f>
        <v/>
      </c>
      <c r="BA8" s="440" t="b">
        <f ca="1">IF(AND(NOT(AW8),AND(AW$4:AW7)),TRUE,AW8)</f>
        <v>1</v>
      </c>
      <c r="BB8" s="439" t="e">
        <f ca="1">IF(AND(NOT(ISBLANK(Jumpoverwrite11)),AND(NOT(BA8),AND(BA$4:BA7))),($J8*$G8-LN(1+Jumpoverwrite11*BC$2))/$G8,_xll.qlInterpolationInterpolate(BA$3,$F8,TRUE))</f>
        <v>#NAME?</v>
      </c>
      <c r="BC8" s="439" t="str">
        <f ca="1">IF(AND(NOT(BA8),AND(BA$4:BA7)),MIN(EXP((BB8-$J8)*$G8),1),"")</f>
        <v/>
      </c>
      <c r="BE8" s="440" t="b">
        <f ca="1">IF(AND(NOT(BA8),AND(BA$4:BA7)),TRUE,BA8)</f>
        <v>1</v>
      </c>
      <c r="BF8" s="439" t="e">
        <f ca="1">IF(AND(NOT(ISBLANK(Jumpoverwrite12)),AND(NOT(BE8),AND(BE$4:BE7))),($J8*$G8-LN(1+Jumpoverwrite12*BG$2))/$G8,_xll.qlInterpolationInterpolate(BE$3,$F8,TRUE))</f>
        <v>#NAME?</v>
      </c>
      <c r="BG8" s="439" t="str">
        <f ca="1">IF(AND(NOT(BE8),AND(BE$4:BE7)),MIN(EXP((BF8-$J8)*$G8),1),"")</f>
        <v/>
      </c>
      <c r="BI8" s="440" t="b">
        <f t="shared" ca="1" si="3"/>
        <v>0</v>
      </c>
      <c r="BJ8" s="439" t="e">
        <f ca="1">IF(AND(NOT(ISBLANK(jumpoverwrite13)),AND(NOT(BI8),AND(BI$4:BI7))),($J8*$G8-LN(1+jumpoverwrite13*BK$2))/$G8,_xll.qlInterpolationInterpolate(BI$3,$F8,TRUE))</f>
        <v>#NAME?</v>
      </c>
      <c r="BK8" s="439" t="str">
        <f ca="1">IF(AND(NOT(BI8),AND(BI$4:BI7)),MIN(EXP((BJ8-$J8)*$G8),1),"")</f>
        <v/>
      </c>
    </row>
    <row r="9" spans="1:83" x14ac:dyDescent="0.2">
      <c r="A9" s="438" t="e">
        <f ca="1"/>
        <v>#NAME?</v>
      </c>
      <c r="B9" s="437" t="e">
        <f ca="1">_xll.qlRateHelperRate($A9,InterestRatesTrigger)</f>
        <v>#NAME?</v>
      </c>
      <c r="C9" s="436" t="e">
        <f ca="1">_xll.qlRateHelperEarliestDate($A9)</f>
        <v>#NAME?</v>
      </c>
      <c r="D9" s="435" t="e">
        <f ca="1">_xll.qlRateHelperPillarDate($A9)</f>
        <v>#NAME?</v>
      </c>
      <c r="F9" s="445" t="e">
        <f t="shared" ca="1" si="1"/>
        <v>#N/A</v>
      </c>
      <c r="G9" s="444" t="e">
        <f ca="1">_xll.qlDayCounterYearFraction(DayCounter,D8,D9)</f>
        <v>#NAME?</v>
      </c>
      <c r="I9" s="443" t="b">
        <f t="shared" ca="1" si="2"/>
        <v>0</v>
      </c>
      <c r="J9" s="442" t="e">
        <f ca="1"/>
        <v>#NAME?</v>
      </c>
      <c r="K9" s="441" t="e">
        <f t="shared" ca="1" si="0"/>
        <v>#NAME?</v>
      </c>
      <c r="L9" s="446"/>
      <c r="M9" s="440" t="b">
        <f ca="1">IF(AND(NOT(I9),AND(I$4:I8)),TRUE,I9)</f>
        <v>0</v>
      </c>
      <c r="N9" s="439" t="e">
        <f ca="1">IF(AND(NOT(ISBLANK(Jumpoverwrite1)),AND(NOT(M9),AND(M$4:M8))),($J9*$G9-LN(1+Jumpoverwrite1*O$2))/$G9,_xll.qlInterpolationInterpolate(M$3,$F9,TRUE))</f>
        <v>#NAME?</v>
      </c>
      <c r="O9" s="439" t="str">
        <f ca="1">IF(AND(NOT(M9),AND(M$4:M8)),MIN(EXP((N9-$J9)*$G9),1),"")</f>
        <v/>
      </c>
      <c r="P9" s="428"/>
      <c r="Q9" s="440" t="b">
        <f ca="1">IF(AND(NOT(M9),AND(M$4:M8)),TRUE,M9)</f>
        <v>0</v>
      </c>
      <c r="R9" s="439" t="e">
        <f ca="1">IF(AND(NOT(ISBLANK(Jumpoverwrite2)),AND(NOT(Q9),AND(Q$4:Q8))),($J9*$G9-LN(1+Jumpoverwrite2*S$2))/$G9,_xll.qlInterpolationInterpolate(Q$3,$F9,TRUE))</f>
        <v>#NAME?</v>
      </c>
      <c r="S9" s="439" t="str">
        <f ca="1">IF(AND(NOT(Q9),AND(Q$4:Q8)),MIN(EXP((R9-$J9)*$G9),1),"")</f>
        <v/>
      </c>
      <c r="T9" s="428"/>
      <c r="U9" s="440" t="b">
        <f ca="1">IF(AND(NOT(Q9),AND(Q$4:Q8)),TRUE,Q9)</f>
        <v>0</v>
      </c>
      <c r="V9" s="439" t="e">
        <f ca="1">IF(AND(NOT(ISBLANK(Jumpoverwrite3)),AND(NOT(U9),AND(U$4:U8))),($J9*$G9-LN(1+Jumpoverwrite3*W$2))/$G9,_xll.qlInterpolationInterpolate(U$3,$F9,TRUE))</f>
        <v>#NAME?</v>
      </c>
      <c r="W9" s="439" t="str">
        <f ca="1">IF(AND(NOT(U9),AND(U$4:U8)),MIN(EXP((V9-$J9)*$G9),1),"")</f>
        <v/>
      </c>
      <c r="X9" s="428"/>
      <c r="Y9" s="440" t="b">
        <f ca="1">IF(AND(NOT(U9),AND(U$4:U8)),TRUE,U9)</f>
        <v>0</v>
      </c>
      <c r="Z9" s="439" t="e">
        <f ca="1">IF(AND(NOT(ISBLANK(Jumpoverwrite4)),AND(NOT(Y9),AND(Y$4:Y8))),($J9*$G9-LN(1+Jumpoverwrite4*AA$2))/$G9,_xll.qlInterpolationInterpolate(Y$3,$F9,TRUE))</f>
        <v>#NAME?</v>
      </c>
      <c r="AA9" s="439" t="str">
        <f ca="1">IF(AND(NOT(Y9),AND(Y$4:Y8)),MIN(EXP((Z9-$J9)*$G9),1),"")</f>
        <v/>
      </c>
      <c r="AB9" s="428"/>
      <c r="AC9" s="440" t="b">
        <f ca="1">IF(AND(NOT(Y9),AND(Y$4:Y8)),TRUE,Y9)</f>
        <v>0</v>
      </c>
      <c r="AD9" s="439" t="e">
        <f ca="1">IF(AND(NOT(ISBLANK(Jumpoverwrite5)),AND(NOT(AC9),AND(AC$4:AC8))),($J9*$G9-LN(1+Jumpoverwrite5*AE$2))/$G9,_xll.qlInterpolationInterpolate(AC$3,$F9,TRUE))</f>
        <v>#NAME?</v>
      </c>
      <c r="AE9" s="439" t="e">
        <f ca="1">IF(AND(NOT(AC9),AND(AC$4:AC8)),MIN(EXP((AD9-$J9)*$G9),1),"")</f>
        <v>#NAME?</v>
      </c>
      <c r="AF9" s="428"/>
      <c r="AG9" s="440" t="b">
        <f ca="1">IF(AND(NOT(AC9),AND(AC$4:AC8)),TRUE,AC9)</f>
        <v>1</v>
      </c>
      <c r="AH9" s="439" t="e">
        <f ca="1">IF(AND(NOT(ISBLANK(Jumpoverwrite6)),AND(NOT(AG9),AND(AG$4:AG8))),($J9*$G9-LN(1+Jumpoverwrite6*AI$2))/$G9,_xll.qlInterpolationInterpolate(AG$3,$F9,TRUE))</f>
        <v>#NAME?</v>
      </c>
      <c r="AI9" s="439" t="str">
        <f ca="1">IF(AND(NOT(AG9),AND(AG$4:AG8)),MIN(EXP((AH9-$J9)*$G9),1),"")</f>
        <v/>
      </c>
      <c r="AJ9" s="428"/>
      <c r="AK9" s="440" t="b">
        <f ca="1">IF(AND(NOT(AG9),AND(AG$4:AG8)),TRUE,AG9)</f>
        <v>1</v>
      </c>
      <c r="AL9" s="439" t="e">
        <f ca="1">IF(AND(NOT(ISBLANK(Jumpoverwrite7)),AND(NOT(AK9),AND(AK$4:AK8))),($J9*$G9-LN(1+Jumpoverwrite7*AM$2))/$G9,_xll.qlInterpolationInterpolate(AK$3,$F9,TRUE))</f>
        <v>#NAME?</v>
      </c>
      <c r="AM9" s="439" t="str">
        <f ca="1">IF(AND(NOT(AK9),AND(AK$4:AK8)),MIN(EXP((AL9-$J9)*$G9),1),"")</f>
        <v/>
      </c>
      <c r="AO9" s="440" t="b">
        <f ca="1">IF(AND(NOT(AK9),AND(AK$4:AK8)),TRUE,AK9)</f>
        <v>1</v>
      </c>
      <c r="AP9" s="439" t="e">
        <f ca="1">IF(AND(NOT(ISBLANK(Jumpoverwrite8)),AND(NOT(AO9),AND(AO$4:AO8))),($J9*$G9-LN(1+Jumpoverwrite8*AQ$2))/$G9,_xll.qlInterpolationInterpolate(AO$3,$F9,TRUE))</f>
        <v>#NAME?</v>
      </c>
      <c r="AQ9" s="439" t="str">
        <f ca="1">IF(AND(NOT(AO9),AND(AO$4:AO8)),MIN(EXP((AP9-$J9)*$G9),1),"")</f>
        <v/>
      </c>
      <c r="AS9" s="440" t="b">
        <f ca="1">IF(AND(NOT(AO9),AND(AO$4:AO8)),TRUE,AO9)</f>
        <v>1</v>
      </c>
      <c r="AT9" s="439" t="e">
        <f ca="1">IF(AND(NOT(ISBLANK(Jumpoverwrite9)),AND(NOT(AS9),AND(AS$4:AS8))),($J9*$G9-LN(1+Jumpoverwrite9*AU$2))/$G9,_xll.qlInterpolationInterpolate(AS$3,$F9,TRUE))</f>
        <v>#NAME?</v>
      </c>
      <c r="AU9" s="439" t="str">
        <f ca="1">IF(AND(NOT(AS9),AND(AS$4:AS8)),MIN(EXP((AT9-$J9)*$G9),1),"")</f>
        <v/>
      </c>
      <c r="AW9" s="440" t="b">
        <f ca="1">IF(AND(NOT(AS9),AND(AS$4:AS8)),TRUE,AS9)</f>
        <v>1</v>
      </c>
      <c r="AX9" s="439" t="e">
        <f ca="1">IF(AND(NOT(ISBLANK(Jumpoverwrite10)),AND(NOT(AW9),AND(AW$4:AW8))),($J9*$G9-LN(1+Jumpoverwrite10*AY$2))/$G9,_xll.qlInterpolationInterpolate(AW$3,$F9,TRUE))</f>
        <v>#NAME?</v>
      </c>
      <c r="AY9" s="439" t="str">
        <f ca="1">IF(AND(NOT(AW9),AND(AW$4:AW8)),MIN(EXP((AX9-$J9)*$G9),1),"")</f>
        <v/>
      </c>
      <c r="BA9" s="440" t="b">
        <f ca="1">IF(AND(NOT(AW9),AND(AW$4:AW8)),TRUE,AW9)</f>
        <v>1</v>
      </c>
      <c r="BB9" s="439" t="e">
        <f ca="1">IF(AND(NOT(ISBLANK(Jumpoverwrite11)),AND(NOT(BA9),AND(BA$4:BA8))),($J9*$G9-LN(1+Jumpoverwrite11*BC$2))/$G9,_xll.qlInterpolationInterpolate(BA$3,$F9,TRUE))</f>
        <v>#NAME?</v>
      </c>
      <c r="BC9" s="439" t="str">
        <f ca="1">IF(AND(NOT(BA9),AND(BA$4:BA8)),MIN(EXP((BB9-$J9)*$G9),1),"")</f>
        <v/>
      </c>
      <c r="BE9" s="440" t="b">
        <f ca="1">IF(AND(NOT(BA9),AND(BA$4:BA8)),TRUE,BA9)</f>
        <v>1</v>
      </c>
      <c r="BF9" s="439" t="e">
        <f ca="1">IF(AND(NOT(ISBLANK(Jumpoverwrite12)),AND(NOT(BE9),AND(BE$4:BE8))),($J9*$G9-LN(1+Jumpoverwrite12*BG$2))/$G9,_xll.qlInterpolationInterpolate(BE$3,$F9,TRUE))</f>
        <v>#NAME?</v>
      </c>
      <c r="BG9" s="439" t="str">
        <f ca="1">IF(AND(NOT(BE9),AND(BE$4:BE8)),MIN(EXP((BF9-$J9)*$G9),1),"")</f>
        <v/>
      </c>
      <c r="BI9" s="440" t="b">
        <f t="shared" ca="1" si="3"/>
        <v>0</v>
      </c>
      <c r="BJ9" s="439" t="e">
        <f ca="1">IF(AND(NOT(ISBLANK(jumpoverwrite13)),AND(NOT(BI9),AND(BI$4:BI8))),($J9*$G9-LN(1+jumpoverwrite13*BK$2))/$G9,_xll.qlInterpolationInterpolate(BI$3,$F9,TRUE))</f>
        <v>#NAME?</v>
      </c>
      <c r="BK9" s="439" t="str">
        <f ca="1">IF(AND(NOT(BI9),AND(BI$4:BI8)),MIN(EXP((BJ9-$J9)*$G9),1),"")</f>
        <v/>
      </c>
    </row>
    <row r="10" spans="1:83" x14ac:dyDescent="0.2">
      <c r="A10" s="438" t="e">
        <f ca="1"/>
        <v>#NAME?</v>
      </c>
      <c r="B10" s="437" t="e">
        <f ca="1">_xll.qlRateHelperRate($A10,InterestRatesTrigger)</f>
        <v>#NAME?</v>
      </c>
      <c r="C10" s="436" t="e">
        <f ca="1">_xll.qlRateHelperEarliestDate($A10)</f>
        <v>#NAME?</v>
      </c>
      <c r="D10" s="435" t="e">
        <f ca="1">_xll.qlRateHelperPillarDate($A10)</f>
        <v>#NAME?</v>
      </c>
      <c r="F10" s="445" t="e">
        <f t="shared" ca="1" si="1"/>
        <v>#N/A</v>
      </c>
      <c r="G10" s="444" t="e">
        <f ca="1">_xll.qlDayCounterYearFraction(DayCounter,D9,D10)</f>
        <v>#NAME?</v>
      </c>
      <c r="I10" s="443" t="b">
        <f t="shared" ca="1" si="2"/>
        <v>0</v>
      </c>
      <c r="J10" s="442" t="e">
        <f ca="1"/>
        <v>#NAME?</v>
      </c>
      <c r="K10" s="441" t="e">
        <f t="shared" ca="1" si="0"/>
        <v>#NAME?</v>
      </c>
      <c r="L10" s="446"/>
      <c r="M10" s="440" t="b">
        <f ca="1">IF(AND(NOT(I10),AND(I$4:I9)),TRUE,I10)</f>
        <v>0</v>
      </c>
      <c r="N10" s="439" t="e">
        <f ca="1">IF(AND(NOT(ISBLANK(Jumpoverwrite1)),AND(NOT(M10),AND(M$4:M9))),($J10*$G10-LN(1+Jumpoverwrite1*O$2))/$G10,_xll.qlInterpolationInterpolate(M$3,$F10,TRUE))</f>
        <v>#NAME?</v>
      </c>
      <c r="O10" s="439" t="str">
        <f ca="1">IF(AND(NOT(M10),AND(M$4:M9)),MIN(EXP((N10-$J10)*$G10),1),"")</f>
        <v/>
      </c>
      <c r="P10" s="428"/>
      <c r="Q10" s="440" t="b">
        <f ca="1">IF(AND(NOT(M10),AND(M$4:M9)),TRUE,M10)</f>
        <v>0</v>
      </c>
      <c r="R10" s="439" t="e">
        <f ca="1">IF(AND(NOT(ISBLANK(Jumpoverwrite2)),AND(NOT(Q10),AND(Q$4:Q9))),($J10*$G10-LN(1+Jumpoverwrite2*S$2))/$G10,_xll.qlInterpolationInterpolate(Q$3,$F10,TRUE))</f>
        <v>#NAME?</v>
      </c>
      <c r="S10" s="439" t="str">
        <f ca="1">IF(AND(NOT(Q10),AND(Q$4:Q9)),MIN(EXP((R10-$J10)*$G10),1),"")</f>
        <v/>
      </c>
      <c r="T10" s="428"/>
      <c r="U10" s="440" t="b">
        <f ca="1">IF(AND(NOT(Q10),AND(Q$4:Q9)),TRUE,Q10)</f>
        <v>0</v>
      </c>
      <c r="V10" s="439" t="e">
        <f ca="1">IF(AND(NOT(ISBLANK(Jumpoverwrite3)),AND(NOT(U10),AND(U$4:U9))),($J10*$G10-LN(1+Jumpoverwrite3*W$2))/$G10,_xll.qlInterpolationInterpolate(U$3,$F10,TRUE))</f>
        <v>#NAME?</v>
      </c>
      <c r="W10" s="439" t="str">
        <f ca="1">IF(AND(NOT(U10),AND(U$4:U9)),MIN(EXP((V10-$J10)*$G10),1),"")</f>
        <v/>
      </c>
      <c r="X10" s="428"/>
      <c r="Y10" s="440" t="b">
        <f ca="1">IF(AND(NOT(U10),AND(U$4:U9)),TRUE,U10)</f>
        <v>0</v>
      </c>
      <c r="Z10" s="439" t="e">
        <f ca="1">IF(AND(NOT(ISBLANK(Jumpoverwrite4)),AND(NOT(Y10),AND(Y$4:Y9))),($J10*$G10-LN(1+Jumpoverwrite4*AA$2))/$G10,_xll.qlInterpolationInterpolate(Y$3,$F10,TRUE))</f>
        <v>#NAME?</v>
      </c>
      <c r="AA10" s="439" t="str">
        <f ca="1">IF(AND(NOT(Y10),AND(Y$4:Y9)),MIN(EXP((Z10-$J10)*$G10),1),"")</f>
        <v/>
      </c>
      <c r="AB10" s="428"/>
      <c r="AC10" s="440" t="b">
        <f ca="1">IF(AND(NOT(Y10),AND(Y$4:Y9)),TRUE,Y10)</f>
        <v>0</v>
      </c>
      <c r="AD10" s="439" t="e">
        <f ca="1">IF(AND(NOT(ISBLANK(Jumpoverwrite5)),AND(NOT(AC10),AND(AC$4:AC9))),($J10*$G10-LN(1+Jumpoverwrite5*AE$2))/$G10,_xll.qlInterpolationInterpolate(AC$3,$F10,TRUE))</f>
        <v>#NAME?</v>
      </c>
      <c r="AE10" s="439" t="str">
        <f ca="1">IF(AND(NOT(AC10),AND(AC$4:AC9)),MIN(EXP((AD10-$J10)*$G10),1),"")</f>
        <v/>
      </c>
      <c r="AF10" s="428"/>
      <c r="AG10" s="440" t="b">
        <f ca="1">IF(AND(NOT(AC10),AND(AC$4:AC9)),TRUE,AC10)</f>
        <v>0</v>
      </c>
      <c r="AH10" s="439" t="e">
        <f ca="1">IF(AND(NOT(ISBLANK(Jumpoverwrite6)),AND(NOT(AG10),AND(AG$4:AG9))),($J10*$G10-LN(1+Jumpoverwrite6*AI$2))/$G10,_xll.qlInterpolationInterpolate(AG$3,$F10,TRUE))</f>
        <v>#NAME?</v>
      </c>
      <c r="AI10" s="439" t="e">
        <f ca="1">IF(AND(NOT(AG10),AND(AG$4:AG9)),MIN(EXP((AH10-$J10)*$G10),1),"")</f>
        <v>#NAME?</v>
      </c>
      <c r="AJ10" s="428"/>
      <c r="AK10" s="440" t="b">
        <f ca="1">IF(AND(NOT(AG10),AND(AG$4:AG9)),TRUE,AG10)</f>
        <v>1</v>
      </c>
      <c r="AL10" s="439" t="e">
        <f ca="1">IF(AND(NOT(ISBLANK(Jumpoverwrite7)),AND(NOT(AK10),AND(AK$4:AK9))),($J10*$G10-LN(1+Jumpoverwrite7*AM$2))/$G10,_xll.qlInterpolationInterpolate(AK$3,$F10,TRUE))</f>
        <v>#NAME?</v>
      </c>
      <c r="AM10" s="439" t="str">
        <f ca="1">IF(AND(NOT(AK10),AND(AK$4:AK9)),MIN(EXP((AL10-$J10)*$G10),1),"")</f>
        <v/>
      </c>
      <c r="AO10" s="440" t="b">
        <f ca="1">IF(AND(NOT(AK10),AND(AK$4:AK9)),TRUE,AK10)</f>
        <v>1</v>
      </c>
      <c r="AP10" s="439" t="e">
        <f ca="1">IF(AND(NOT(ISBLANK(Jumpoverwrite8)),AND(NOT(AO10),AND(AO$4:AO9))),($J10*$G10-LN(1+Jumpoverwrite8*AQ$2))/$G10,_xll.qlInterpolationInterpolate(AO$3,$F10,TRUE))</f>
        <v>#NAME?</v>
      </c>
      <c r="AQ10" s="439" t="str">
        <f ca="1">IF(AND(NOT(AO10),AND(AO$4:AO9)),MIN(EXP((AP10-$J10)*$G10),1),"")</f>
        <v/>
      </c>
      <c r="AS10" s="440" t="b">
        <f ca="1">IF(AND(NOT(AO10),AND(AO$4:AO9)),TRUE,AO10)</f>
        <v>1</v>
      </c>
      <c r="AT10" s="439" t="e">
        <f ca="1">IF(AND(NOT(ISBLANK(Jumpoverwrite9)),AND(NOT(AS10),AND(AS$4:AS9))),($J10*$G10-LN(1+Jumpoverwrite9*AU$2))/$G10,_xll.qlInterpolationInterpolate(AS$3,$F10,TRUE))</f>
        <v>#NAME?</v>
      </c>
      <c r="AU10" s="439" t="str">
        <f ca="1">IF(AND(NOT(AS10),AND(AS$4:AS9)),MIN(EXP((AT10-$J10)*$G10),1),"")</f>
        <v/>
      </c>
      <c r="AW10" s="440" t="b">
        <f ca="1">IF(AND(NOT(AS10),AND(AS$4:AS9)),TRUE,AS10)</f>
        <v>1</v>
      </c>
      <c r="AX10" s="439" t="e">
        <f ca="1">IF(AND(NOT(ISBLANK(Jumpoverwrite10)),AND(NOT(AW10),AND(AW$4:AW9))),($J10*$G10-LN(1+Jumpoverwrite10*AY$2))/$G10,_xll.qlInterpolationInterpolate(AW$3,$F10,TRUE))</f>
        <v>#NAME?</v>
      </c>
      <c r="AY10" s="439" t="str">
        <f ca="1">IF(AND(NOT(AW10),AND(AW$4:AW9)),MIN(EXP((AX10-$J10)*$G10),1),"")</f>
        <v/>
      </c>
      <c r="BA10" s="440" t="b">
        <f ca="1">IF(AND(NOT(AW10),AND(AW$4:AW9)),TRUE,AW10)</f>
        <v>1</v>
      </c>
      <c r="BB10" s="439" t="e">
        <f ca="1">IF(AND(NOT(ISBLANK(Jumpoverwrite11)),AND(NOT(BA10),AND(BA$4:BA9))),($J10*$G10-LN(1+Jumpoverwrite11*BC$2))/$G10,_xll.qlInterpolationInterpolate(BA$3,$F10,TRUE))</f>
        <v>#NAME?</v>
      </c>
      <c r="BC10" s="439" t="str">
        <f ca="1">IF(AND(NOT(BA10),AND(BA$4:BA9)),MIN(EXP((BB10-$J10)*$G10),1),"")</f>
        <v/>
      </c>
      <c r="BE10" s="440" t="b">
        <f ca="1">IF(AND(NOT(BA10),AND(BA$4:BA9)),TRUE,BA10)</f>
        <v>1</v>
      </c>
      <c r="BF10" s="439" t="e">
        <f ca="1">IF(AND(NOT(ISBLANK(Jumpoverwrite12)),AND(NOT(BE10),AND(BE$4:BE9))),($J10*$G10-LN(1+Jumpoverwrite12*BG$2))/$G10,_xll.qlInterpolationInterpolate(BE$3,$F10,TRUE))</f>
        <v>#NAME?</v>
      </c>
      <c r="BG10" s="439" t="str">
        <f ca="1">IF(AND(NOT(BE10),AND(BE$4:BE9)),MIN(EXP((BF10-$J10)*$G10),1),"")</f>
        <v/>
      </c>
      <c r="BI10" s="440" t="b">
        <f t="shared" ca="1" si="3"/>
        <v>0</v>
      </c>
      <c r="BJ10" s="439" t="e">
        <f ca="1">IF(AND(NOT(ISBLANK(jumpoverwrite13)),AND(NOT(BI10),AND(BI$4:BI9))),($J10*$G10-LN(1+jumpoverwrite13*BK$2))/$G10,_xll.qlInterpolationInterpolate(BI$3,$F10,TRUE))</f>
        <v>#NAME?</v>
      </c>
      <c r="BK10" s="439" t="str">
        <f ca="1">IF(AND(NOT(BI10),AND(BI$4:BI9)),MIN(EXP((BJ10-$J10)*$G10),1),"")</f>
        <v/>
      </c>
    </row>
    <row r="11" spans="1:83" x14ac:dyDescent="0.2">
      <c r="A11" s="438" t="e">
        <f ca="1"/>
        <v>#NAME?</v>
      </c>
      <c r="B11" s="437" t="e">
        <f ca="1">_xll.qlRateHelperRate($A11,InterestRatesTrigger)</f>
        <v>#NAME?</v>
      </c>
      <c r="C11" s="436" t="e">
        <f ca="1">_xll.qlRateHelperEarliestDate($A11)</f>
        <v>#NAME?</v>
      </c>
      <c r="D11" s="435" t="e">
        <f ca="1">_xll.qlRateHelperPillarDate($A11)</f>
        <v>#NAME?</v>
      </c>
      <c r="F11" s="445" t="e">
        <f t="shared" ca="1" si="1"/>
        <v>#N/A</v>
      </c>
      <c r="G11" s="444" t="e">
        <f ca="1">_xll.qlDayCounterYearFraction(DayCounter,D10,D11)</f>
        <v>#NAME?</v>
      </c>
      <c r="I11" s="443" t="b">
        <f t="shared" ca="1" si="2"/>
        <v>0</v>
      </c>
      <c r="J11" s="442" t="e">
        <f ca="1"/>
        <v>#NAME?</v>
      </c>
      <c r="K11" s="441" t="e">
        <f t="shared" ca="1" si="0"/>
        <v>#NAME?</v>
      </c>
      <c r="L11" s="446"/>
      <c r="M11" s="440" t="b">
        <f ca="1">IF(AND(NOT(I11),AND(I$4:I10)),TRUE,I11)</f>
        <v>0</v>
      </c>
      <c r="N11" s="439" t="e">
        <f ca="1">IF(AND(NOT(ISBLANK(Jumpoverwrite1)),AND(NOT(M11),AND(M$4:M10))),($J11*$G11-LN(1+Jumpoverwrite1*O$2))/$G11,_xll.qlInterpolationInterpolate(M$3,$F11,TRUE))</f>
        <v>#NAME?</v>
      </c>
      <c r="O11" s="439" t="str">
        <f ca="1">IF(AND(NOT(M11),AND(M$4:M10)),MIN(EXP((N11-$J11)*$G11),1),"")</f>
        <v/>
      </c>
      <c r="P11" s="428"/>
      <c r="Q11" s="440" t="b">
        <f ca="1">IF(AND(NOT(M11),AND(M$4:M10)),TRUE,M11)</f>
        <v>0</v>
      </c>
      <c r="R11" s="439" t="e">
        <f ca="1">IF(AND(NOT(ISBLANK(Jumpoverwrite2)),AND(NOT(Q11),AND(Q$4:Q10))),($J11*$G11-LN(1+Jumpoverwrite2*S$2))/$G11,_xll.qlInterpolationInterpolate(Q$3,$F11,TRUE))</f>
        <v>#NAME?</v>
      </c>
      <c r="S11" s="439" t="str">
        <f ca="1">IF(AND(NOT(Q11),AND(Q$4:Q10)),MIN(EXP((R11-$J11)*$G11),1),"")</f>
        <v/>
      </c>
      <c r="T11" s="428"/>
      <c r="U11" s="440" t="b">
        <f ca="1">IF(AND(NOT(Q11),AND(Q$4:Q10)),TRUE,Q11)</f>
        <v>0</v>
      </c>
      <c r="V11" s="439" t="e">
        <f ca="1">IF(AND(NOT(ISBLANK(Jumpoverwrite3)),AND(NOT(U11),AND(U$4:U10))),($J11*$G11-LN(1+Jumpoverwrite3*W$2))/$G11,_xll.qlInterpolationInterpolate(U$3,$F11,TRUE))</f>
        <v>#NAME?</v>
      </c>
      <c r="W11" s="439" t="str">
        <f ca="1">IF(AND(NOT(U11),AND(U$4:U10)),MIN(EXP((V11-$J11)*$G11),1),"")</f>
        <v/>
      </c>
      <c r="X11" s="428"/>
      <c r="Y11" s="440" t="b">
        <f ca="1">IF(AND(NOT(U11),AND(U$4:U10)),TRUE,U11)</f>
        <v>0</v>
      </c>
      <c r="Z11" s="439" t="e">
        <f ca="1">IF(AND(NOT(ISBLANK(Jumpoverwrite4)),AND(NOT(Y11),AND(Y$4:Y10))),($J11*$G11-LN(1+Jumpoverwrite4*AA$2))/$G11,_xll.qlInterpolationInterpolate(Y$3,$F11,TRUE))</f>
        <v>#NAME?</v>
      </c>
      <c r="AA11" s="439" t="str">
        <f ca="1">IF(AND(NOT(Y11),AND(Y$4:Y10)),MIN(EXP((Z11-$J11)*$G11),1),"")</f>
        <v/>
      </c>
      <c r="AB11" s="428"/>
      <c r="AC11" s="440" t="b">
        <f ca="1">IF(AND(NOT(Y11),AND(Y$4:Y10)),TRUE,Y11)</f>
        <v>0</v>
      </c>
      <c r="AD11" s="439" t="e">
        <f ca="1">IF(AND(NOT(ISBLANK(Jumpoverwrite5)),AND(NOT(AC11),AND(AC$4:AC10))),($J11*$G11-LN(1+Jumpoverwrite5*AE$2))/$G11,_xll.qlInterpolationInterpolate(AC$3,$F11,TRUE))</f>
        <v>#NAME?</v>
      </c>
      <c r="AE11" s="439" t="str">
        <f ca="1">IF(AND(NOT(AC11),AND(AC$4:AC10)),MIN(EXP((AD11-$J11)*$G11),1),"")</f>
        <v/>
      </c>
      <c r="AF11" s="428"/>
      <c r="AG11" s="440" t="b">
        <f ca="1">IF(AND(NOT(AC11),AND(AC$4:AC10)),TRUE,AC11)</f>
        <v>0</v>
      </c>
      <c r="AH11" s="439" t="e">
        <f ca="1">IF(AND(NOT(ISBLANK(Jumpoverwrite6)),AND(NOT(AG11),AND(AG$4:AG10))),($J11*$G11-LN(1+Jumpoverwrite6*AI$2))/$G11,_xll.qlInterpolationInterpolate(AG$3,$F11,TRUE))</f>
        <v>#NAME?</v>
      </c>
      <c r="AI11" s="439" t="str">
        <f ca="1">IF(AND(NOT(AG11),AND(AG$4:AG10)),MIN(EXP((AH11-$J11)*$G11),1),"")</f>
        <v/>
      </c>
      <c r="AJ11" s="428"/>
      <c r="AK11" s="440" t="b">
        <f ca="1">IF(AND(NOT(AG11),AND(AG$4:AG10)),TRUE,AG11)</f>
        <v>0</v>
      </c>
      <c r="AL11" s="439" t="e">
        <f ca="1">IF(AND(NOT(ISBLANK(Jumpoverwrite7)),AND(NOT(AK11),AND(AK$4:AK10))),($J11*$G11-LN(1+Jumpoverwrite7*AM$2))/$G11,_xll.qlInterpolationInterpolate(AK$3,$F11,TRUE))</f>
        <v>#NAME?</v>
      </c>
      <c r="AM11" s="439" t="e">
        <f ca="1">IF(AND(NOT(AK11),AND(AK$4:AK10)),MIN(EXP((AL11-$J11)*$G11),1),"")</f>
        <v>#NAME?</v>
      </c>
      <c r="AO11" s="440" t="b">
        <f ca="1">IF(AND(NOT(AK11),AND(AK$4:AK10)),TRUE,AK11)</f>
        <v>1</v>
      </c>
      <c r="AP11" s="439" t="e">
        <f ca="1">IF(AND(NOT(ISBLANK(Jumpoverwrite8)),AND(NOT(AO11),AND(AO$4:AO10))),($J11*$G11-LN(1+Jumpoverwrite8*AQ$2))/$G11,_xll.qlInterpolationInterpolate(AO$3,$F11,TRUE))</f>
        <v>#NAME?</v>
      </c>
      <c r="AQ11" s="439" t="str">
        <f ca="1">IF(AND(NOT(AO11),AND(AO$4:AO10)),MIN(EXP((AP11-$J11)*$G11),1),"")</f>
        <v/>
      </c>
      <c r="AS11" s="440" t="b">
        <f ca="1">IF(AND(NOT(AO11),AND(AO$4:AO10)),TRUE,AO11)</f>
        <v>1</v>
      </c>
      <c r="AT11" s="439" t="e">
        <f ca="1">IF(AND(NOT(ISBLANK(Jumpoverwrite9)),AND(NOT(AS11),AND(AS$4:AS10))),($J11*$G11-LN(1+Jumpoverwrite9*AU$2))/$G11,_xll.qlInterpolationInterpolate(AS$3,$F11,TRUE))</f>
        <v>#NAME?</v>
      </c>
      <c r="AU11" s="439" t="str">
        <f ca="1">IF(AND(NOT(AS11),AND(AS$4:AS10)),MIN(EXP((AT11-$J11)*$G11),1),"")</f>
        <v/>
      </c>
      <c r="AW11" s="440" t="b">
        <f ca="1">IF(AND(NOT(AS11),AND(AS$4:AS10)),TRUE,AS11)</f>
        <v>1</v>
      </c>
      <c r="AX11" s="439" t="e">
        <f ca="1">IF(AND(NOT(ISBLANK(Jumpoverwrite10)),AND(NOT(AW11),AND(AW$4:AW10))),($J11*$G11-LN(1+Jumpoverwrite10*AY$2))/$G11,_xll.qlInterpolationInterpolate(AW$3,$F11,TRUE))</f>
        <v>#NAME?</v>
      </c>
      <c r="AY11" s="439" t="str">
        <f ca="1">IF(AND(NOT(AW11),AND(AW$4:AW10)),MIN(EXP((AX11-$J11)*$G11),1),"")</f>
        <v/>
      </c>
      <c r="BA11" s="440" t="b">
        <f ca="1">IF(AND(NOT(AW11),AND(AW$4:AW10)),TRUE,AW11)</f>
        <v>1</v>
      </c>
      <c r="BB11" s="439" t="e">
        <f ca="1">IF(AND(NOT(ISBLANK(Jumpoverwrite11)),AND(NOT(BA11),AND(BA$4:BA10))),($J11*$G11-LN(1+Jumpoverwrite11*BC$2))/$G11,_xll.qlInterpolationInterpolate(BA$3,$F11,TRUE))</f>
        <v>#NAME?</v>
      </c>
      <c r="BC11" s="439" t="str">
        <f ca="1">IF(AND(NOT(BA11),AND(BA$4:BA10)),MIN(EXP((BB11-$J11)*$G11),1),"")</f>
        <v/>
      </c>
      <c r="BE11" s="440" t="b">
        <f ca="1">IF(AND(NOT(BA11),AND(BA$4:BA10)),TRUE,BA11)</f>
        <v>1</v>
      </c>
      <c r="BF11" s="439" t="e">
        <f ca="1">IF(AND(NOT(ISBLANK(Jumpoverwrite12)),AND(NOT(BE11),AND(BE$4:BE10))),($J11*$G11-LN(1+Jumpoverwrite12*BG$2))/$G11,_xll.qlInterpolationInterpolate(BE$3,$F11,TRUE))</f>
        <v>#NAME?</v>
      </c>
      <c r="BG11" s="439" t="str">
        <f ca="1">IF(AND(NOT(BE11),AND(BE$4:BE10)),MIN(EXP((BF11-$J11)*$G11),1),"")</f>
        <v/>
      </c>
      <c r="BI11" s="440" t="b">
        <f t="shared" ca="1" si="3"/>
        <v>0</v>
      </c>
      <c r="BJ11" s="439" t="e">
        <f ca="1">IF(AND(NOT(ISBLANK(jumpoverwrite13)),AND(NOT(BI11),AND(BI$4:BI10))),($J11*$G11-LN(1+jumpoverwrite13*BK$2))/$G11,_xll.qlInterpolationInterpolate(BI$3,$F11,TRUE))</f>
        <v>#NAME?</v>
      </c>
      <c r="BK11" s="439" t="str">
        <f ca="1">IF(AND(NOT(BI11),AND(BI$4:BI10)),MIN(EXP((BJ11-$J11)*$G11),1),"")</f>
        <v/>
      </c>
    </row>
    <row r="12" spans="1:83" x14ac:dyDescent="0.2">
      <c r="A12" s="438" t="e">
        <f ca="1"/>
        <v>#NAME?</v>
      </c>
      <c r="B12" s="437" t="e">
        <f ca="1">_xll.qlRateHelperRate($A12,InterestRatesTrigger)</f>
        <v>#NAME?</v>
      </c>
      <c r="C12" s="436" t="e">
        <f ca="1">_xll.qlRateHelperEarliestDate($A12)</f>
        <v>#NAME?</v>
      </c>
      <c r="D12" s="435" t="e">
        <f ca="1">_xll.qlRateHelperPillarDate($A12)</f>
        <v>#NAME?</v>
      </c>
      <c r="F12" s="445" t="e">
        <f t="shared" ca="1" si="1"/>
        <v>#N/A</v>
      </c>
      <c r="G12" s="444" t="e">
        <f ca="1">_xll.qlDayCounterYearFraction(DayCounter,D11,D12)</f>
        <v>#NAME?</v>
      </c>
      <c r="I12" s="443" t="b">
        <f t="shared" ca="1" si="2"/>
        <v>0</v>
      </c>
      <c r="J12" s="442" t="e">
        <f ca="1"/>
        <v>#NAME?</v>
      </c>
      <c r="K12" s="441" t="e">
        <f t="shared" ca="1" si="0"/>
        <v>#NAME?</v>
      </c>
      <c r="L12" s="446"/>
      <c r="M12" s="440" t="b">
        <f ca="1">IF(AND(NOT(I12),AND(I$4:I11)),TRUE,I12)</f>
        <v>0</v>
      </c>
      <c r="N12" s="439" t="e">
        <f ca="1">IF(AND(NOT(ISBLANK(Jumpoverwrite1)),AND(NOT(M12),AND(M$4:M11))),($J12*$G12-LN(1+Jumpoverwrite1*O$2))/$G12,_xll.qlInterpolationInterpolate(M$3,$F12,TRUE))</f>
        <v>#NAME?</v>
      </c>
      <c r="O12" s="439" t="str">
        <f ca="1">IF(AND(NOT(M12),AND(M$4:M11)),MIN(EXP((N12-$J12)*$G12),1),"")</f>
        <v/>
      </c>
      <c r="P12" s="428"/>
      <c r="Q12" s="440" t="b">
        <f ca="1">IF(AND(NOT(M12),AND(M$4:M11)),TRUE,M12)</f>
        <v>0</v>
      </c>
      <c r="R12" s="439" t="e">
        <f ca="1">IF(AND(NOT(ISBLANK(Jumpoverwrite2)),AND(NOT(Q12),AND(Q$4:Q11))),($J12*$G12-LN(1+Jumpoverwrite2*S$2))/$G12,_xll.qlInterpolationInterpolate(Q$3,$F12,TRUE))</f>
        <v>#NAME?</v>
      </c>
      <c r="S12" s="439" t="str">
        <f ca="1">IF(AND(NOT(Q12),AND(Q$4:Q11)),MIN(EXP((R12-$J12)*$G12),1),"")</f>
        <v/>
      </c>
      <c r="T12" s="428"/>
      <c r="U12" s="440" t="b">
        <f ca="1">IF(AND(NOT(Q12),AND(Q$4:Q11)),TRUE,Q12)</f>
        <v>0</v>
      </c>
      <c r="V12" s="439" t="e">
        <f ca="1">IF(AND(NOT(ISBLANK(Jumpoverwrite3)),AND(NOT(U12),AND(U$4:U11))),($J12*$G12-LN(1+Jumpoverwrite3*W$2))/$G12,_xll.qlInterpolationInterpolate(U$3,$F12,TRUE))</f>
        <v>#NAME?</v>
      </c>
      <c r="W12" s="439" t="str">
        <f ca="1">IF(AND(NOT(U12),AND(U$4:U11)),MIN(EXP((V12-$J12)*$G12),1),"")</f>
        <v/>
      </c>
      <c r="X12" s="428"/>
      <c r="Y12" s="440" t="b">
        <f ca="1">IF(AND(NOT(U12),AND(U$4:U11)),TRUE,U12)</f>
        <v>0</v>
      </c>
      <c r="Z12" s="439" t="e">
        <f ca="1">IF(AND(NOT(ISBLANK(Jumpoverwrite4)),AND(NOT(Y12),AND(Y$4:Y11))),($J12*$G12-LN(1+Jumpoverwrite4*AA$2))/$G12,_xll.qlInterpolationInterpolate(Y$3,$F12,TRUE))</f>
        <v>#NAME?</v>
      </c>
      <c r="AA12" s="439" t="str">
        <f ca="1">IF(AND(NOT(Y12),AND(Y$4:Y11)),MIN(EXP((Z12-$J12)*$G12),1),"")</f>
        <v/>
      </c>
      <c r="AB12" s="428"/>
      <c r="AC12" s="440" t="b">
        <f ca="1">IF(AND(NOT(Y12),AND(Y$4:Y11)),TRUE,Y12)</f>
        <v>0</v>
      </c>
      <c r="AD12" s="439" t="e">
        <f ca="1">IF(AND(NOT(ISBLANK(Jumpoverwrite5)),AND(NOT(AC12),AND(AC$4:AC11))),($J12*$G12-LN(1+Jumpoverwrite5*AE$2))/$G12,_xll.qlInterpolationInterpolate(AC$3,$F12,TRUE))</f>
        <v>#NAME?</v>
      </c>
      <c r="AE12" s="439" t="str">
        <f ca="1">IF(AND(NOT(AC12),AND(AC$4:AC11)),MIN(EXP((AD12-$J12)*$G12),1),"")</f>
        <v/>
      </c>
      <c r="AF12" s="428"/>
      <c r="AG12" s="440" t="b">
        <f ca="1">IF(AND(NOT(AC12),AND(AC$4:AC11)),TRUE,AC12)</f>
        <v>0</v>
      </c>
      <c r="AH12" s="439" t="e">
        <f ca="1">IF(AND(NOT(ISBLANK(Jumpoverwrite6)),AND(NOT(AG12),AND(AG$4:AG11))),($J12*$G12-LN(1+Jumpoverwrite6*AI$2))/$G12,_xll.qlInterpolationInterpolate(AG$3,$F12,TRUE))</f>
        <v>#NAME?</v>
      </c>
      <c r="AI12" s="439" t="str">
        <f ca="1">IF(AND(NOT(AG12),AND(AG$4:AG11)),MIN(EXP((AH12-$J12)*$G12),1),"")</f>
        <v/>
      </c>
      <c r="AJ12" s="428"/>
      <c r="AK12" s="440" t="b">
        <f ca="1">IF(AND(NOT(AG12),AND(AG$4:AG11)),TRUE,AG12)</f>
        <v>0</v>
      </c>
      <c r="AL12" s="439" t="e">
        <f ca="1">IF(AND(NOT(ISBLANK(Jumpoverwrite7)),AND(NOT(AK12),AND(AK$4:AK11))),($J12*$G12-LN(1+Jumpoverwrite7*AM$2))/$G12,_xll.qlInterpolationInterpolate(AK$3,$F12,TRUE))</f>
        <v>#NAME?</v>
      </c>
      <c r="AM12" s="439" t="str">
        <f ca="1">IF(AND(NOT(AK12),AND(AK$4:AK11)),MIN(EXP((AL12-$J12)*$G12),1),"")</f>
        <v/>
      </c>
      <c r="AO12" s="440" t="b">
        <f ca="1">IF(AND(NOT(AK12),AND(AK$4:AK11)),TRUE,AK12)</f>
        <v>0</v>
      </c>
      <c r="AP12" s="439" t="e">
        <f ca="1">IF(AND(NOT(ISBLANK(Jumpoverwrite8)),AND(NOT(AO12),AND(AO$4:AO11))),($J12*$G12-LN(1+Jumpoverwrite8*AQ$2))/$G12,_xll.qlInterpolationInterpolate(AO$3,$F12,TRUE))</f>
        <v>#NAME?</v>
      </c>
      <c r="AQ12" s="439" t="e">
        <f ca="1">IF(AND(NOT(AO12),AND(AO$4:AO11)),MIN(EXP((AP12-$J12)*$G12),1),"")</f>
        <v>#NAME?</v>
      </c>
      <c r="AS12" s="440" t="b">
        <f ca="1">IF(AND(NOT(AO12),AND(AO$4:AO11)),TRUE,AO12)</f>
        <v>1</v>
      </c>
      <c r="AT12" s="439" t="e">
        <f ca="1">IF(AND(NOT(ISBLANK(Jumpoverwrite9)),AND(NOT(AS12),AND(AS$4:AS11))),($J12*$G12-LN(1+Jumpoverwrite9*AU$2))/$G12,_xll.qlInterpolationInterpolate(AS$3,$F12,TRUE))</f>
        <v>#NAME?</v>
      </c>
      <c r="AU12" s="439" t="str">
        <f ca="1">IF(AND(NOT(AS12),AND(AS$4:AS11)),MIN(EXP((AT12-$J12)*$G12),1),"")</f>
        <v/>
      </c>
      <c r="AW12" s="440" t="b">
        <f ca="1">IF(AND(NOT(AS12),AND(AS$4:AS11)),TRUE,AS12)</f>
        <v>1</v>
      </c>
      <c r="AX12" s="439" t="e">
        <f ca="1">IF(AND(NOT(ISBLANK(Jumpoverwrite10)),AND(NOT(AW12),AND(AW$4:AW11))),($J12*$G12-LN(1+Jumpoverwrite10*AY$2))/$G12,_xll.qlInterpolationInterpolate(AW$3,$F12,TRUE))</f>
        <v>#NAME?</v>
      </c>
      <c r="AY12" s="439" t="str">
        <f ca="1">IF(AND(NOT(AW12),AND(AW$4:AW11)),MIN(EXP((AX12-$J12)*$G12),1),"")</f>
        <v/>
      </c>
      <c r="BA12" s="440" t="b">
        <f ca="1">IF(AND(NOT(AW12),AND(AW$4:AW11)),TRUE,AW12)</f>
        <v>1</v>
      </c>
      <c r="BB12" s="439" t="e">
        <f ca="1">IF(AND(NOT(ISBLANK(Jumpoverwrite11)),AND(NOT(BA12),AND(BA$4:BA11))),($J12*$G12-LN(1+Jumpoverwrite11*BC$2))/$G12,_xll.qlInterpolationInterpolate(BA$3,$F12,TRUE))</f>
        <v>#NAME?</v>
      </c>
      <c r="BC12" s="439" t="str">
        <f ca="1">IF(AND(NOT(BA12),AND(BA$4:BA11)),MIN(EXP((BB12-$J12)*$G12),1),"")</f>
        <v/>
      </c>
      <c r="BE12" s="440" t="b">
        <f ca="1">IF(AND(NOT(BA12),AND(BA$4:BA11)),TRUE,BA12)</f>
        <v>1</v>
      </c>
      <c r="BF12" s="439" t="e">
        <f ca="1">IF(AND(NOT(ISBLANK(Jumpoverwrite12)),AND(NOT(BE12),AND(BE$4:BE11))),($J12*$G12-LN(1+Jumpoverwrite12*BG$2))/$G12,_xll.qlInterpolationInterpolate(BE$3,$F12,TRUE))</f>
        <v>#NAME?</v>
      </c>
      <c r="BG12" s="439" t="str">
        <f ca="1">IF(AND(NOT(BE12),AND(BE$4:BE11)),MIN(EXP((BF12-$J12)*$G12),1),"")</f>
        <v/>
      </c>
      <c r="BI12" s="440" t="b">
        <f t="shared" ca="1" si="3"/>
        <v>0</v>
      </c>
      <c r="BJ12" s="439" t="e">
        <f ca="1">IF(AND(NOT(ISBLANK(jumpoverwrite13)),AND(NOT(BI12),AND(BI$4:BI11))),($J12*$G12-LN(1+jumpoverwrite13*BK$2))/$G12,_xll.qlInterpolationInterpolate(BI$3,$F12,TRUE))</f>
        <v>#NAME?</v>
      </c>
      <c r="BK12" s="439" t="str">
        <f ca="1">IF(AND(NOT(BI12),AND(BI$4:BI11)),MIN(EXP((BJ12-$J12)*$G12),1),"")</f>
        <v/>
      </c>
    </row>
    <row r="13" spans="1:83" x14ac:dyDescent="0.2">
      <c r="A13" s="438" t="e">
        <f ca="1"/>
        <v>#NAME?</v>
      </c>
      <c r="B13" s="437" t="e">
        <f ca="1">_xll.qlRateHelperRate($A13,InterestRatesTrigger)</f>
        <v>#NAME?</v>
      </c>
      <c r="C13" s="436" t="e">
        <f ca="1">_xll.qlRateHelperEarliestDate($A13)</f>
        <v>#NAME?</v>
      </c>
      <c r="D13" s="435" t="e">
        <f ca="1">_xll.qlRateHelperPillarDate($A13)</f>
        <v>#NAME?</v>
      </c>
      <c r="F13" s="445" t="e">
        <f t="shared" ca="1" si="1"/>
        <v>#N/A</v>
      </c>
      <c r="G13" s="444" t="e">
        <f ca="1">_xll.qlDayCounterYearFraction(DayCounter,D12,D13)</f>
        <v>#NAME?</v>
      </c>
      <c r="I13" s="443" t="b">
        <f t="shared" ca="1" si="2"/>
        <v>0</v>
      </c>
      <c r="J13" s="442" t="e">
        <f ca="1"/>
        <v>#NAME?</v>
      </c>
      <c r="K13" s="441" t="e">
        <f t="shared" ca="1" si="0"/>
        <v>#NAME?</v>
      </c>
      <c r="L13" s="446"/>
      <c r="M13" s="440" t="b">
        <f ca="1">IF(AND(NOT(I13),AND(I$4:I12)),TRUE,I13)</f>
        <v>0</v>
      </c>
      <c r="N13" s="439" t="e">
        <f ca="1">IF(AND(NOT(ISBLANK(Jumpoverwrite1)),AND(NOT(M13),AND(M$4:M12))),($J13*$G13-LN(1+Jumpoverwrite1*O$2))/$G13,_xll.qlInterpolationInterpolate(M$3,$F13,TRUE))</f>
        <v>#NAME?</v>
      </c>
      <c r="O13" s="439" t="str">
        <f ca="1">IF(AND(NOT(M13),AND(M$4:M12)),MIN(EXP((N13-$J13)*$G13),1),"")</f>
        <v/>
      </c>
      <c r="P13" s="428"/>
      <c r="Q13" s="440" t="b">
        <f ca="1">IF(AND(NOT(M13),AND(M$4:M12)),TRUE,M13)</f>
        <v>0</v>
      </c>
      <c r="R13" s="439" t="e">
        <f ca="1">IF(AND(NOT(ISBLANK(Jumpoverwrite2)),AND(NOT(Q13),AND(Q$4:Q12))),($J13*$G13-LN(1+Jumpoverwrite2*S$2))/$G13,_xll.qlInterpolationInterpolate(Q$3,$F13,TRUE))</f>
        <v>#NAME?</v>
      </c>
      <c r="S13" s="439" t="str">
        <f ca="1">IF(AND(NOT(Q13),AND(Q$4:Q12)),MIN(EXP((R13-$J13)*$G13),1),"")</f>
        <v/>
      </c>
      <c r="T13" s="428"/>
      <c r="U13" s="440" t="b">
        <f ca="1">IF(AND(NOT(Q13),AND(Q$4:Q12)),TRUE,Q13)</f>
        <v>0</v>
      </c>
      <c r="V13" s="439" t="e">
        <f ca="1">IF(AND(NOT(ISBLANK(Jumpoverwrite3)),AND(NOT(U13),AND(U$4:U12))),($J13*$G13-LN(1+Jumpoverwrite3*W$2))/$G13,_xll.qlInterpolationInterpolate(U$3,$F13,TRUE))</f>
        <v>#NAME?</v>
      </c>
      <c r="W13" s="439" t="str">
        <f ca="1">IF(AND(NOT(U13),AND(U$4:U12)),MIN(EXP((V13-$J13)*$G13),1),"")</f>
        <v/>
      </c>
      <c r="X13" s="428"/>
      <c r="Y13" s="440" t="b">
        <f ca="1">IF(AND(NOT(U13),AND(U$4:U12)),TRUE,U13)</f>
        <v>0</v>
      </c>
      <c r="Z13" s="439" t="e">
        <f ca="1">IF(AND(NOT(ISBLANK(Jumpoverwrite4)),AND(NOT(Y13),AND(Y$4:Y12))),($J13*$G13-LN(1+Jumpoverwrite4*AA$2))/$G13,_xll.qlInterpolationInterpolate(Y$3,$F13,TRUE))</f>
        <v>#NAME?</v>
      </c>
      <c r="AA13" s="439" t="str">
        <f ca="1">IF(AND(NOT(Y13),AND(Y$4:Y12)),MIN(EXP((Z13-$J13)*$G13),1),"")</f>
        <v/>
      </c>
      <c r="AB13" s="428"/>
      <c r="AC13" s="440" t="b">
        <f ca="1">IF(AND(NOT(Y13),AND(Y$4:Y12)),TRUE,Y13)</f>
        <v>0</v>
      </c>
      <c r="AD13" s="439" t="e">
        <f ca="1">IF(AND(NOT(ISBLANK(Jumpoverwrite5)),AND(NOT(AC13),AND(AC$4:AC12))),($J13*$G13-LN(1+Jumpoverwrite5*AE$2))/$G13,_xll.qlInterpolationInterpolate(AC$3,$F13,TRUE))</f>
        <v>#NAME?</v>
      </c>
      <c r="AE13" s="439" t="str">
        <f ca="1">IF(AND(NOT(AC13),AND(AC$4:AC12)),MIN(EXP((AD13-$J13)*$G13),1),"")</f>
        <v/>
      </c>
      <c r="AF13" s="428"/>
      <c r="AG13" s="440" t="b">
        <f ca="1">IF(AND(NOT(AC13),AND(AC$4:AC12)),TRUE,AC13)</f>
        <v>0</v>
      </c>
      <c r="AH13" s="439" t="e">
        <f ca="1">IF(AND(NOT(ISBLANK(Jumpoverwrite6)),AND(NOT(AG13),AND(AG$4:AG12))),($J13*$G13-LN(1+Jumpoverwrite6*AI$2))/$G13,_xll.qlInterpolationInterpolate(AG$3,$F13,TRUE))</f>
        <v>#NAME?</v>
      </c>
      <c r="AI13" s="439" t="str">
        <f ca="1">IF(AND(NOT(AG13),AND(AG$4:AG12)),MIN(EXP((AH13-$J13)*$G13),1),"")</f>
        <v/>
      </c>
      <c r="AJ13" s="428"/>
      <c r="AK13" s="440" t="b">
        <f ca="1">IF(AND(NOT(AG13),AND(AG$4:AG12)),TRUE,AG13)</f>
        <v>0</v>
      </c>
      <c r="AL13" s="439" t="e">
        <f ca="1">IF(AND(NOT(ISBLANK(Jumpoverwrite7)),AND(NOT(AK13),AND(AK$4:AK12))),($J13*$G13-LN(1+Jumpoverwrite7*AM$2))/$G13,_xll.qlInterpolationInterpolate(AK$3,$F13,TRUE))</f>
        <v>#NAME?</v>
      </c>
      <c r="AM13" s="439" t="str">
        <f ca="1">IF(AND(NOT(AK13),AND(AK$4:AK12)),MIN(EXP((AL13-$J13)*$G13),1),"")</f>
        <v/>
      </c>
      <c r="AO13" s="440" t="b">
        <f ca="1">IF(AND(NOT(AK13),AND(AK$4:AK12)),TRUE,AK13)</f>
        <v>0</v>
      </c>
      <c r="AP13" s="439" t="e">
        <f ca="1">IF(AND(NOT(ISBLANK(Jumpoverwrite8)),AND(NOT(AO13),AND(AO$4:AO12))),($J13*$G13-LN(1+Jumpoverwrite8*AQ$2))/$G13,_xll.qlInterpolationInterpolate(AO$3,$F13,TRUE))</f>
        <v>#NAME?</v>
      </c>
      <c r="AQ13" s="439" t="str">
        <f ca="1">IF(AND(NOT(AO13),AND(AO$4:AO12)),MIN(EXP((AP13-$J13)*$G13),1),"")</f>
        <v/>
      </c>
      <c r="AS13" s="440" t="b">
        <f ca="1">IF(AND(NOT(AO13),AND(AO$4:AO12)),TRUE,AO13)</f>
        <v>0</v>
      </c>
      <c r="AT13" s="439" t="e">
        <f ca="1">IF(AND(NOT(ISBLANK(Jumpoverwrite9)),AND(NOT(AS13),AND(AS$4:AS12))),($J13*$G13-LN(1+Jumpoverwrite9*AU$2))/$G13,_xll.qlInterpolationInterpolate(AS$3,$F13,TRUE))</f>
        <v>#NAME?</v>
      </c>
      <c r="AU13" s="439" t="e">
        <f ca="1">IF(AND(NOT(AS13),AND(AS$4:AS12)),MIN(EXP((AT13-$J13)*$G13),1),"")</f>
        <v>#NAME?</v>
      </c>
      <c r="AW13" s="440" t="b">
        <f ca="1">IF(AND(NOT(AS13),AND(AS$4:AS12)),TRUE,AS13)</f>
        <v>1</v>
      </c>
      <c r="AX13" s="439" t="e">
        <f ca="1">IF(AND(NOT(ISBLANK(Jumpoverwrite10)),AND(NOT(AW13),AND(AW$4:AW12))),($J13*$G13-LN(1+Jumpoverwrite10*AY$2))/$G13,_xll.qlInterpolationInterpolate(AW$3,$F13,TRUE))</f>
        <v>#NAME?</v>
      </c>
      <c r="AY13" s="439" t="str">
        <f ca="1">IF(AND(NOT(AW13),AND(AW$4:AW12)),MIN(EXP((AX13-$J13)*$G13),1),"")</f>
        <v/>
      </c>
      <c r="BA13" s="440" t="b">
        <f ca="1">IF(AND(NOT(AW13),AND(AW$4:AW12)),TRUE,AW13)</f>
        <v>1</v>
      </c>
      <c r="BB13" s="439" t="e">
        <f ca="1">IF(AND(NOT(ISBLANK(Jumpoverwrite11)),AND(NOT(BA13),AND(BA$4:BA12))),($J13*$G13-LN(1+Jumpoverwrite11*BC$2))/$G13,_xll.qlInterpolationInterpolate(BA$3,$F13,TRUE))</f>
        <v>#NAME?</v>
      </c>
      <c r="BC13" s="439" t="str">
        <f ca="1">IF(AND(NOT(BA13),AND(BA$4:BA12)),MIN(EXP((BB13-$J13)*$G13),1),"")</f>
        <v/>
      </c>
      <c r="BE13" s="440" t="b">
        <f ca="1">IF(AND(NOT(BA13),AND(BA$4:BA12)),TRUE,BA13)</f>
        <v>1</v>
      </c>
      <c r="BF13" s="439" t="e">
        <f ca="1">IF(AND(NOT(ISBLANK(Jumpoverwrite12)),AND(NOT(BE13),AND(BE$4:BE12))),($J13*$G13-LN(1+Jumpoverwrite12*BG$2))/$G13,_xll.qlInterpolationInterpolate(BE$3,$F13,TRUE))</f>
        <v>#NAME?</v>
      </c>
      <c r="BG13" s="439" t="str">
        <f ca="1">IF(AND(NOT(BE13),AND(BE$4:BE12)),MIN(EXP((BF13-$J13)*$G13),1),"")</f>
        <v/>
      </c>
      <c r="BI13" s="440" t="b">
        <f t="shared" ca="1" si="3"/>
        <v>0</v>
      </c>
      <c r="BJ13" s="439" t="e">
        <f ca="1">IF(AND(NOT(ISBLANK(jumpoverwrite13)),AND(NOT(BI13),AND(BI$4:BI12))),($J13*$G13-LN(1+jumpoverwrite13*BK$2))/$G13,_xll.qlInterpolationInterpolate(BI$3,$F13,TRUE))</f>
        <v>#NAME?</v>
      </c>
      <c r="BK13" s="439" t="str">
        <f ca="1">IF(AND(NOT(BI13),AND(BI$4:BI12)),MIN(EXP((BJ13-$J13)*$G13),1),"")</f>
        <v/>
      </c>
    </row>
    <row r="14" spans="1:83" x14ac:dyDescent="0.2">
      <c r="A14" s="438" t="e">
        <f ca="1"/>
        <v>#NAME?</v>
      </c>
      <c r="B14" s="437" t="e">
        <f ca="1">_xll.qlRateHelperRate($A14,InterestRatesTrigger)</f>
        <v>#NAME?</v>
      </c>
      <c r="C14" s="436" t="e">
        <f ca="1">_xll.qlRateHelperEarliestDate($A14)</f>
        <v>#NAME?</v>
      </c>
      <c r="D14" s="435" t="e">
        <f ca="1">_xll.qlRateHelperPillarDate($A14)</f>
        <v>#NAME?</v>
      </c>
      <c r="F14" s="445" t="e">
        <f t="shared" ca="1" si="1"/>
        <v>#N/A</v>
      </c>
      <c r="G14" s="444" t="e">
        <f ca="1">_xll.qlDayCounterYearFraction(DayCounter,D13,D14)</f>
        <v>#NAME?</v>
      </c>
      <c r="I14" s="443" t="b">
        <f t="shared" ca="1" si="2"/>
        <v>0</v>
      </c>
      <c r="J14" s="442" t="e">
        <f ca="1"/>
        <v>#NAME?</v>
      </c>
      <c r="K14" s="441" t="e">
        <f t="shared" ca="1" si="0"/>
        <v>#NAME?</v>
      </c>
      <c r="L14" s="446"/>
      <c r="M14" s="440" t="b">
        <f ca="1">IF(AND(NOT(I14),AND(I$4:I13)),TRUE,I14)</f>
        <v>0</v>
      </c>
      <c r="N14" s="439" t="e">
        <f ca="1">IF(AND(NOT(ISBLANK(Jumpoverwrite1)),AND(NOT(M14),AND(M$4:M13))),($J14*$G14-LN(1+Jumpoverwrite1*O$2))/$G14,_xll.qlInterpolationInterpolate(M$3,$F14,TRUE))</f>
        <v>#NAME?</v>
      </c>
      <c r="O14" s="439" t="str">
        <f ca="1">IF(AND(NOT(M14),AND(M$4:M13)),MIN(EXP((N14-$J14)*$G14),1),"")</f>
        <v/>
      </c>
      <c r="P14" s="428"/>
      <c r="Q14" s="440" t="b">
        <f ca="1">IF(AND(NOT(M14),AND(M$4:M13)),TRUE,M14)</f>
        <v>0</v>
      </c>
      <c r="R14" s="439" t="e">
        <f ca="1">IF(AND(NOT(ISBLANK(Jumpoverwrite2)),AND(NOT(Q14),AND(Q$4:Q13))),($J14*$G14-LN(1+Jumpoverwrite2*S$2))/$G14,_xll.qlInterpolationInterpolate(Q$3,$F14,TRUE))</f>
        <v>#NAME?</v>
      </c>
      <c r="S14" s="439" t="str">
        <f ca="1">IF(AND(NOT(Q14),AND(Q$4:Q13)),MIN(EXP((R14-$J14)*$G14),1),"")</f>
        <v/>
      </c>
      <c r="T14" s="428"/>
      <c r="U14" s="440" t="b">
        <f ca="1">IF(AND(NOT(Q14),AND(Q$4:Q13)),TRUE,Q14)</f>
        <v>0</v>
      </c>
      <c r="V14" s="439" t="e">
        <f ca="1">IF(AND(NOT(ISBLANK(Jumpoverwrite3)),AND(NOT(U14),AND(U$4:U13))),($J14*$G14-LN(1+Jumpoverwrite3*W$2))/$G14,_xll.qlInterpolationInterpolate(U$3,$F14,TRUE))</f>
        <v>#NAME?</v>
      </c>
      <c r="W14" s="439" t="str">
        <f ca="1">IF(AND(NOT(U14),AND(U$4:U13)),MIN(EXP((V14-$J14)*$G14),1),"")</f>
        <v/>
      </c>
      <c r="X14" s="428"/>
      <c r="Y14" s="440" t="b">
        <f ca="1">IF(AND(NOT(U14),AND(U$4:U13)),TRUE,U14)</f>
        <v>0</v>
      </c>
      <c r="Z14" s="439" t="e">
        <f ca="1">IF(AND(NOT(ISBLANK(Jumpoverwrite4)),AND(NOT(Y14),AND(Y$4:Y13))),($J14*$G14-LN(1+Jumpoverwrite4*AA$2))/$G14,_xll.qlInterpolationInterpolate(Y$3,$F14,TRUE))</f>
        <v>#NAME?</v>
      </c>
      <c r="AA14" s="439" t="str">
        <f ca="1">IF(AND(NOT(Y14),AND(Y$4:Y13)),MIN(EXP((Z14-$J14)*$G14),1),"")</f>
        <v/>
      </c>
      <c r="AB14" s="428"/>
      <c r="AC14" s="440" t="b">
        <f ca="1">IF(AND(NOT(Y14),AND(Y$4:Y13)),TRUE,Y14)</f>
        <v>0</v>
      </c>
      <c r="AD14" s="439" t="e">
        <f ca="1">IF(AND(NOT(ISBLANK(Jumpoverwrite5)),AND(NOT(AC14),AND(AC$4:AC13))),($J14*$G14-LN(1+Jumpoverwrite5*AE$2))/$G14,_xll.qlInterpolationInterpolate(AC$3,$F14,TRUE))</f>
        <v>#NAME?</v>
      </c>
      <c r="AE14" s="439" t="str">
        <f ca="1">IF(AND(NOT(AC14),AND(AC$4:AC13)),MIN(EXP((AD14-$J14)*$G14),1),"")</f>
        <v/>
      </c>
      <c r="AF14" s="428"/>
      <c r="AG14" s="440" t="b">
        <f ca="1">IF(AND(NOT(AC14),AND(AC$4:AC13)),TRUE,AC14)</f>
        <v>0</v>
      </c>
      <c r="AH14" s="439" t="e">
        <f ca="1">IF(AND(NOT(ISBLANK(Jumpoverwrite6)),AND(NOT(AG14),AND(AG$4:AG13))),($J14*$G14-LN(1+Jumpoverwrite6*AI$2))/$G14,_xll.qlInterpolationInterpolate(AG$3,$F14,TRUE))</f>
        <v>#NAME?</v>
      </c>
      <c r="AI14" s="439" t="str">
        <f ca="1">IF(AND(NOT(AG14),AND(AG$4:AG13)),MIN(EXP((AH14-$J14)*$G14),1),"")</f>
        <v/>
      </c>
      <c r="AJ14" s="428"/>
      <c r="AK14" s="440" t="b">
        <f ca="1">IF(AND(NOT(AG14),AND(AG$4:AG13)),TRUE,AG14)</f>
        <v>0</v>
      </c>
      <c r="AL14" s="439" t="e">
        <f ca="1">IF(AND(NOT(ISBLANK(Jumpoverwrite7)),AND(NOT(AK14),AND(AK$4:AK13))),($J14*$G14-LN(1+Jumpoverwrite7*AM$2))/$G14,_xll.qlInterpolationInterpolate(AK$3,$F14,TRUE))</f>
        <v>#NAME?</v>
      </c>
      <c r="AM14" s="439" t="str">
        <f ca="1">IF(AND(NOT(AK14),AND(AK$4:AK13)),MIN(EXP((AL14-$J14)*$G14),1),"")</f>
        <v/>
      </c>
      <c r="AO14" s="440" t="b">
        <f ca="1">IF(AND(NOT(AK14),AND(AK$4:AK13)),TRUE,AK14)</f>
        <v>0</v>
      </c>
      <c r="AP14" s="439" t="e">
        <f ca="1">IF(AND(NOT(ISBLANK(Jumpoverwrite8)),AND(NOT(AO14),AND(AO$4:AO13))),($J14*$G14-LN(1+Jumpoverwrite8*AQ$2))/$G14,_xll.qlInterpolationInterpolate(AO$3,$F14,TRUE))</f>
        <v>#NAME?</v>
      </c>
      <c r="AQ14" s="439" t="str">
        <f ca="1">IF(AND(NOT(AO14),AND(AO$4:AO13)),MIN(EXP((AP14-$J14)*$G14),1),"")</f>
        <v/>
      </c>
      <c r="AS14" s="440" t="b">
        <f ca="1">IF(AND(NOT(AO14),AND(AO$4:AO13)),TRUE,AO14)</f>
        <v>0</v>
      </c>
      <c r="AT14" s="439" t="e">
        <f ca="1">IF(AND(NOT(ISBLANK(Jumpoverwrite9)),AND(NOT(AS14),AND(AS$4:AS13))),($J14*$G14-LN(1+Jumpoverwrite9*AU$2))/$G14,_xll.qlInterpolationInterpolate(AS$3,$F14,TRUE))</f>
        <v>#NAME?</v>
      </c>
      <c r="AU14" s="439" t="str">
        <f ca="1">IF(AND(NOT(AS14),AND(AS$4:AS13)),MIN(EXP((AT14-$J14)*$G14),1),"")</f>
        <v/>
      </c>
      <c r="AW14" s="440" t="b">
        <f ca="1">IF(AND(NOT(AS14),AND(AS$4:AS13)),TRUE,AS14)</f>
        <v>0</v>
      </c>
      <c r="AX14" s="439" t="e">
        <f ca="1">IF(AND(NOT(ISBLANK(Jumpoverwrite10)),AND(NOT(AW14),AND(AW$4:AW13))),($J14*$G14-LN(1+Jumpoverwrite10*AY$2))/$G14,_xll.qlInterpolationInterpolate(AW$3,$F14,TRUE))</f>
        <v>#NAME?</v>
      </c>
      <c r="AY14" s="439" t="e">
        <f ca="1">IF(AND(NOT(AW14),AND(AW$4:AW13)),MIN(EXP((AX14-$J14)*$G14),1),"")</f>
        <v>#NAME?</v>
      </c>
      <c r="BA14" s="440" t="b">
        <f ca="1">IF(AND(NOT(AW14),AND(AW$4:AW13)),TRUE,AW14)</f>
        <v>1</v>
      </c>
      <c r="BB14" s="439" t="e">
        <f ca="1">IF(AND(NOT(ISBLANK(Jumpoverwrite11)),AND(NOT(BA14),AND(BA$4:BA13))),($J14*$G14-LN(1+Jumpoverwrite11*BC$2))/$G14,_xll.qlInterpolationInterpolate(BA$3,$F14,TRUE))</f>
        <v>#NAME?</v>
      </c>
      <c r="BC14" s="439" t="str">
        <f ca="1">IF(AND(NOT(BA14),AND(BA$4:BA13)),MIN(EXP((BB14-$J14)*$G14),1),"")</f>
        <v/>
      </c>
      <c r="BE14" s="440" t="b">
        <f ca="1">IF(AND(NOT(BA14),AND(BA$4:BA13)),TRUE,BA14)</f>
        <v>1</v>
      </c>
      <c r="BF14" s="439" t="e">
        <f ca="1">IF(AND(NOT(ISBLANK(Jumpoverwrite12)),AND(NOT(BE14),AND(BE$4:BE13))),($J14*$G14-LN(1+Jumpoverwrite12*BG$2))/$G14,_xll.qlInterpolationInterpolate(BE$3,$F14,TRUE))</f>
        <v>#NAME?</v>
      </c>
      <c r="BG14" s="439" t="str">
        <f ca="1">IF(AND(NOT(BE14),AND(BE$4:BE13)),MIN(EXP((BF14-$J14)*$G14),1),"")</f>
        <v/>
      </c>
      <c r="BI14" s="440" t="b">
        <f t="shared" ca="1" si="3"/>
        <v>0</v>
      </c>
      <c r="BJ14" s="439" t="e">
        <f ca="1">IF(AND(NOT(ISBLANK(jumpoverwrite13)),AND(NOT(BI14),AND(BI$4:BI13))),($J14*$G14-LN(1+jumpoverwrite13*BK$2))/$G14,_xll.qlInterpolationInterpolate(BI$3,$F14,TRUE))</f>
        <v>#NAME?</v>
      </c>
      <c r="BK14" s="439" t="str">
        <f ca="1">IF(AND(NOT(BI14),AND(BI$4:BI13)),MIN(EXP((BJ14-$J14)*$G14),1),"")</f>
        <v/>
      </c>
    </row>
    <row r="15" spans="1:83" x14ac:dyDescent="0.2">
      <c r="A15" s="438" t="e">
        <f ca="1"/>
        <v>#NAME?</v>
      </c>
      <c r="B15" s="437" t="e">
        <f ca="1">_xll.qlRateHelperRate($A15,InterestRatesTrigger)</f>
        <v>#NAME?</v>
      </c>
      <c r="C15" s="436" t="e">
        <f ca="1">_xll.qlRateHelperEarliestDate($A15)</f>
        <v>#NAME?</v>
      </c>
      <c r="D15" s="435" t="e">
        <f ca="1">_xll.qlRateHelperPillarDate($A15)</f>
        <v>#NAME?</v>
      </c>
      <c r="F15" s="445" t="e">
        <f t="shared" ca="1" si="1"/>
        <v>#N/A</v>
      </c>
      <c r="G15" s="444" t="e">
        <f ca="1">_xll.qlDayCounterYearFraction(DayCounter,D14,D15)</f>
        <v>#NAME?</v>
      </c>
      <c r="I15" s="443" t="b">
        <f t="shared" ca="1" si="2"/>
        <v>0</v>
      </c>
      <c r="J15" s="442" t="e">
        <f ca="1"/>
        <v>#NAME?</v>
      </c>
      <c r="K15" s="441" t="e">
        <f t="shared" ca="1" si="0"/>
        <v>#NAME?</v>
      </c>
      <c r="L15" s="446"/>
      <c r="M15" s="440" t="b">
        <f ca="1">IF(AND(NOT(I15),AND(I$4:I14)),TRUE,I15)</f>
        <v>0</v>
      </c>
      <c r="N15" s="439" t="e">
        <f ca="1">IF(AND(NOT(ISBLANK(Jumpoverwrite1)),AND(NOT(M15),AND(M$4:M14))),($J15*$G15-LN(1+Jumpoverwrite1*O$2))/$G15,_xll.qlInterpolationInterpolate(M$3,$F15,TRUE))</f>
        <v>#NAME?</v>
      </c>
      <c r="O15" s="439" t="str">
        <f ca="1">IF(AND(NOT(M15),AND(M$4:M14)),MIN(EXP((N15-$J15)*$G15),1),"")</f>
        <v/>
      </c>
      <c r="P15" s="428"/>
      <c r="Q15" s="440" t="b">
        <f ca="1">IF(AND(NOT(M15),AND(M$4:M14)),TRUE,M15)</f>
        <v>0</v>
      </c>
      <c r="R15" s="439" t="e">
        <f ca="1">IF(AND(NOT(ISBLANK(Jumpoverwrite2)),AND(NOT(Q15),AND(Q$4:Q14))),($J15*$G15-LN(1+Jumpoverwrite2*S$2))/$G15,_xll.qlInterpolationInterpolate(Q$3,$F15,TRUE))</f>
        <v>#NAME?</v>
      </c>
      <c r="S15" s="439" t="str">
        <f ca="1">IF(AND(NOT(Q15),AND(Q$4:Q14)),MIN(EXP((R15-$J15)*$G15),1),"")</f>
        <v/>
      </c>
      <c r="T15" s="428"/>
      <c r="U15" s="440" t="b">
        <f ca="1">IF(AND(NOT(Q15),AND(Q$4:Q14)),TRUE,Q15)</f>
        <v>0</v>
      </c>
      <c r="V15" s="439" t="e">
        <f ca="1">IF(AND(NOT(ISBLANK(Jumpoverwrite3)),AND(NOT(U15),AND(U$4:U14))),($J15*$G15-LN(1+Jumpoverwrite3*W$2))/$G15,_xll.qlInterpolationInterpolate(U$3,$F15,TRUE))</f>
        <v>#NAME?</v>
      </c>
      <c r="W15" s="439" t="str">
        <f ca="1">IF(AND(NOT(U15),AND(U$4:U14)),MIN(EXP((V15-$J15)*$G15),1),"")</f>
        <v/>
      </c>
      <c r="X15" s="428"/>
      <c r="Y15" s="440" t="b">
        <f ca="1">IF(AND(NOT(U15),AND(U$4:U14)),TRUE,U15)</f>
        <v>0</v>
      </c>
      <c r="Z15" s="439" t="e">
        <f ca="1">IF(AND(NOT(ISBLANK(Jumpoverwrite4)),AND(NOT(Y15),AND(Y$4:Y14))),($J15*$G15-LN(1+Jumpoverwrite4*AA$2))/$G15,_xll.qlInterpolationInterpolate(Y$3,$F15,TRUE))</f>
        <v>#NAME?</v>
      </c>
      <c r="AA15" s="439" t="str">
        <f ca="1">IF(AND(NOT(Y15),AND(Y$4:Y14)),MIN(EXP((Z15-$J15)*$G15),1),"")</f>
        <v/>
      </c>
      <c r="AB15" s="428"/>
      <c r="AC15" s="440" t="b">
        <f ca="1">IF(AND(NOT(Y15),AND(Y$4:Y14)),TRUE,Y15)</f>
        <v>0</v>
      </c>
      <c r="AD15" s="439" t="e">
        <f ca="1">IF(AND(NOT(ISBLANK(Jumpoverwrite5)),AND(NOT(AC15),AND(AC$4:AC14))),($J15*$G15-LN(1+Jumpoverwrite5*AE$2))/$G15,_xll.qlInterpolationInterpolate(AC$3,$F15,TRUE))</f>
        <v>#NAME?</v>
      </c>
      <c r="AE15" s="439" t="str">
        <f ca="1">IF(AND(NOT(AC15),AND(AC$4:AC14)),MIN(EXP((AD15-$J15)*$G15),1),"")</f>
        <v/>
      </c>
      <c r="AF15" s="428"/>
      <c r="AG15" s="440" t="b">
        <f ca="1">IF(AND(NOT(AC15),AND(AC$4:AC14)),TRUE,AC15)</f>
        <v>0</v>
      </c>
      <c r="AH15" s="439" t="e">
        <f ca="1">IF(AND(NOT(ISBLANK(Jumpoverwrite6)),AND(NOT(AG15),AND(AG$4:AG14))),($J15*$G15-LN(1+Jumpoverwrite6*AI$2))/$G15,_xll.qlInterpolationInterpolate(AG$3,$F15,TRUE))</f>
        <v>#NAME?</v>
      </c>
      <c r="AI15" s="439" t="str">
        <f ca="1">IF(AND(NOT(AG15),AND(AG$4:AG14)),MIN(EXP((AH15-$J15)*$G15),1),"")</f>
        <v/>
      </c>
      <c r="AJ15" s="428"/>
      <c r="AK15" s="440" t="b">
        <f ca="1">IF(AND(NOT(AG15),AND(AG$4:AG14)),TRUE,AG15)</f>
        <v>0</v>
      </c>
      <c r="AL15" s="439" t="e">
        <f ca="1">IF(AND(NOT(ISBLANK(Jumpoverwrite7)),AND(NOT(AK15),AND(AK$4:AK14))),($J15*$G15-LN(1+Jumpoverwrite7*AM$2))/$G15,_xll.qlInterpolationInterpolate(AK$3,$F15,TRUE))</f>
        <v>#NAME?</v>
      </c>
      <c r="AM15" s="439" t="str">
        <f ca="1">IF(AND(NOT(AK15),AND(AK$4:AK14)),MIN(EXP((AL15-$J15)*$G15),1),"")</f>
        <v/>
      </c>
      <c r="AO15" s="440" t="b">
        <f ca="1">IF(AND(NOT(AK15),AND(AK$4:AK14)),TRUE,AK15)</f>
        <v>0</v>
      </c>
      <c r="AP15" s="439" t="e">
        <f ca="1">IF(AND(NOT(ISBLANK(Jumpoverwrite8)),AND(NOT(AO15),AND(AO$4:AO14))),($J15*$G15-LN(1+Jumpoverwrite8*AQ$2))/$G15,_xll.qlInterpolationInterpolate(AO$3,$F15,TRUE))</f>
        <v>#NAME?</v>
      </c>
      <c r="AQ15" s="439" t="str">
        <f ca="1">IF(AND(NOT(AO15),AND(AO$4:AO14)),MIN(EXP((AP15-$J15)*$G15),1),"")</f>
        <v/>
      </c>
      <c r="AS15" s="440" t="b">
        <f ca="1">IF(AND(NOT(AO15),AND(AO$4:AO14)),TRUE,AO15)</f>
        <v>0</v>
      </c>
      <c r="AT15" s="439" t="e">
        <f ca="1">IF(AND(NOT(ISBLANK(Jumpoverwrite9)),AND(NOT(AS15),AND(AS$4:AS14))),($J15*$G15-LN(1+Jumpoverwrite9*AU$2))/$G15,_xll.qlInterpolationInterpolate(AS$3,$F15,TRUE))</f>
        <v>#NAME?</v>
      </c>
      <c r="AU15" s="439" t="str">
        <f ca="1">IF(AND(NOT(AS15),AND(AS$4:AS14)),MIN(EXP((AT15-$J15)*$G15),1),"")</f>
        <v/>
      </c>
      <c r="AW15" s="440" t="b">
        <f ca="1">IF(AND(NOT(AS15),AND(AS$4:AS14)),TRUE,AS15)</f>
        <v>0</v>
      </c>
      <c r="AX15" s="439" t="e">
        <f ca="1">IF(AND(NOT(ISBLANK(Jumpoverwrite10)),AND(NOT(AW15),AND(AW$4:AW14))),($J15*$G15-LN(1+Jumpoverwrite10*AY$2))/$G15,_xll.qlInterpolationInterpolate(AW$3,$F15,TRUE))</f>
        <v>#NAME?</v>
      </c>
      <c r="AY15" s="439" t="str">
        <f ca="1">IF(AND(NOT(AW15),AND(AW$4:AW14)),MIN(EXP((AX15-$J15)*$G15),1),"")</f>
        <v/>
      </c>
      <c r="BA15" s="440" t="b">
        <f ca="1">IF(AND(NOT(AW15),AND(AW$4:AW14)),TRUE,AW15)</f>
        <v>0</v>
      </c>
      <c r="BB15" s="439" t="e">
        <f ca="1">IF(AND(NOT(ISBLANK(Jumpoverwrite11)),AND(NOT(BA15),AND(BA$4:BA14))),($J15*$G15-LN(1+Jumpoverwrite11*BC$2))/$G15,_xll.qlInterpolationInterpolate(BA$3,$F15,TRUE))</f>
        <v>#NAME?</v>
      </c>
      <c r="BC15" s="439" t="e">
        <f ca="1">IF(AND(NOT(BA15),AND(BA$4:BA14)),MIN(EXP((BB15-$J15)*$G15),1),"")</f>
        <v>#NAME?</v>
      </c>
      <c r="BE15" s="440" t="b">
        <f ca="1">IF(AND(NOT(BA15),AND(BA$4:BA14)),TRUE,BA15)</f>
        <v>1</v>
      </c>
      <c r="BF15" s="439" t="e">
        <f ca="1">IF(AND(NOT(ISBLANK(Jumpoverwrite12)),AND(NOT(BE15),AND(BE$4:BE14))),($J15*$G15-LN(1+Jumpoverwrite12*BG$2))/$G15,_xll.qlInterpolationInterpolate(BE$3,$F15,TRUE))</f>
        <v>#NAME?</v>
      </c>
      <c r="BG15" s="439" t="str">
        <f ca="1">IF(AND(NOT(BE15),AND(BE$4:BE14)),MIN(EXP((BF15-$J15)*$G15),1),"")</f>
        <v/>
      </c>
      <c r="BI15" s="440" t="b">
        <f t="shared" ca="1" si="3"/>
        <v>0</v>
      </c>
      <c r="BJ15" s="439" t="e">
        <f ca="1">IF(AND(NOT(ISBLANK(jumpoverwrite13)),AND(NOT(BI15),AND(BI$4:BI14))),($J15*$G15-LN(1+jumpoverwrite13*BK$2))/$G15,_xll.qlInterpolationInterpolate(BI$3,$F15,TRUE))</f>
        <v>#NAME?</v>
      </c>
      <c r="BK15" s="439" t="str">
        <f ca="1">IF(AND(NOT(BI15),AND(BI$4:BI14)),MIN(EXP((BJ15-$J15)*$G15),1),"")</f>
        <v/>
      </c>
    </row>
    <row r="16" spans="1:83" x14ac:dyDescent="0.2">
      <c r="A16" s="438" t="e">
        <f ca="1"/>
        <v>#NAME?</v>
      </c>
      <c r="B16" s="437" t="e">
        <f ca="1">_xll.qlRateHelperRate($A16,InterestRatesTrigger)</f>
        <v>#NAME?</v>
      </c>
      <c r="C16" s="436" t="e">
        <f ca="1">_xll.qlRateHelperEarliestDate($A16)</f>
        <v>#NAME?</v>
      </c>
      <c r="D16" s="435" t="e">
        <f ca="1">_xll.qlRateHelperPillarDate($A16)</f>
        <v>#NAME?</v>
      </c>
      <c r="F16" s="445" t="e">
        <f t="shared" ca="1" si="1"/>
        <v>#N/A</v>
      </c>
      <c r="G16" s="444" t="e">
        <f ca="1">_xll.qlDayCounterYearFraction(DayCounter,D15,D16)</f>
        <v>#NAME?</v>
      </c>
      <c r="I16" s="443" t="b">
        <f t="shared" ca="1" si="2"/>
        <v>0</v>
      </c>
      <c r="J16" s="442" t="e">
        <f ca="1"/>
        <v>#NAME?</v>
      </c>
      <c r="K16" s="441" t="e">
        <f t="shared" ca="1" si="0"/>
        <v>#NAME?</v>
      </c>
      <c r="L16" s="446"/>
      <c r="M16" s="440" t="b">
        <f ca="1">IF(AND(NOT(I16),AND(I$4:I15)),TRUE,I16)</f>
        <v>0</v>
      </c>
      <c r="N16" s="439" t="e">
        <f ca="1">IF(AND(NOT(ISBLANK(Jumpoverwrite1)),AND(NOT(M16),AND(M$4:M15))),($J16*$G16-LN(1+Jumpoverwrite1*O$2))/$G16,_xll.qlInterpolationInterpolate(M$3,$F16,TRUE))</f>
        <v>#NAME?</v>
      </c>
      <c r="O16" s="439" t="str">
        <f ca="1">IF(AND(NOT(M16),AND(M$4:M15)),MIN(EXP((N16-$J16)*$G16),1),"")</f>
        <v/>
      </c>
      <c r="P16" s="428"/>
      <c r="Q16" s="440" t="b">
        <f ca="1">IF(AND(NOT(M16),AND(M$4:M15)),TRUE,M16)</f>
        <v>0</v>
      </c>
      <c r="R16" s="439" t="e">
        <f ca="1">IF(AND(NOT(ISBLANK(Jumpoverwrite2)),AND(NOT(Q16),AND(Q$4:Q15))),($J16*$G16-LN(1+Jumpoverwrite2*S$2))/$G16,_xll.qlInterpolationInterpolate(Q$3,$F16,TRUE))</f>
        <v>#NAME?</v>
      </c>
      <c r="S16" s="439" t="str">
        <f ca="1">IF(AND(NOT(Q16),AND(Q$4:Q15)),MIN(EXP((R16-$J16)*$G16),1),"")</f>
        <v/>
      </c>
      <c r="T16" s="428"/>
      <c r="U16" s="440" t="b">
        <f ca="1">IF(AND(NOT(Q16),AND(Q$4:Q15)),TRUE,Q16)</f>
        <v>0</v>
      </c>
      <c r="V16" s="439" t="e">
        <f ca="1">IF(AND(NOT(ISBLANK(Jumpoverwrite3)),AND(NOT(U16),AND(U$4:U15))),($J16*$G16-LN(1+Jumpoverwrite3*W$2))/$G16,_xll.qlInterpolationInterpolate(U$3,$F16,TRUE))</f>
        <v>#NAME?</v>
      </c>
      <c r="W16" s="439" t="str">
        <f ca="1">IF(AND(NOT(U16),AND(U$4:U15)),MIN(EXP((V16-$J16)*$G16),1),"")</f>
        <v/>
      </c>
      <c r="X16" s="428"/>
      <c r="Y16" s="440" t="b">
        <f ca="1">IF(AND(NOT(U16),AND(U$4:U15)),TRUE,U16)</f>
        <v>0</v>
      </c>
      <c r="Z16" s="439" t="e">
        <f ca="1">IF(AND(NOT(ISBLANK(Jumpoverwrite4)),AND(NOT(Y16),AND(Y$4:Y15))),($J16*$G16-LN(1+Jumpoverwrite4*AA$2))/$G16,_xll.qlInterpolationInterpolate(Y$3,$F16,TRUE))</f>
        <v>#NAME?</v>
      </c>
      <c r="AA16" s="439" t="str">
        <f ca="1">IF(AND(NOT(Y16),AND(Y$4:Y15)),MIN(EXP((Z16-$J16)*$G16),1),"")</f>
        <v/>
      </c>
      <c r="AB16" s="428"/>
      <c r="AC16" s="440" t="b">
        <f ca="1">IF(AND(NOT(Y16),AND(Y$4:Y15)),TRUE,Y16)</f>
        <v>0</v>
      </c>
      <c r="AD16" s="439" t="e">
        <f ca="1">IF(AND(NOT(ISBLANK(Jumpoverwrite5)),AND(NOT(AC16),AND(AC$4:AC15))),($J16*$G16-LN(1+Jumpoverwrite5*AE$2))/$G16,_xll.qlInterpolationInterpolate(AC$3,$F16,TRUE))</f>
        <v>#NAME?</v>
      </c>
      <c r="AE16" s="439" t="str">
        <f ca="1">IF(AND(NOT(AC16),AND(AC$4:AC15)),MIN(EXP((AD16-$J16)*$G16),1),"")</f>
        <v/>
      </c>
      <c r="AF16" s="428"/>
      <c r="AG16" s="440" t="b">
        <f ca="1">IF(AND(NOT(AC16),AND(AC$4:AC15)),TRUE,AC16)</f>
        <v>0</v>
      </c>
      <c r="AH16" s="439" t="e">
        <f ca="1">IF(AND(NOT(ISBLANK(Jumpoverwrite6)),AND(NOT(AG16),AND(AG$4:AG15))),($J16*$G16-LN(1+Jumpoverwrite6*AI$2))/$G16,_xll.qlInterpolationInterpolate(AG$3,$F16,TRUE))</f>
        <v>#NAME?</v>
      </c>
      <c r="AI16" s="439" t="str">
        <f ca="1">IF(AND(NOT(AG16),AND(AG$4:AG15)),MIN(EXP((AH16-$J16)*$G16),1),"")</f>
        <v/>
      </c>
      <c r="AJ16" s="428"/>
      <c r="AK16" s="440" t="b">
        <f ca="1">IF(AND(NOT(AG16),AND(AG$4:AG15)),TRUE,AG16)</f>
        <v>0</v>
      </c>
      <c r="AL16" s="439" t="e">
        <f ca="1">IF(AND(NOT(ISBLANK(Jumpoverwrite7)),AND(NOT(AK16),AND(AK$4:AK15))),($J16*$G16-LN(1+Jumpoverwrite7*AM$2))/$G16,_xll.qlInterpolationInterpolate(AK$3,$F16,TRUE))</f>
        <v>#NAME?</v>
      </c>
      <c r="AM16" s="439" t="str">
        <f ca="1">IF(AND(NOT(AK16),AND(AK$4:AK15)),MIN(EXP((AL16-$J16)*$G16),1),"")</f>
        <v/>
      </c>
      <c r="AO16" s="440" t="b">
        <f ca="1">IF(AND(NOT(AK16),AND(AK$4:AK15)),TRUE,AK16)</f>
        <v>0</v>
      </c>
      <c r="AP16" s="439" t="e">
        <f ca="1">IF(AND(NOT(ISBLANK(Jumpoverwrite8)),AND(NOT(AO16),AND(AO$4:AO15))),($J16*$G16-LN(1+Jumpoverwrite8*AQ$2))/$G16,_xll.qlInterpolationInterpolate(AO$3,$F16,TRUE))</f>
        <v>#NAME?</v>
      </c>
      <c r="AQ16" s="439" t="str">
        <f ca="1">IF(AND(NOT(AO16),AND(AO$4:AO15)),MIN(EXP((AP16-$J16)*$G16),1),"")</f>
        <v/>
      </c>
      <c r="AS16" s="440" t="b">
        <f ca="1">IF(AND(NOT(AO16),AND(AO$4:AO15)),TRUE,AO16)</f>
        <v>0</v>
      </c>
      <c r="AT16" s="439" t="e">
        <f ca="1">IF(AND(NOT(ISBLANK(Jumpoverwrite9)),AND(NOT(AS16),AND(AS$4:AS15))),($J16*$G16-LN(1+Jumpoverwrite9*AU$2))/$G16,_xll.qlInterpolationInterpolate(AS$3,$F16,TRUE))</f>
        <v>#NAME?</v>
      </c>
      <c r="AU16" s="439" t="str">
        <f ca="1">IF(AND(NOT(AS16),AND(AS$4:AS15)),MIN(EXP((AT16-$J16)*$G16),1),"")</f>
        <v/>
      </c>
      <c r="AW16" s="440" t="b">
        <f ca="1">IF(AND(NOT(AS16),AND(AS$4:AS15)),TRUE,AS16)</f>
        <v>0</v>
      </c>
      <c r="AX16" s="439" t="e">
        <f ca="1">IF(AND(NOT(ISBLANK(Jumpoverwrite10)),AND(NOT(AW16),AND(AW$4:AW15))),($J16*$G16-LN(1+Jumpoverwrite10*AY$2))/$G16,_xll.qlInterpolationInterpolate(AW$3,$F16,TRUE))</f>
        <v>#NAME?</v>
      </c>
      <c r="AY16" s="439" t="str">
        <f ca="1">IF(AND(NOT(AW16),AND(AW$4:AW15)),MIN(EXP((AX16-$J16)*$G16),1),"")</f>
        <v/>
      </c>
      <c r="BA16" s="440" t="b">
        <f ca="1">IF(AND(NOT(AW16),AND(AW$4:AW15)),TRUE,AW16)</f>
        <v>0</v>
      </c>
      <c r="BB16" s="439" t="e">
        <f ca="1">IF(AND(NOT(ISBLANK(Jumpoverwrite11)),AND(NOT(BA16),AND(BA$4:BA15))),($J16*$G16-LN(1+Jumpoverwrite11*BC$2))/$G16,_xll.qlInterpolationInterpolate(BA$3,$F16,TRUE))</f>
        <v>#NAME?</v>
      </c>
      <c r="BC16" s="439" t="str">
        <f ca="1">IF(AND(NOT(BA16),AND(BA$4:BA15)),MIN(EXP((BB16-$J16)*$G16),1),"")</f>
        <v/>
      </c>
      <c r="BE16" s="440" t="b">
        <f ca="1">IF(AND(NOT(BA16),AND(BA$4:BA15)),TRUE,BA16)</f>
        <v>0</v>
      </c>
      <c r="BF16" s="439" t="e">
        <f ca="1">IF(AND(NOT(ISBLANK(Jumpoverwrite12)),AND(NOT(BE16),AND(BE$4:BE15))),($J16*$G16-LN(1+Jumpoverwrite12*BG$2))/$G16,_xll.qlInterpolationInterpolate(BE$3,$F16,TRUE))</f>
        <v>#NAME?</v>
      </c>
      <c r="BG16" s="439" t="e">
        <f ca="1">IF(AND(NOT(BE16),AND(BE$4:BE15)),MIN(EXP((BF16-$J16)*$G16),1),"")</f>
        <v>#NAME?</v>
      </c>
      <c r="BI16" s="440" t="b">
        <f t="shared" ca="1" si="3"/>
        <v>0</v>
      </c>
      <c r="BJ16" s="439" t="e">
        <f ca="1">IF(AND(NOT(ISBLANK(jumpoverwrite13)),AND(NOT(BI16),AND(BI$4:BI15))),($J16*$G16-LN(1+jumpoverwrite13*BK$2))/$G16,_xll.qlInterpolationInterpolate(BI$3,$F16,TRUE))</f>
        <v>#NAME?</v>
      </c>
      <c r="BK16" s="439" t="str">
        <f ca="1">IF(AND(NOT(BI16),AND(BI$4:BI15)),MIN(EXP((BJ16-$J16)*$G16),1),"")</f>
        <v/>
      </c>
    </row>
    <row r="17" spans="1:63" x14ac:dyDescent="0.2">
      <c r="A17" s="438" t="e">
        <f ca="1"/>
        <v>#NAME?</v>
      </c>
      <c r="B17" s="437" t="e">
        <f ca="1">_xll.qlRateHelperRate($A17,InterestRatesTrigger)</f>
        <v>#NAME?</v>
      </c>
      <c r="C17" s="436" t="e">
        <f ca="1">_xll.qlRateHelperEarliestDate($A17)</f>
        <v>#NAME?</v>
      </c>
      <c r="D17" s="435" t="e">
        <f ca="1">_xll.qlRateHelperPillarDate($A17)</f>
        <v>#NAME?</v>
      </c>
      <c r="F17" s="445" t="e">
        <f t="shared" ca="1" si="1"/>
        <v>#N/A</v>
      </c>
      <c r="G17" s="444" t="e">
        <f ca="1">_xll.qlDayCounterYearFraction(DayCounter,D16,D17)</f>
        <v>#NAME?</v>
      </c>
      <c r="I17" s="443" t="b">
        <f t="shared" ca="1" si="2"/>
        <v>0</v>
      </c>
      <c r="J17" s="442" t="e">
        <f ca="1"/>
        <v>#NAME?</v>
      </c>
      <c r="K17" s="441" t="e">
        <f t="shared" ca="1" si="0"/>
        <v>#NAME?</v>
      </c>
      <c r="L17" s="446"/>
      <c r="M17" s="440" t="b">
        <f ca="1">IF(AND(NOT(I17),AND(I$4:I16)),TRUE,I17)</f>
        <v>0</v>
      </c>
      <c r="N17" s="439" t="e">
        <f ca="1">IF(AND(NOT(ISBLANK(Jumpoverwrite1)),AND(NOT(M17),AND(M$4:M16))),($J17*$G17-LN(1+Jumpoverwrite1*O$2))/$G17,_xll.qlInterpolationInterpolate(M$3,$F17,TRUE))</f>
        <v>#NAME?</v>
      </c>
      <c r="O17" s="439" t="str">
        <f ca="1">IF(AND(NOT(M17),AND(M$4:M16)),MIN(EXP((N17-$J17)*$G17),1),"")</f>
        <v/>
      </c>
      <c r="P17" s="428"/>
      <c r="Q17" s="440" t="b">
        <f ca="1">IF(AND(NOT(M17),AND(M$4:M16)),TRUE,M17)</f>
        <v>0</v>
      </c>
      <c r="R17" s="439" t="e">
        <f ca="1">IF(AND(NOT(ISBLANK(Jumpoverwrite2)),AND(NOT(Q17),AND(Q$4:Q16))),($J17*$G17-LN(1+Jumpoverwrite2*S$2))/$G17,_xll.qlInterpolationInterpolate(Q$3,$F17,TRUE))</f>
        <v>#NAME?</v>
      </c>
      <c r="S17" s="439" t="str">
        <f ca="1">IF(AND(NOT(Q17),AND(Q$4:Q16)),MIN(EXP((R17-$J17)*$G17),1),"")</f>
        <v/>
      </c>
      <c r="T17" s="428"/>
      <c r="U17" s="440" t="b">
        <f ca="1">IF(AND(NOT(Q17),AND(Q$4:Q16)),TRUE,Q17)</f>
        <v>0</v>
      </c>
      <c r="V17" s="439" t="e">
        <f ca="1">IF(AND(NOT(ISBLANK(Jumpoverwrite3)),AND(NOT(U17),AND(U$4:U16))),($J17*$G17-LN(1+Jumpoverwrite3*W$2))/$G17,_xll.qlInterpolationInterpolate(U$3,$F17,TRUE))</f>
        <v>#NAME?</v>
      </c>
      <c r="W17" s="439" t="str">
        <f ca="1">IF(AND(NOT(U17),AND(U$4:U16)),MIN(EXP((V17-$J17)*$G17),1),"")</f>
        <v/>
      </c>
      <c r="X17" s="428"/>
      <c r="Y17" s="440" t="b">
        <f ca="1">IF(AND(NOT(U17),AND(U$4:U16)),TRUE,U17)</f>
        <v>0</v>
      </c>
      <c r="Z17" s="439" t="e">
        <f ca="1">IF(AND(NOT(ISBLANK(Jumpoverwrite4)),AND(NOT(Y17),AND(Y$4:Y16))),($J17*$G17-LN(1+Jumpoverwrite4*AA$2))/$G17,_xll.qlInterpolationInterpolate(Y$3,$F17,TRUE))</f>
        <v>#NAME?</v>
      </c>
      <c r="AA17" s="439" t="str">
        <f ca="1">IF(AND(NOT(Y17),AND(Y$4:Y16)),MIN(EXP((Z17-$J17)*$G17),1),"")</f>
        <v/>
      </c>
      <c r="AB17" s="428"/>
      <c r="AC17" s="440" t="b">
        <f ca="1">IF(AND(NOT(Y17),AND(Y$4:Y16)),TRUE,Y17)</f>
        <v>0</v>
      </c>
      <c r="AD17" s="439" t="e">
        <f ca="1">IF(AND(NOT(ISBLANK(Jumpoverwrite5)),AND(NOT(AC17),AND(AC$4:AC16))),($J17*$G17-LN(1+Jumpoverwrite5*AE$2))/$G17,_xll.qlInterpolationInterpolate(AC$3,$F17,TRUE))</f>
        <v>#NAME?</v>
      </c>
      <c r="AE17" s="439" t="str">
        <f ca="1">IF(AND(NOT(AC17),AND(AC$4:AC16)),MIN(EXP((AD17-$J17)*$G17),1),"")</f>
        <v/>
      </c>
      <c r="AF17" s="428"/>
      <c r="AG17" s="440" t="b">
        <f ca="1">IF(AND(NOT(AC17),AND(AC$4:AC16)),TRUE,AC17)</f>
        <v>0</v>
      </c>
      <c r="AH17" s="439" t="e">
        <f ca="1">IF(AND(NOT(ISBLANK(Jumpoverwrite6)),AND(NOT(AG17),AND(AG$4:AG16))),($J17*$G17-LN(1+Jumpoverwrite6*AI$2))/$G17,_xll.qlInterpolationInterpolate(AG$3,$F17,TRUE))</f>
        <v>#NAME?</v>
      </c>
      <c r="AI17" s="439" t="str">
        <f ca="1">IF(AND(NOT(AG17),AND(AG$4:AG16)),MIN(EXP((AH17-$J17)*$G17),1),"")</f>
        <v/>
      </c>
      <c r="AJ17" s="428"/>
      <c r="AK17" s="440" t="b">
        <f ca="1">IF(AND(NOT(AG17),AND(AG$4:AG16)),TRUE,AG17)</f>
        <v>0</v>
      </c>
      <c r="AL17" s="439" t="e">
        <f ca="1">IF(AND(NOT(ISBLANK(Jumpoverwrite7)),AND(NOT(AK17),AND(AK$4:AK16))),($J17*$G17-LN(1+Jumpoverwrite7*AM$2))/$G17,_xll.qlInterpolationInterpolate(AK$3,$F17,TRUE))</f>
        <v>#NAME?</v>
      </c>
      <c r="AM17" s="439" t="str">
        <f ca="1">IF(AND(NOT(AK17),AND(AK$4:AK16)),MIN(EXP((AL17-$J17)*$G17),1),"")</f>
        <v/>
      </c>
      <c r="AO17" s="440" t="b">
        <f ca="1">IF(AND(NOT(AK17),AND(AK$4:AK16)),TRUE,AK17)</f>
        <v>0</v>
      </c>
      <c r="AP17" s="439" t="e">
        <f ca="1">IF(AND(NOT(ISBLANK(Jumpoverwrite8)),AND(NOT(AO17),AND(AO$4:AO16))),($J17*$G17-LN(1+Jumpoverwrite8*AQ$2))/$G17,_xll.qlInterpolationInterpolate(AO$3,$F17,TRUE))</f>
        <v>#NAME?</v>
      </c>
      <c r="AQ17" s="439" t="str">
        <f ca="1">IF(AND(NOT(AO17),AND(AO$4:AO16)),MIN(EXP((AP17-$J17)*$G17),1),"")</f>
        <v/>
      </c>
      <c r="AS17" s="440" t="b">
        <f ca="1">IF(AND(NOT(AO17),AND(AO$4:AO16)),TRUE,AO17)</f>
        <v>0</v>
      </c>
      <c r="AT17" s="439" t="e">
        <f ca="1">IF(AND(NOT(ISBLANK(Jumpoverwrite9)),AND(NOT(AS17),AND(AS$4:AS16))),($J17*$G17-LN(1+Jumpoverwrite9*AU$2))/$G17,_xll.qlInterpolationInterpolate(AS$3,$F17,TRUE))</f>
        <v>#NAME?</v>
      </c>
      <c r="AU17" s="439" t="str">
        <f ca="1">IF(AND(NOT(AS17),AND(AS$4:AS16)),MIN(EXP((AT17-$J17)*$G17),1),"")</f>
        <v/>
      </c>
      <c r="AW17" s="440" t="b">
        <f ca="1">IF(AND(NOT(AS17),AND(AS$4:AS16)),TRUE,AS17)</f>
        <v>0</v>
      </c>
      <c r="AX17" s="439" t="e">
        <f ca="1">IF(AND(NOT(ISBLANK(Jumpoverwrite10)),AND(NOT(AW17),AND(AW$4:AW16))),($J17*$G17-LN(1+Jumpoverwrite10*AY$2))/$G17,_xll.qlInterpolationInterpolate(AW$3,$F17,TRUE))</f>
        <v>#NAME?</v>
      </c>
      <c r="AY17" s="439" t="str">
        <f ca="1">IF(AND(NOT(AW17),AND(AW$4:AW16)),MIN(EXP((AX17-$J17)*$G17),1),"")</f>
        <v/>
      </c>
      <c r="BA17" s="440" t="b">
        <f ca="1">IF(AND(NOT(AW17),AND(AW$4:AW16)),TRUE,AW17)</f>
        <v>0</v>
      </c>
      <c r="BB17" s="439" t="e">
        <f ca="1">IF(AND(NOT(ISBLANK(Jumpoverwrite11)),AND(NOT(BA17),AND(BA$4:BA16))),($J17*$G17-LN(1+Jumpoverwrite11*BC$2))/$G17,_xll.qlInterpolationInterpolate(BA$3,$F17,TRUE))</f>
        <v>#NAME?</v>
      </c>
      <c r="BC17" s="439" t="str">
        <f ca="1">IF(AND(NOT(BA17),AND(BA$4:BA16)),MIN(EXP((BB17-$J17)*$G17),1),"")</f>
        <v/>
      </c>
      <c r="BE17" s="440" t="b">
        <f ca="1">IF(AND(NOT(BA17),AND(BA$4:BA16)),TRUE,BA17)</f>
        <v>0</v>
      </c>
      <c r="BF17" s="439" t="e">
        <f ca="1">IF(AND(NOT(ISBLANK(Jumpoverwrite12)),AND(NOT(BE17),AND(BE$4:BE16))),($J17*$G17-LN(1+Jumpoverwrite12*BG$2))/$G17,_xll.qlInterpolationInterpolate(BE$3,$F17,TRUE))</f>
        <v>#NAME?</v>
      </c>
      <c r="BG17" s="439" t="str">
        <f ca="1">IF(AND(NOT(BE17),AND(BE$4:BE16)),MIN(EXP((BF17-$J17)*$G17),1),"")</f>
        <v/>
      </c>
      <c r="BI17" s="440" t="b">
        <f t="shared" ca="1" si="3"/>
        <v>0</v>
      </c>
      <c r="BJ17" s="439" t="e">
        <f ca="1">IF(AND(NOT(ISBLANK(jumpoverwrite13)),AND(NOT(BI17),AND(BI$4:BI16))),($J17*$G17-LN(1+jumpoverwrite13*BK$2))/$G17,_xll.qlInterpolationInterpolate(BI$3,$F17,TRUE))</f>
        <v>#NAME?</v>
      </c>
      <c r="BK17" s="439" t="str">
        <f ca="1">IF(AND(NOT(BI17),AND(BI$4:BI16)),MIN(EXP((BJ17-$J17)*$G17),1),"")</f>
        <v/>
      </c>
    </row>
    <row r="18" spans="1:63" x14ac:dyDescent="0.2">
      <c r="A18" s="438" t="e">
        <f ca="1"/>
        <v>#NAME?</v>
      </c>
      <c r="B18" s="437" t="e">
        <f ca="1">_xll.qlRateHelperRate($A18,InterestRatesTrigger)</f>
        <v>#NAME?</v>
      </c>
      <c r="C18" s="436" t="e">
        <f ca="1">_xll.qlRateHelperEarliestDate($A18)</f>
        <v>#NAME?</v>
      </c>
      <c r="D18" s="435" t="e">
        <f ca="1">_xll.qlRateHelperPillarDate($A18)</f>
        <v>#NAME?</v>
      </c>
      <c r="F18" s="445" t="e">
        <f t="shared" ca="1" si="1"/>
        <v>#N/A</v>
      </c>
      <c r="G18" s="444" t="e">
        <f ca="1">_xll.qlDayCounterYearFraction(DayCounter,D17,D18)</f>
        <v>#NAME?</v>
      </c>
      <c r="I18" s="443" t="b">
        <f t="shared" ca="1" si="2"/>
        <v>0</v>
      </c>
      <c r="J18" s="442" t="e">
        <f ca="1"/>
        <v>#NAME?</v>
      </c>
      <c r="K18" s="441" t="e">
        <f t="shared" ca="1" si="0"/>
        <v>#NAME?</v>
      </c>
      <c r="L18" s="446"/>
      <c r="M18" s="440" t="b">
        <f ca="1">IF(AND(NOT(I18),AND(I$4:I17)),TRUE,I18)</f>
        <v>0</v>
      </c>
      <c r="N18" s="439" t="e">
        <f ca="1">IF(AND(NOT(ISBLANK(Jumpoverwrite1)),AND(NOT(M18),AND(M$4:M17))),($J18*$G18-LN(1+Jumpoverwrite1*O$2))/$G18,_xll.qlInterpolationInterpolate(M$3,$F18,TRUE))</f>
        <v>#NAME?</v>
      </c>
      <c r="O18" s="439" t="str">
        <f ca="1">IF(AND(NOT(M18),AND(M$4:M17)),MIN(EXP((N18-$J18)*$G18),1),"")</f>
        <v/>
      </c>
      <c r="P18" s="428"/>
      <c r="Q18" s="440" t="b">
        <f ca="1">IF(AND(NOT(M18),AND(M$4:M17)),TRUE,M18)</f>
        <v>0</v>
      </c>
      <c r="R18" s="439" t="e">
        <f ca="1">IF(AND(NOT(ISBLANK(Jumpoverwrite2)),AND(NOT(Q18),AND(Q$4:Q17))),($J18*$G18-LN(1+Jumpoverwrite2*S$2))/$G18,_xll.qlInterpolationInterpolate(Q$3,$F18,TRUE))</f>
        <v>#NAME?</v>
      </c>
      <c r="S18" s="439" t="str">
        <f ca="1">IF(AND(NOT(Q18),AND(Q$4:Q17)),MIN(EXP((R18-$J18)*$G18),1),"")</f>
        <v/>
      </c>
      <c r="T18" s="428"/>
      <c r="U18" s="440" t="b">
        <f ca="1">IF(AND(NOT(Q18),AND(Q$4:Q17)),TRUE,Q18)</f>
        <v>0</v>
      </c>
      <c r="V18" s="439" t="e">
        <f ca="1">IF(AND(NOT(ISBLANK(Jumpoverwrite3)),AND(NOT(U18),AND(U$4:U17))),($J18*$G18-LN(1+Jumpoverwrite3*W$2))/$G18,_xll.qlInterpolationInterpolate(U$3,$F18,TRUE))</f>
        <v>#NAME?</v>
      </c>
      <c r="W18" s="439" t="str">
        <f ca="1">IF(AND(NOT(U18),AND(U$4:U17)),MIN(EXP((V18-$J18)*$G18),1),"")</f>
        <v/>
      </c>
      <c r="X18" s="428"/>
      <c r="Y18" s="440" t="b">
        <f ca="1">IF(AND(NOT(U18),AND(U$4:U17)),TRUE,U18)</f>
        <v>0</v>
      </c>
      <c r="Z18" s="439" t="e">
        <f ca="1">IF(AND(NOT(ISBLANK(Jumpoverwrite4)),AND(NOT(Y18),AND(Y$4:Y17))),($J18*$G18-LN(1+Jumpoverwrite4*AA$2))/$G18,_xll.qlInterpolationInterpolate(Y$3,$F18,TRUE))</f>
        <v>#NAME?</v>
      </c>
      <c r="AA18" s="439" t="str">
        <f ca="1">IF(AND(NOT(Y18),AND(Y$4:Y17)),MIN(EXP((Z18-$J18)*$G18),1),"")</f>
        <v/>
      </c>
      <c r="AB18" s="428"/>
      <c r="AC18" s="440" t="b">
        <f ca="1">IF(AND(NOT(Y18),AND(Y$4:Y17)),TRUE,Y18)</f>
        <v>0</v>
      </c>
      <c r="AD18" s="439" t="e">
        <f ca="1">IF(AND(NOT(ISBLANK(Jumpoverwrite5)),AND(NOT(AC18),AND(AC$4:AC17))),($J18*$G18-LN(1+Jumpoverwrite5*AE$2))/$G18,_xll.qlInterpolationInterpolate(AC$3,$F18,TRUE))</f>
        <v>#NAME?</v>
      </c>
      <c r="AE18" s="439" t="str">
        <f ca="1">IF(AND(NOT(AC18),AND(AC$4:AC17)),MIN(EXP((AD18-$J18)*$G18),1),"")</f>
        <v/>
      </c>
      <c r="AF18" s="428"/>
      <c r="AG18" s="440" t="b">
        <f ca="1">IF(AND(NOT(AC18),AND(AC$4:AC17)),TRUE,AC18)</f>
        <v>0</v>
      </c>
      <c r="AH18" s="439" t="e">
        <f ca="1">IF(AND(NOT(ISBLANK(Jumpoverwrite6)),AND(NOT(AG18),AND(AG$4:AG17))),($J18*$G18-LN(1+Jumpoverwrite6*AI$2))/$G18,_xll.qlInterpolationInterpolate(AG$3,$F18,TRUE))</f>
        <v>#NAME?</v>
      </c>
      <c r="AI18" s="439" t="str">
        <f ca="1">IF(AND(NOT(AG18),AND(AG$4:AG17)),MIN(EXP((AH18-$J18)*$G18),1),"")</f>
        <v/>
      </c>
      <c r="AJ18" s="428"/>
      <c r="AK18" s="440" t="b">
        <f ca="1">IF(AND(NOT(AG18),AND(AG$4:AG17)),TRUE,AG18)</f>
        <v>0</v>
      </c>
      <c r="AL18" s="439" t="e">
        <f ca="1">IF(AND(NOT(ISBLANK(Jumpoverwrite7)),AND(NOT(AK18),AND(AK$4:AK17))),($J18*$G18-LN(1+Jumpoverwrite7*AM$2))/$G18,_xll.qlInterpolationInterpolate(AK$3,$F18,TRUE))</f>
        <v>#NAME?</v>
      </c>
      <c r="AM18" s="439" t="str">
        <f ca="1">IF(AND(NOT(AK18),AND(AK$4:AK17)),MIN(EXP((AL18-$J18)*$G18),1),"")</f>
        <v/>
      </c>
      <c r="AO18" s="440" t="b">
        <f ca="1">IF(AND(NOT(AK18),AND(AK$4:AK17)),TRUE,AK18)</f>
        <v>0</v>
      </c>
      <c r="AP18" s="439" t="e">
        <f ca="1">IF(AND(NOT(ISBLANK(Jumpoverwrite8)),AND(NOT(AO18),AND(AO$4:AO17))),($J18*$G18-LN(1+Jumpoverwrite8*AQ$2))/$G18,_xll.qlInterpolationInterpolate(AO$3,$F18,TRUE))</f>
        <v>#NAME?</v>
      </c>
      <c r="AQ18" s="439" t="str">
        <f ca="1">IF(AND(NOT(AO18),AND(AO$4:AO17)),MIN(EXP((AP18-$J18)*$G18),1),"")</f>
        <v/>
      </c>
      <c r="AS18" s="440" t="b">
        <f ca="1">IF(AND(NOT(AO18),AND(AO$4:AO17)),TRUE,AO18)</f>
        <v>0</v>
      </c>
      <c r="AT18" s="439" t="e">
        <f ca="1">IF(AND(NOT(ISBLANK(Jumpoverwrite9)),AND(NOT(AS18),AND(AS$4:AS17))),($J18*$G18-LN(1+Jumpoverwrite9*AU$2))/$G18,_xll.qlInterpolationInterpolate(AS$3,$F18,TRUE))</f>
        <v>#NAME?</v>
      </c>
      <c r="AU18" s="439" t="str">
        <f ca="1">IF(AND(NOT(AS18),AND(AS$4:AS17)),MIN(EXP((AT18-$J18)*$G18),1),"")</f>
        <v/>
      </c>
      <c r="AW18" s="440" t="b">
        <f ca="1">IF(AND(NOT(AS18),AND(AS$4:AS17)),TRUE,AS18)</f>
        <v>0</v>
      </c>
      <c r="AX18" s="439" t="e">
        <f ca="1">IF(AND(NOT(ISBLANK(Jumpoverwrite10)),AND(NOT(AW18),AND(AW$4:AW17))),($J18*$G18-LN(1+Jumpoverwrite10*AY$2))/$G18,_xll.qlInterpolationInterpolate(AW$3,$F18,TRUE))</f>
        <v>#NAME?</v>
      </c>
      <c r="AY18" s="439" t="str">
        <f ca="1">IF(AND(NOT(AW18),AND(AW$4:AW17)),MIN(EXP((AX18-$J18)*$G18),1),"")</f>
        <v/>
      </c>
      <c r="BA18" s="440" t="b">
        <f ca="1">IF(AND(NOT(AW18),AND(AW$4:AW17)),TRUE,AW18)</f>
        <v>0</v>
      </c>
      <c r="BB18" s="439" t="e">
        <f ca="1">IF(AND(NOT(ISBLANK(Jumpoverwrite11)),AND(NOT(BA18),AND(BA$4:BA17))),($J18*$G18-LN(1+Jumpoverwrite11*BC$2))/$G18,_xll.qlInterpolationInterpolate(BA$3,$F18,TRUE))</f>
        <v>#NAME?</v>
      </c>
      <c r="BC18" s="439" t="str">
        <f ca="1">IF(AND(NOT(BA18),AND(BA$4:BA17)),MIN(EXP((BB18-$J18)*$G18),1),"")</f>
        <v/>
      </c>
      <c r="BE18" s="440" t="b">
        <f ca="1">IF(AND(NOT(BA18),AND(BA$4:BA17)),TRUE,BA18)</f>
        <v>0</v>
      </c>
      <c r="BF18" s="439" t="e">
        <f ca="1">IF(AND(NOT(ISBLANK(Jumpoverwrite12)),AND(NOT(BE18),AND(BE$4:BE17))),($J18*$G18-LN(1+Jumpoverwrite12*BG$2))/$G18,_xll.qlInterpolationInterpolate(BE$3,$F18,TRUE))</f>
        <v>#NAME?</v>
      </c>
      <c r="BG18" s="439" t="str">
        <f ca="1">IF(AND(NOT(BE18),AND(BE$4:BE17)),MIN(EXP((BF18-$J18)*$G18),1),"")</f>
        <v/>
      </c>
      <c r="BI18" s="440" t="b">
        <f t="shared" ca="1" si="3"/>
        <v>0</v>
      </c>
      <c r="BJ18" s="439" t="e">
        <f ca="1">IF(AND(NOT(ISBLANK(jumpoverwrite13)),AND(NOT(BI18),AND(BI$4:BI17))),($J18*$G18-LN(1+jumpoverwrite13*BK$2))/$G18,_xll.qlInterpolationInterpolate(BI$3,$F18,TRUE))</f>
        <v>#NAME?</v>
      </c>
      <c r="BK18" s="439" t="str">
        <f ca="1">IF(AND(NOT(BI18),AND(BI$4:BI17)),MIN(EXP((BJ18-$J18)*$G18),1),"")</f>
        <v/>
      </c>
    </row>
    <row r="19" spans="1:63" x14ac:dyDescent="0.2">
      <c r="A19" s="438" t="e">
        <f ca="1"/>
        <v>#NAME?</v>
      </c>
      <c r="B19" s="437" t="e">
        <f ca="1">_xll.qlRateHelperRate($A19,InterestRatesTrigger)</f>
        <v>#NAME?</v>
      </c>
      <c r="C19" s="436" t="e">
        <f ca="1">_xll.qlRateHelperEarliestDate($A19)</f>
        <v>#NAME?</v>
      </c>
      <c r="D19" s="435" t="e">
        <f ca="1">_xll.qlRateHelperPillarDate($A19)</f>
        <v>#NAME?</v>
      </c>
      <c r="F19" s="445" t="e">
        <f t="shared" ca="1" si="1"/>
        <v>#N/A</v>
      </c>
      <c r="G19" s="444" t="e">
        <f ca="1">_xll.qlDayCounterYearFraction(DayCounter,D18,D19)</f>
        <v>#NAME?</v>
      </c>
      <c r="I19" s="443" t="b">
        <f t="shared" ca="1" si="2"/>
        <v>0</v>
      </c>
      <c r="J19" s="442" t="e">
        <f ca="1"/>
        <v>#NAME?</v>
      </c>
      <c r="K19" s="441" t="e">
        <f t="shared" ca="1" si="0"/>
        <v>#NAME?</v>
      </c>
      <c r="L19" s="446"/>
      <c r="M19" s="440" t="b">
        <f ca="1">IF(AND(NOT(I19),AND(I$4:I18)),TRUE,I19)</f>
        <v>0</v>
      </c>
      <c r="N19" s="439" t="e">
        <f ca="1">IF(AND(NOT(ISBLANK(Jumpoverwrite1)),AND(NOT(M19),AND(M$4:M18))),($J19*$G19-LN(1+Jumpoverwrite1*O$2))/$G19,_xll.qlInterpolationInterpolate(M$3,$F19,TRUE))</f>
        <v>#NAME?</v>
      </c>
      <c r="O19" s="439" t="str">
        <f ca="1">IF(AND(NOT(M19),AND(M$4:M18)),MIN(EXP((N19-$J19)*$G19),1),"")</f>
        <v/>
      </c>
      <c r="P19" s="428"/>
      <c r="Q19" s="440" t="b">
        <f ca="1">IF(AND(NOT(M19),AND(M$4:M18)),TRUE,M19)</f>
        <v>0</v>
      </c>
      <c r="R19" s="439" t="e">
        <f ca="1">IF(AND(NOT(ISBLANK(Jumpoverwrite2)),AND(NOT(Q19),AND(Q$4:Q18))),($J19*$G19-LN(1+Jumpoverwrite2*S$2))/$G19,_xll.qlInterpolationInterpolate(Q$3,$F19,TRUE))</f>
        <v>#NAME?</v>
      </c>
      <c r="S19" s="439" t="str">
        <f ca="1">IF(AND(NOT(Q19),AND(Q$4:Q18)),MIN(EXP((R19-$J19)*$G19),1),"")</f>
        <v/>
      </c>
      <c r="T19" s="428"/>
      <c r="U19" s="440" t="b">
        <f ca="1">IF(AND(NOT(Q19),AND(Q$4:Q18)),TRUE,Q19)</f>
        <v>0</v>
      </c>
      <c r="V19" s="439" t="e">
        <f ca="1">IF(AND(NOT(ISBLANK(Jumpoverwrite3)),AND(NOT(U19),AND(U$4:U18))),($J19*$G19-LN(1+Jumpoverwrite3*W$2))/$G19,_xll.qlInterpolationInterpolate(U$3,$F19,TRUE))</f>
        <v>#NAME?</v>
      </c>
      <c r="W19" s="439" t="str">
        <f ca="1">IF(AND(NOT(U19),AND(U$4:U18)),MIN(EXP((V19-$J19)*$G19),1),"")</f>
        <v/>
      </c>
      <c r="X19" s="428"/>
      <c r="Y19" s="440" t="b">
        <f ca="1">IF(AND(NOT(U19),AND(U$4:U18)),TRUE,U19)</f>
        <v>0</v>
      </c>
      <c r="Z19" s="439" t="e">
        <f ca="1">IF(AND(NOT(ISBLANK(Jumpoverwrite4)),AND(NOT(Y19),AND(Y$4:Y18))),($J19*$G19-LN(1+Jumpoverwrite4*AA$2))/$G19,_xll.qlInterpolationInterpolate(Y$3,$F19,TRUE))</f>
        <v>#NAME?</v>
      </c>
      <c r="AA19" s="439" t="str">
        <f ca="1">IF(AND(NOT(Y19),AND(Y$4:Y18)),MIN(EXP((Z19-$J19)*$G19),1),"")</f>
        <v/>
      </c>
      <c r="AB19" s="428"/>
      <c r="AC19" s="440" t="b">
        <f ca="1">IF(AND(NOT(Y19),AND(Y$4:Y18)),TRUE,Y19)</f>
        <v>0</v>
      </c>
      <c r="AD19" s="439" t="e">
        <f ca="1">IF(AND(NOT(ISBLANK(Jumpoverwrite5)),AND(NOT(AC19),AND(AC$4:AC18))),($J19*$G19-LN(1+Jumpoverwrite5*AE$2))/$G19,_xll.qlInterpolationInterpolate(AC$3,$F19,TRUE))</f>
        <v>#NAME?</v>
      </c>
      <c r="AE19" s="439" t="str">
        <f ca="1">IF(AND(NOT(AC19),AND(AC$4:AC18)),MIN(EXP((AD19-$J19)*$G19),1),"")</f>
        <v/>
      </c>
      <c r="AF19" s="428"/>
      <c r="AG19" s="440" t="b">
        <f ca="1">IF(AND(NOT(AC19),AND(AC$4:AC18)),TRUE,AC19)</f>
        <v>0</v>
      </c>
      <c r="AH19" s="439" t="e">
        <f ca="1">IF(AND(NOT(ISBLANK(Jumpoverwrite6)),AND(NOT(AG19),AND(AG$4:AG18))),($J19*$G19-LN(1+Jumpoverwrite6*AI$2))/$G19,_xll.qlInterpolationInterpolate(AG$3,$F19,TRUE))</f>
        <v>#NAME?</v>
      </c>
      <c r="AI19" s="439" t="str">
        <f ca="1">IF(AND(NOT(AG19),AND(AG$4:AG18)),MIN(EXP((AH19-$J19)*$G19),1),"")</f>
        <v/>
      </c>
      <c r="AJ19" s="428"/>
      <c r="AK19" s="440" t="b">
        <f ca="1">IF(AND(NOT(AG19),AND(AG$4:AG18)),TRUE,AG19)</f>
        <v>0</v>
      </c>
      <c r="AL19" s="439" t="e">
        <f ca="1">IF(AND(NOT(ISBLANK(Jumpoverwrite7)),AND(NOT(AK19),AND(AK$4:AK18))),($J19*$G19-LN(1+Jumpoverwrite7*AM$2))/$G19,_xll.qlInterpolationInterpolate(AK$3,$F19,TRUE))</f>
        <v>#NAME?</v>
      </c>
      <c r="AM19" s="439" t="str">
        <f ca="1">IF(AND(NOT(AK19),AND(AK$4:AK18)),MIN(EXP((AL19-$J19)*$G19),1),"")</f>
        <v/>
      </c>
      <c r="AO19" s="440" t="b">
        <f ca="1">IF(AND(NOT(AK19),AND(AK$4:AK18)),TRUE,AK19)</f>
        <v>0</v>
      </c>
      <c r="AP19" s="439" t="e">
        <f ca="1">IF(AND(NOT(ISBLANK(Jumpoverwrite8)),AND(NOT(AO19),AND(AO$4:AO18))),($J19*$G19-LN(1+Jumpoverwrite8*AQ$2))/$G19,_xll.qlInterpolationInterpolate(AO$3,$F19,TRUE))</f>
        <v>#NAME?</v>
      </c>
      <c r="AQ19" s="439" t="str">
        <f ca="1">IF(AND(NOT(AO19),AND(AO$4:AO18)),MIN(EXP((AP19-$J19)*$G19),1),"")</f>
        <v/>
      </c>
      <c r="AS19" s="440" t="b">
        <f ca="1">IF(AND(NOT(AO19),AND(AO$4:AO18)),TRUE,AO19)</f>
        <v>0</v>
      </c>
      <c r="AT19" s="439" t="e">
        <f ca="1">IF(AND(NOT(ISBLANK(Jumpoverwrite9)),AND(NOT(AS19),AND(AS$4:AS18))),($J19*$G19-LN(1+Jumpoverwrite9*AU$2))/$G19,_xll.qlInterpolationInterpolate(AS$3,$F19,TRUE))</f>
        <v>#NAME?</v>
      </c>
      <c r="AU19" s="439" t="str">
        <f ca="1">IF(AND(NOT(AS19),AND(AS$4:AS18)),MIN(EXP((AT19-$J19)*$G19),1),"")</f>
        <v/>
      </c>
      <c r="AW19" s="440" t="b">
        <f ca="1">IF(AND(NOT(AS19),AND(AS$4:AS18)),TRUE,AS19)</f>
        <v>0</v>
      </c>
      <c r="AX19" s="439" t="e">
        <f ca="1">IF(AND(NOT(ISBLANK(Jumpoverwrite10)),AND(NOT(AW19),AND(AW$4:AW18))),($J19*$G19-LN(1+Jumpoverwrite10*AY$2))/$G19,_xll.qlInterpolationInterpolate(AW$3,$F19,TRUE))</f>
        <v>#NAME?</v>
      </c>
      <c r="AY19" s="439" t="str">
        <f ca="1">IF(AND(NOT(AW19),AND(AW$4:AW18)),MIN(EXP((AX19-$J19)*$G19),1),"")</f>
        <v/>
      </c>
      <c r="BA19" s="440" t="b">
        <f ca="1">IF(AND(NOT(AW19),AND(AW$4:AW18)),TRUE,AW19)</f>
        <v>0</v>
      </c>
      <c r="BB19" s="439" t="e">
        <f ca="1">IF(AND(NOT(ISBLANK(Jumpoverwrite11)),AND(NOT(BA19),AND(BA$4:BA18))),($J19*$G19-LN(1+Jumpoverwrite11*BC$2))/$G19,_xll.qlInterpolationInterpolate(BA$3,$F19,TRUE))</f>
        <v>#NAME?</v>
      </c>
      <c r="BC19" s="439" t="str">
        <f ca="1">IF(AND(NOT(BA19),AND(BA$4:BA18)),MIN(EXP((BB19-$J19)*$G19),1),"")</f>
        <v/>
      </c>
      <c r="BE19" s="440" t="b">
        <f ca="1">IF(AND(NOT(BA19),AND(BA$4:BA18)),TRUE,BA19)</f>
        <v>0</v>
      </c>
      <c r="BF19" s="439" t="e">
        <f ca="1">IF(AND(NOT(ISBLANK(Jumpoverwrite12)),AND(NOT(BE19),AND(BE$4:BE18))),($J19*$G19-LN(1+Jumpoverwrite12*BG$2))/$G19,_xll.qlInterpolationInterpolate(BE$3,$F19,TRUE))</f>
        <v>#NAME?</v>
      </c>
      <c r="BG19" s="439" t="str">
        <f ca="1">IF(AND(NOT(BE19),AND(BE$4:BE18)),MIN(EXP((BF19-$J19)*$G19),1),"")</f>
        <v/>
      </c>
      <c r="BI19" s="440" t="b">
        <f t="shared" ca="1" si="3"/>
        <v>0</v>
      </c>
      <c r="BJ19" s="439" t="e">
        <f ca="1">IF(AND(NOT(ISBLANK(jumpoverwrite13)),AND(NOT(BI19),AND(BI$4:BI18))),($J19*$G19-LN(1+jumpoverwrite13*BK$2))/$G19,_xll.qlInterpolationInterpolate(BI$3,$F19,TRUE))</f>
        <v>#NAME?</v>
      </c>
      <c r="BK19" s="439" t="str">
        <f ca="1">IF(AND(NOT(BI19),AND(BI$4:BI18)),MIN(EXP((BJ19-$J19)*$G19),1),"")</f>
        <v/>
      </c>
    </row>
    <row r="20" spans="1:63" x14ac:dyDescent="0.2">
      <c r="A20" s="438" t="e">
        <f ca="1"/>
        <v>#NAME?</v>
      </c>
      <c r="B20" s="437" t="e">
        <f ca="1">_xll.qlRateHelperRate($A20,InterestRatesTrigger)</f>
        <v>#NAME?</v>
      </c>
      <c r="C20" s="436" t="e">
        <f ca="1">_xll.qlRateHelperEarliestDate($A20)</f>
        <v>#NAME?</v>
      </c>
      <c r="D20" s="435" t="e">
        <f ca="1">_xll.qlRateHelperPillarDate($A20)</f>
        <v>#NAME?</v>
      </c>
      <c r="F20" s="445" t="e">
        <f t="shared" ca="1" si="1"/>
        <v>#N/A</v>
      </c>
      <c r="G20" s="444" t="e">
        <f ca="1">_xll.qlDayCounterYearFraction(DayCounter,D19,D20)</f>
        <v>#NAME?</v>
      </c>
      <c r="I20" s="443" t="b">
        <f t="shared" ca="1" si="2"/>
        <v>0</v>
      </c>
      <c r="J20" s="442" t="e">
        <f ca="1"/>
        <v>#NAME?</v>
      </c>
      <c r="K20" s="441" t="e">
        <f t="shared" ca="1" si="0"/>
        <v>#NAME?</v>
      </c>
      <c r="L20" s="446"/>
      <c r="M20" s="440" t="b">
        <f ca="1">IF(AND(NOT(I20),AND(I$4:I19)),TRUE,I20)</f>
        <v>0</v>
      </c>
      <c r="N20" s="439" t="e">
        <f ca="1">IF(AND(NOT(ISBLANK(Jumpoverwrite1)),AND(NOT(M20),AND(M$4:M19))),($J20*$G20-LN(1+Jumpoverwrite1*O$2))/$G20,_xll.qlInterpolationInterpolate(M$3,$F20,TRUE))</f>
        <v>#NAME?</v>
      </c>
      <c r="O20" s="439" t="str">
        <f ca="1">IF(AND(NOT(M20),AND(M$4:M19)),MIN(EXP((N20-$J20)*$G20),1),"")</f>
        <v/>
      </c>
      <c r="P20" s="428"/>
      <c r="Q20" s="440" t="b">
        <f ca="1">IF(AND(NOT(M20),AND(M$4:M19)),TRUE,M20)</f>
        <v>0</v>
      </c>
      <c r="R20" s="439" t="e">
        <f ca="1">IF(AND(NOT(ISBLANK(Jumpoverwrite2)),AND(NOT(Q20),AND(Q$4:Q19))),($J20*$G20-LN(1+Jumpoverwrite2*S$2))/$G20,_xll.qlInterpolationInterpolate(Q$3,$F20,TRUE))</f>
        <v>#NAME?</v>
      </c>
      <c r="S20" s="439" t="str">
        <f ca="1">IF(AND(NOT(Q20),AND(Q$4:Q19)),MIN(EXP((R20-$J20)*$G20),1),"")</f>
        <v/>
      </c>
      <c r="T20" s="428"/>
      <c r="U20" s="440" t="b">
        <f ca="1">IF(AND(NOT(Q20),AND(Q$4:Q19)),TRUE,Q20)</f>
        <v>0</v>
      </c>
      <c r="V20" s="439" t="e">
        <f ca="1">IF(AND(NOT(ISBLANK(Jumpoverwrite3)),AND(NOT(U20),AND(U$4:U19))),($J20*$G20-LN(1+Jumpoverwrite3*W$2))/$G20,_xll.qlInterpolationInterpolate(U$3,$F20,TRUE))</f>
        <v>#NAME?</v>
      </c>
      <c r="W20" s="439" t="str">
        <f ca="1">IF(AND(NOT(U20),AND(U$4:U19)),MIN(EXP((V20-$J20)*$G20),1),"")</f>
        <v/>
      </c>
      <c r="X20" s="428"/>
      <c r="Y20" s="440" t="b">
        <f ca="1">IF(AND(NOT(U20),AND(U$4:U19)),TRUE,U20)</f>
        <v>0</v>
      </c>
      <c r="Z20" s="439" t="e">
        <f ca="1">IF(AND(NOT(ISBLANK(Jumpoverwrite4)),AND(NOT(Y20),AND(Y$4:Y19))),($J20*$G20-LN(1+Jumpoverwrite4*AA$2))/$G20,_xll.qlInterpolationInterpolate(Y$3,$F20,TRUE))</f>
        <v>#NAME?</v>
      </c>
      <c r="AA20" s="439" t="str">
        <f ca="1">IF(AND(NOT(Y20),AND(Y$4:Y19)),MIN(EXP((Z20-$J20)*$G20),1),"")</f>
        <v/>
      </c>
      <c r="AB20" s="428"/>
      <c r="AC20" s="440" t="b">
        <f ca="1">IF(AND(NOT(Y20),AND(Y$4:Y19)),TRUE,Y20)</f>
        <v>0</v>
      </c>
      <c r="AD20" s="439" t="e">
        <f ca="1">IF(AND(NOT(ISBLANK(Jumpoverwrite5)),AND(NOT(AC20),AND(AC$4:AC19))),($J20*$G20-LN(1+Jumpoverwrite5*AE$2))/$G20,_xll.qlInterpolationInterpolate(AC$3,$F20,TRUE))</f>
        <v>#NAME?</v>
      </c>
      <c r="AE20" s="439" t="str">
        <f ca="1">IF(AND(NOT(AC20),AND(AC$4:AC19)),MIN(EXP((AD20-$J20)*$G20),1),"")</f>
        <v/>
      </c>
      <c r="AF20" s="428"/>
      <c r="AG20" s="440" t="b">
        <f ca="1">IF(AND(NOT(AC20),AND(AC$4:AC19)),TRUE,AC20)</f>
        <v>0</v>
      </c>
      <c r="AH20" s="439" t="e">
        <f ca="1">IF(AND(NOT(ISBLANK(Jumpoverwrite6)),AND(NOT(AG20),AND(AG$4:AG19))),($J20*$G20-LN(1+Jumpoverwrite6*AI$2))/$G20,_xll.qlInterpolationInterpolate(AG$3,$F20,TRUE))</f>
        <v>#NAME?</v>
      </c>
      <c r="AI20" s="439" t="str">
        <f ca="1">IF(AND(NOT(AG20),AND(AG$4:AG19)),MIN(EXP((AH20-$J20)*$G20),1),"")</f>
        <v/>
      </c>
      <c r="AJ20" s="428"/>
      <c r="AK20" s="440" t="b">
        <f ca="1">IF(AND(NOT(AG20),AND(AG$4:AG19)),TRUE,AG20)</f>
        <v>0</v>
      </c>
      <c r="AL20" s="439" t="e">
        <f ca="1">IF(AND(NOT(ISBLANK(Jumpoverwrite7)),AND(NOT(AK20),AND(AK$4:AK19))),($J20*$G20-LN(1+Jumpoverwrite7*AM$2))/$G20,_xll.qlInterpolationInterpolate(AK$3,$F20,TRUE))</f>
        <v>#NAME?</v>
      </c>
      <c r="AM20" s="439" t="str">
        <f ca="1">IF(AND(NOT(AK20),AND(AK$4:AK19)),MIN(EXP((AL20-$J20)*$G20),1),"")</f>
        <v/>
      </c>
      <c r="AO20" s="440" t="b">
        <f ca="1">IF(AND(NOT(AK20),AND(AK$4:AK19)),TRUE,AK20)</f>
        <v>0</v>
      </c>
      <c r="AP20" s="439" t="e">
        <f ca="1">IF(AND(NOT(ISBLANK(Jumpoverwrite8)),AND(NOT(AO20),AND(AO$4:AO19))),($J20*$G20-LN(1+Jumpoverwrite8*AQ$2))/$G20,_xll.qlInterpolationInterpolate(AO$3,$F20,TRUE))</f>
        <v>#NAME?</v>
      </c>
      <c r="AQ20" s="439" t="str">
        <f ca="1">IF(AND(NOT(AO20),AND(AO$4:AO19)),MIN(EXP((AP20-$J20)*$G20),1),"")</f>
        <v/>
      </c>
      <c r="AS20" s="440" t="b">
        <f ca="1">IF(AND(NOT(AO20),AND(AO$4:AO19)),TRUE,AO20)</f>
        <v>0</v>
      </c>
      <c r="AT20" s="439" t="e">
        <f ca="1">IF(AND(NOT(ISBLANK(Jumpoverwrite9)),AND(NOT(AS20),AND(AS$4:AS19))),($J20*$G20-LN(1+Jumpoverwrite9*AU$2))/$G20,_xll.qlInterpolationInterpolate(AS$3,$F20,TRUE))</f>
        <v>#NAME?</v>
      </c>
      <c r="AU20" s="439" t="str">
        <f ca="1">IF(AND(NOT(AS20),AND(AS$4:AS19)),MIN(EXP((AT20-$J20)*$G20),1),"")</f>
        <v/>
      </c>
      <c r="AW20" s="440" t="b">
        <f ca="1">IF(AND(NOT(AS20),AND(AS$4:AS19)),TRUE,AS20)</f>
        <v>0</v>
      </c>
      <c r="AX20" s="439" t="e">
        <f ca="1">IF(AND(NOT(ISBLANK(Jumpoverwrite10)),AND(NOT(AW20),AND(AW$4:AW19))),($J20*$G20-LN(1+Jumpoverwrite10*AY$2))/$G20,_xll.qlInterpolationInterpolate(AW$3,$F20,TRUE))</f>
        <v>#NAME?</v>
      </c>
      <c r="AY20" s="439" t="str">
        <f ca="1">IF(AND(NOT(AW20),AND(AW$4:AW19)),MIN(EXP((AX20-$J20)*$G20),1),"")</f>
        <v/>
      </c>
      <c r="BA20" s="440" t="b">
        <f ca="1">IF(AND(NOT(AW20),AND(AW$4:AW19)),TRUE,AW20)</f>
        <v>0</v>
      </c>
      <c r="BB20" s="439" t="e">
        <f ca="1">IF(AND(NOT(ISBLANK(Jumpoverwrite11)),AND(NOT(BA20),AND(BA$4:BA19))),($J20*$G20-LN(1+Jumpoverwrite11*BC$2))/$G20,_xll.qlInterpolationInterpolate(BA$3,$F20,TRUE))</f>
        <v>#NAME?</v>
      </c>
      <c r="BC20" s="439" t="str">
        <f ca="1">IF(AND(NOT(BA20),AND(BA$4:BA19)),MIN(EXP((BB20-$J20)*$G20),1),"")</f>
        <v/>
      </c>
      <c r="BE20" s="440" t="b">
        <f ca="1">IF(AND(NOT(BA20),AND(BA$4:BA19)),TRUE,BA20)</f>
        <v>0</v>
      </c>
      <c r="BF20" s="439" t="e">
        <f ca="1">IF(AND(NOT(ISBLANK(Jumpoverwrite12)),AND(NOT(BE20),AND(BE$4:BE19))),($J20*$G20-LN(1+Jumpoverwrite12*BG$2))/$G20,_xll.qlInterpolationInterpolate(BE$3,$F20,TRUE))</f>
        <v>#NAME?</v>
      </c>
      <c r="BG20" s="439" t="str">
        <f ca="1">IF(AND(NOT(BE20),AND(BE$4:BE19)),MIN(EXP((BF20-$J20)*$G20),1),"")</f>
        <v/>
      </c>
      <c r="BI20" s="440" t="b">
        <f t="shared" ca="1" si="3"/>
        <v>0</v>
      </c>
      <c r="BJ20" s="439" t="e">
        <f ca="1">IF(AND(NOT(ISBLANK(jumpoverwrite13)),AND(NOT(BI20),AND(BI$4:BI19))),($J20*$G20-LN(1+jumpoverwrite13*BK$2))/$G20,_xll.qlInterpolationInterpolate(BI$3,$F20,TRUE))</f>
        <v>#NAME?</v>
      </c>
      <c r="BK20" s="439" t="str">
        <f ca="1">IF(AND(NOT(BI20),AND(BI$4:BI19)),MIN(EXP((BJ20-$J20)*$G20),1),"")</f>
        <v/>
      </c>
    </row>
    <row r="21" spans="1:63" x14ac:dyDescent="0.2">
      <c r="A21" s="438" t="e">
        <f ca="1"/>
        <v>#NAME?</v>
      </c>
      <c r="B21" s="437" t="e">
        <f ca="1">_xll.qlRateHelperRate($A21,InterestRatesTrigger)</f>
        <v>#NAME?</v>
      </c>
      <c r="C21" s="436" t="e">
        <f ca="1">_xll.qlRateHelperEarliestDate($A21)</f>
        <v>#NAME?</v>
      </c>
      <c r="D21" s="435" t="e">
        <f ca="1">_xll.qlRateHelperPillarDate($A21)</f>
        <v>#NAME?</v>
      </c>
      <c r="F21" s="445" t="e">
        <f t="shared" ca="1" si="1"/>
        <v>#N/A</v>
      </c>
      <c r="G21" s="444" t="e">
        <f ca="1">_xll.qlDayCounterYearFraction(DayCounter,D20,D21)</f>
        <v>#NAME?</v>
      </c>
      <c r="I21" s="443" t="b">
        <f t="shared" ca="1" si="2"/>
        <v>0</v>
      </c>
      <c r="J21" s="442" t="e">
        <f ca="1"/>
        <v>#NAME?</v>
      </c>
      <c r="K21" s="441" t="e">
        <f t="shared" ca="1" si="0"/>
        <v>#NAME?</v>
      </c>
      <c r="L21" s="446"/>
      <c r="M21" s="440" t="b">
        <f ca="1">IF(AND(NOT(I21),AND(I$4:I20)),TRUE,I21)</f>
        <v>0</v>
      </c>
      <c r="N21" s="439" t="e">
        <f ca="1">IF(AND(NOT(ISBLANK(Jumpoverwrite1)),AND(NOT(M21),AND(M$4:M20))),($J21*$G21-LN(1+Jumpoverwrite1*O$2))/$G21,_xll.qlInterpolationInterpolate(M$3,$F21,TRUE))</f>
        <v>#NAME?</v>
      </c>
      <c r="O21" s="439" t="str">
        <f ca="1">IF(AND(NOT(M21),AND(M$4:M20)),MIN(EXP((N21-$J21)*$G21),1),"")</f>
        <v/>
      </c>
      <c r="P21" s="428"/>
      <c r="Q21" s="440" t="b">
        <f ca="1">IF(AND(NOT(M21),AND(M$4:M20)),TRUE,M21)</f>
        <v>0</v>
      </c>
      <c r="R21" s="439" t="e">
        <f ca="1">IF(AND(NOT(ISBLANK(Jumpoverwrite2)),AND(NOT(Q21),AND(Q$4:Q20))),($J21*$G21-LN(1+Jumpoverwrite2*S$2))/$G21,_xll.qlInterpolationInterpolate(Q$3,$F21,TRUE))</f>
        <v>#NAME?</v>
      </c>
      <c r="S21" s="439" t="str">
        <f ca="1">IF(AND(NOT(Q21),AND(Q$4:Q20)),MIN(EXP((R21-$J21)*$G21),1),"")</f>
        <v/>
      </c>
      <c r="T21" s="428"/>
      <c r="U21" s="440" t="b">
        <f ca="1">IF(AND(NOT(Q21),AND(Q$4:Q20)),TRUE,Q21)</f>
        <v>0</v>
      </c>
      <c r="V21" s="439" t="e">
        <f ca="1">IF(AND(NOT(ISBLANK(Jumpoverwrite3)),AND(NOT(U21),AND(U$4:U20))),($J21*$G21-LN(1+Jumpoverwrite3*W$2))/$G21,_xll.qlInterpolationInterpolate(U$3,$F21,TRUE))</f>
        <v>#NAME?</v>
      </c>
      <c r="W21" s="439" t="str">
        <f ca="1">IF(AND(NOT(U21),AND(U$4:U20)),MIN(EXP((V21-$J21)*$G21),1),"")</f>
        <v/>
      </c>
      <c r="X21" s="428"/>
      <c r="Y21" s="440" t="b">
        <f ca="1">IF(AND(NOT(U21),AND(U$4:U20)),TRUE,U21)</f>
        <v>0</v>
      </c>
      <c r="Z21" s="439" t="e">
        <f ca="1">IF(AND(NOT(ISBLANK(Jumpoverwrite4)),AND(NOT(Y21),AND(Y$4:Y20))),($J21*$G21-LN(1+Jumpoverwrite4*AA$2))/$G21,_xll.qlInterpolationInterpolate(Y$3,$F21,TRUE))</f>
        <v>#NAME?</v>
      </c>
      <c r="AA21" s="439" t="str">
        <f ca="1">IF(AND(NOT(Y21),AND(Y$4:Y20)),MIN(EXP((Z21-$J21)*$G21),1),"")</f>
        <v/>
      </c>
      <c r="AB21" s="428"/>
      <c r="AC21" s="440" t="b">
        <f ca="1">IF(AND(NOT(Y21),AND(Y$4:Y20)),TRUE,Y21)</f>
        <v>0</v>
      </c>
      <c r="AD21" s="439" t="e">
        <f ca="1">IF(AND(NOT(ISBLANK(Jumpoverwrite5)),AND(NOT(AC21),AND(AC$4:AC20))),($J21*$G21-LN(1+Jumpoverwrite5*AE$2))/$G21,_xll.qlInterpolationInterpolate(AC$3,$F21,TRUE))</f>
        <v>#NAME?</v>
      </c>
      <c r="AE21" s="439" t="str">
        <f ca="1">IF(AND(NOT(AC21),AND(AC$4:AC20)),MIN(EXP((AD21-$J21)*$G21),1),"")</f>
        <v/>
      </c>
      <c r="AF21" s="428"/>
      <c r="AG21" s="440" t="b">
        <f ca="1">IF(AND(NOT(AC21),AND(AC$4:AC20)),TRUE,AC21)</f>
        <v>0</v>
      </c>
      <c r="AH21" s="439" t="e">
        <f ca="1">IF(AND(NOT(ISBLANK(Jumpoverwrite6)),AND(NOT(AG21),AND(AG$4:AG20))),($J21*$G21-LN(1+Jumpoverwrite6*AI$2))/$G21,_xll.qlInterpolationInterpolate(AG$3,$F21,TRUE))</f>
        <v>#NAME?</v>
      </c>
      <c r="AI21" s="439" t="str">
        <f ca="1">IF(AND(NOT(AG21),AND(AG$4:AG20)),MIN(EXP((AH21-$J21)*$G21),1),"")</f>
        <v/>
      </c>
      <c r="AJ21" s="428"/>
      <c r="AK21" s="440" t="b">
        <f ca="1">IF(AND(NOT(AG21),AND(AG$4:AG20)),TRUE,AG21)</f>
        <v>0</v>
      </c>
      <c r="AL21" s="439" t="e">
        <f ca="1">IF(AND(NOT(ISBLANK(Jumpoverwrite7)),AND(NOT(AK21),AND(AK$4:AK20))),($J21*$G21-LN(1+Jumpoverwrite7*AM$2))/$G21,_xll.qlInterpolationInterpolate(AK$3,$F21,TRUE))</f>
        <v>#NAME?</v>
      </c>
      <c r="AM21" s="439" t="str">
        <f ca="1">IF(AND(NOT(AK21),AND(AK$4:AK20)),MIN(EXP((AL21-$J21)*$G21),1),"")</f>
        <v/>
      </c>
      <c r="AO21" s="440" t="b">
        <f ca="1">IF(AND(NOT(AK21),AND(AK$4:AK20)),TRUE,AK21)</f>
        <v>0</v>
      </c>
      <c r="AP21" s="439" t="e">
        <f ca="1">IF(AND(NOT(ISBLANK(Jumpoverwrite8)),AND(NOT(AO21),AND(AO$4:AO20))),($J21*$G21-LN(1+Jumpoverwrite8*AQ$2))/$G21,_xll.qlInterpolationInterpolate(AO$3,$F21,TRUE))</f>
        <v>#NAME?</v>
      </c>
      <c r="AQ21" s="439" t="str">
        <f ca="1">IF(AND(NOT(AO21),AND(AO$4:AO20)),MIN(EXP((AP21-$J21)*$G21),1),"")</f>
        <v/>
      </c>
      <c r="AS21" s="440" t="b">
        <f ca="1">IF(AND(NOT(AO21),AND(AO$4:AO20)),TRUE,AO21)</f>
        <v>0</v>
      </c>
      <c r="AT21" s="439" t="e">
        <f ca="1">IF(AND(NOT(ISBLANK(Jumpoverwrite9)),AND(NOT(AS21),AND(AS$4:AS20))),($J21*$G21-LN(1+Jumpoverwrite9*AU$2))/$G21,_xll.qlInterpolationInterpolate(AS$3,$F21,TRUE))</f>
        <v>#NAME?</v>
      </c>
      <c r="AU21" s="439" t="str">
        <f ca="1">IF(AND(NOT(AS21),AND(AS$4:AS20)),MIN(EXP((AT21-$J21)*$G21),1),"")</f>
        <v/>
      </c>
      <c r="AW21" s="440" t="b">
        <f ca="1">IF(AND(NOT(AS21),AND(AS$4:AS20)),TRUE,AS21)</f>
        <v>0</v>
      </c>
      <c r="AX21" s="439" t="e">
        <f ca="1">IF(AND(NOT(ISBLANK(Jumpoverwrite10)),AND(NOT(AW21),AND(AW$4:AW20))),($J21*$G21-LN(1+Jumpoverwrite10*AY$2))/$G21,_xll.qlInterpolationInterpolate(AW$3,$F21,TRUE))</f>
        <v>#NAME?</v>
      </c>
      <c r="AY21" s="439" t="str">
        <f ca="1">IF(AND(NOT(AW21),AND(AW$4:AW20)),MIN(EXP((AX21-$J21)*$G21),1),"")</f>
        <v/>
      </c>
      <c r="BA21" s="440" t="b">
        <f ca="1">IF(AND(NOT(AW21),AND(AW$4:AW20)),TRUE,AW21)</f>
        <v>0</v>
      </c>
      <c r="BB21" s="439" t="e">
        <f ca="1">IF(AND(NOT(ISBLANK(Jumpoverwrite11)),AND(NOT(BA21),AND(BA$4:BA20))),($J21*$G21-LN(1+Jumpoverwrite11*BC$2))/$G21,_xll.qlInterpolationInterpolate(BA$3,$F21,TRUE))</f>
        <v>#NAME?</v>
      </c>
      <c r="BC21" s="439" t="str">
        <f ca="1">IF(AND(NOT(BA21),AND(BA$4:BA20)),MIN(EXP((BB21-$J21)*$G21),1),"")</f>
        <v/>
      </c>
      <c r="BE21" s="440" t="b">
        <f ca="1">IF(AND(NOT(BA21),AND(BA$4:BA20)),TRUE,BA21)</f>
        <v>0</v>
      </c>
      <c r="BF21" s="439" t="e">
        <f ca="1">IF(AND(NOT(ISBLANK(Jumpoverwrite12)),AND(NOT(BE21),AND(BE$4:BE20))),($J21*$G21-LN(1+Jumpoverwrite12*BG$2))/$G21,_xll.qlInterpolationInterpolate(BE$3,$F21,TRUE))</f>
        <v>#NAME?</v>
      </c>
      <c r="BG21" s="439" t="str">
        <f ca="1">IF(AND(NOT(BE21),AND(BE$4:BE20)),MIN(EXP((BF21-$J21)*$G21),1),"")</f>
        <v/>
      </c>
      <c r="BI21" s="440" t="b">
        <f t="shared" ca="1" si="3"/>
        <v>0</v>
      </c>
      <c r="BJ21" s="439" t="e">
        <f ca="1">IF(AND(NOT(ISBLANK(jumpoverwrite13)),AND(NOT(BI21),AND(BI$4:BI20))),($J21*$G21-LN(1+jumpoverwrite13*BK$2))/$G21,_xll.qlInterpolationInterpolate(BI$3,$F21,TRUE))</f>
        <v>#NAME?</v>
      </c>
      <c r="BK21" s="439" t="str">
        <f ca="1">IF(AND(NOT(BI21),AND(BI$4:BI20)),MIN(EXP((BJ21-$J21)*$G21),1),"")</f>
        <v/>
      </c>
    </row>
    <row r="22" spans="1:63" x14ac:dyDescent="0.2">
      <c r="A22" s="438" t="e">
        <f ca="1"/>
        <v>#NAME?</v>
      </c>
      <c r="B22" s="437" t="e">
        <f ca="1">_xll.qlRateHelperRate($A22,InterestRatesTrigger)</f>
        <v>#NAME?</v>
      </c>
      <c r="C22" s="436" t="e">
        <f ca="1">_xll.qlRateHelperEarliestDate($A22)</f>
        <v>#NAME?</v>
      </c>
      <c r="D22" s="435" t="e">
        <f ca="1">_xll.qlRateHelperPillarDate($A22)</f>
        <v>#NAME?</v>
      </c>
      <c r="F22" s="445" t="e">
        <f t="shared" ca="1" si="1"/>
        <v>#N/A</v>
      </c>
      <c r="G22" s="444" t="e">
        <f ca="1">_xll.qlDayCounterYearFraction(DayCounter,D21,D22)</f>
        <v>#NAME?</v>
      </c>
      <c r="I22" s="443" t="b">
        <f t="shared" ca="1" si="2"/>
        <v>0</v>
      </c>
      <c r="J22" s="442" t="e">
        <f ca="1"/>
        <v>#NAME?</v>
      </c>
      <c r="K22" s="441" t="e">
        <f t="shared" ca="1" si="0"/>
        <v>#NAME?</v>
      </c>
      <c r="L22" s="446"/>
      <c r="M22" s="440" t="b">
        <f ca="1">IF(AND(NOT(I22),AND(I$4:I21)),TRUE,I22)</f>
        <v>0</v>
      </c>
      <c r="N22" s="439" t="e">
        <f ca="1">IF(AND(NOT(ISBLANK(Jumpoverwrite1)),AND(NOT(M22),AND(M$4:M21))),($J22*$G22-LN(1+Jumpoverwrite1*O$2))/$G22,_xll.qlInterpolationInterpolate(M$3,$F22,TRUE))</f>
        <v>#NAME?</v>
      </c>
      <c r="O22" s="439" t="str">
        <f ca="1">IF(AND(NOT(M22),AND(M$4:M21)),MIN(EXP((N22-$J22)*$G22),1),"")</f>
        <v/>
      </c>
      <c r="P22" s="428"/>
      <c r="Q22" s="440" t="b">
        <f ca="1">IF(AND(NOT(M22),AND(M$4:M21)),TRUE,M22)</f>
        <v>0</v>
      </c>
      <c r="R22" s="439" t="e">
        <f ca="1">IF(AND(NOT(ISBLANK(Jumpoverwrite2)),AND(NOT(Q22),AND(Q$4:Q21))),($J22*$G22-LN(1+Jumpoverwrite2*S$2))/$G22,_xll.qlInterpolationInterpolate(Q$3,$F22,TRUE))</f>
        <v>#NAME?</v>
      </c>
      <c r="S22" s="439" t="str">
        <f ca="1">IF(AND(NOT(Q22),AND(Q$4:Q21)),MIN(EXP((R22-$J22)*$G22),1),"")</f>
        <v/>
      </c>
      <c r="T22" s="428"/>
      <c r="U22" s="440" t="b">
        <f ca="1">IF(AND(NOT(Q22),AND(Q$4:Q21)),TRUE,Q22)</f>
        <v>0</v>
      </c>
      <c r="V22" s="439" t="e">
        <f ca="1">IF(AND(NOT(ISBLANK(Jumpoverwrite3)),AND(NOT(U22),AND(U$4:U21))),($J22*$G22-LN(1+Jumpoverwrite3*W$2))/$G22,_xll.qlInterpolationInterpolate(U$3,$F22,TRUE))</f>
        <v>#NAME?</v>
      </c>
      <c r="W22" s="439" t="str">
        <f ca="1">IF(AND(NOT(U22),AND(U$4:U21)),MIN(EXP((V22-$J22)*$G22),1),"")</f>
        <v/>
      </c>
      <c r="X22" s="428"/>
      <c r="Y22" s="440" t="b">
        <f ca="1">IF(AND(NOT(U22),AND(U$4:U21)),TRUE,U22)</f>
        <v>0</v>
      </c>
      <c r="Z22" s="439" t="e">
        <f ca="1">IF(AND(NOT(ISBLANK(Jumpoverwrite4)),AND(NOT(Y22),AND(Y$4:Y21))),($J22*$G22-LN(1+Jumpoverwrite4*AA$2))/$G22,_xll.qlInterpolationInterpolate(Y$3,$F22,TRUE))</f>
        <v>#NAME?</v>
      </c>
      <c r="AA22" s="439" t="str">
        <f ca="1">IF(AND(NOT(Y22),AND(Y$4:Y21)),MIN(EXP((Z22-$J22)*$G22),1),"")</f>
        <v/>
      </c>
      <c r="AB22" s="428"/>
      <c r="AC22" s="440" t="b">
        <f ca="1">IF(AND(NOT(Y22),AND(Y$4:Y21)),TRUE,Y22)</f>
        <v>0</v>
      </c>
      <c r="AD22" s="439" t="e">
        <f ca="1">IF(AND(NOT(ISBLANK(Jumpoverwrite5)),AND(NOT(AC22),AND(AC$4:AC21))),($J22*$G22-LN(1+Jumpoverwrite5*AE$2))/$G22,_xll.qlInterpolationInterpolate(AC$3,$F22,TRUE))</f>
        <v>#NAME?</v>
      </c>
      <c r="AE22" s="439" t="str">
        <f ca="1">IF(AND(NOT(AC22),AND(AC$4:AC21)),MIN(EXP((AD22-$J22)*$G22),1),"")</f>
        <v/>
      </c>
      <c r="AF22" s="428"/>
      <c r="AG22" s="440" t="b">
        <f ca="1">IF(AND(NOT(AC22),AND(AC$4:AC21)),TRUE,AC22)</f>
        <v>0</v>
      </c>
      <c r="AH22" s="439" t="e">
        <f ca="1">IF(AND(NOT(ISBLANK(Jumpoverwrite6)),AND(NOT(AG22),AND(AG$4:AG21))),($J22*$G22-LN(1+Jumpoverwrite6*AI$2))/$G22,_xll.qlInterpolationInterpolate(AG$3,$F22,TRUE))</f>
        <v>#NAME?</v>
      </c>
      <c r="AI22" s="439" t="str">
        <f ca="1">IF(AND(NOT(AG22),AND(AG$4:AG21)),MIN(EXP((AH22-$J22)*$G22),1),"")</f>
        <v/>
      </c>
      <c r="AJ22" s="428"/>
      <c r="AK22" s="440" t="b">
        <f ca="1">IF(AND(NOT(AG22),AND(AG$4:AG21)),TRUE,AG22)</f>
        <v>0</v>
      </c>
      <c r="AL22" s="439" t="e">
        <f ca="1">IF(AND(NOT(ISBLANK(Jumpoverwrite7)),AND(NOT(AK22),AND(AK$4:AK21))),($J22*$G22-LN(1+Jumpoverwrite7*AM$2))/$G22,_xll.qlInterpolationInterpolate(AK$3,$F22,TRUE))</f>
        <v>#NAME?</v>
      </c>
      <c r="AM22" s="439" t="str">
        <f ca="1">IF(AND(NOT(AK22),AND(AK$4:AK21)),MIN(EXP((AL22-$J22)*$G22),1),"")</f>
        <v/>
      </c>
      <c r="AO22" s="440" t="b">
        <f ca="1">IF(AND(NOT(AK22),AND(AK$4:AK21)),TRUE,AK22)</f>
        <v>0</v>
      </c>
      <c r="AP22" s="439" t="e">
        <f ca="1">IF(AND(NOT(ISBLANK(Jumpoverwrite8)),AND(NOT(AO22),AND(AO$4:AO21))),($J22*$G22-LN(1+Jumpoverwrite8*AQ$2))/$G22,_xll.qlInterpolationInterpolate(AO$3,$F22,TRUE))</f>
        <v>#NAME?</v>
      </c>
      <c r="AQ22" s="439" t="str">
        <f ca="1">IF(AND(NOT(AO22),AND(AO$4:AO21)),MIN(EXP((AP22-$J22)*$G22),1),"")</f>
        <v/>
      </c>
      <c r="AS22" s="440" t="b">
        <f ca="1">IF(AND(NOT(AO22),AND(AO$4:AO21)),TRUE,AO22)</f>
        <v>0</v>
      </c>
      <c r="AT22" s="439" t="e">
        <f ca="1">IF(AND(NOT(ISBLANK(Jumpoverwrite9)),AND(NOT(AS22),AND(AS$4:AS21))),($J22*$G22-LN(1+Jumpoverwrite9*AU$2))/$G22,_xll.qlInterpolationInterpolate(AS$3,$F22,TRUE))</f>
        <v>#NAME?</v>
      </c>
      <c r="AU22" s="439" t="str">
        <f ca="1">IF(AND(NOT(AS22),AND(AS$4:AS21)),MIN(EXP((AT22-$J22)*$G22),1),"")</f>
        <v/>
      </c>
      <c r="AW22" s="440" t="b">
        <f ca="1">IF(AND(NOT(AS22),AND(AS$4:AS21)),TRUE,AS22)</f>
        <v>0</v>
      </c>
      <c r="AX22" s="439" t="e">
        <f ca="1">IF(AND(NOT(ISBLANK(Jumpoverwrite10)),AND(NOT(AW22),AND(AW$4:AW21))),($J22*$G22-LN(1+Jumpoverwrite10*AY$2))/$G22,_xll.qlInterpolationInterpolate(AW$3,$F22,TRUE))</f>
        <v>#NAME?</v>
      </c>
      <c r="AY22" s="439" t="str">
        <f ca="1">IF(AND(NOT(AW22),AND(AW$4:AW21)),MIN(EXP((AX22-$J22)*$G22),1),"")</f>
        <v/>
      </c>
      <c r="BA22" s="440" t="b">
        <f ca="1">IF(AND(NOT(AW22),AND(AW$4:AW21)),TRUE,AW22)</f>
        <v>0</v>
      </c>
      <c r="BB22" s="439" t="e">
        <f ca="1">IF(AND(NOT(ISBLANK(Jumpoverwrite11)),AND(NOT(BA22),AND(BA$4:BA21))),($J22*$G22-LN(1+Jumpoverwrite11*BC$2))/$G22,_xll.qlInterpolationInterpolate(BA$3,$F22,TRUE))</f>
        <v>#NAME?</v>
      </c>
      <c r="BC22" s="439" t="str">
        <f ca="1">IF(AND(NOT(BA22),AND(BA$4:BA21)),MIN(EXP((BB22-$J22)*$G22),1),"")</f>
        <v/>
      </c>
      <c r="BE22" s="440" t="b">
        <f ca="1">IF(AND(NOT(BA22),AND(BA$4:BA21)),TRUE,BA22)</f>
        <v>0</v>
      </c>
      <c r="BF22" s="439" t="e">
        <f ca="1">IF(AND(NOT(ISBLANK(Jumpoverwrite12)),AND(NOT(BE22),AND(BE$4:BE21))),($J22*$G22-LN(1+Jumpoverwrite12*BG$2))/$G22,_xll.qlInterpolationInterpolate(BE$3,$F22,TRUE))</f>
        <v>#NAME?</v>
      </c>
      <c r="BG22" s="439" t="str">
        <f ca="1">IF(AND(NOT(BE22),AND(BE$4:BE21)),MIN(EXP((BF22-$J22)*$G22),1),"")</f>
        <v/>
      </c>
      <c r="BI22" s="440" t="b">
        <f t="shared" ca="1" si="3"/>
        <v>0</v>
      </c>
      <c r="BJ22" s="439" t="e">
        <f ca="1">IF(AND(NOT(ISBLANK(jumpoverwrite13)),AND(NOT(BI22),AND(BI$4:BI21))),($J22*$G22-LN(1+jumpoverwrite13*BK$2))/$G22,_xll.qlInterpolationInterpolate(BI$3,$F22,TRUE))</f>
        <v>#NAME?</v>
      </c>
      <c r="BK22" s="439" t="str">
        <f ca="1">IF(AND(NOT(BI22),AND(BI$4:BI21)),MIN(EXP((BJ22-$J22)*$G22),1),"")</f>
        <v/>
      </c>
    </row>
    <row r="23" spans="1:63" x14ac:dyDescent="0.2">
      <c r="A23" s="438" t="e">
        <f ca="1"/>
        <v>#NAME?</v>
      </c>
      <c r="B23" s="437" t="e">
        <f ca="1">_xll.qlRateHelperRate($A23,InterestRatesTrigger)</f>
        <v>#NAME?</v>
      </c>
      <c r="C23" s="436" t="e">
        <f ca="1">_xll.qlRateHelperEarliestDate($A23)</f>
        <v>#NAME?</v>
      </c>
      <c r="D23" s="435" t="e">
        <f ca="1">_xll.qlRateHelperPillarDate($A23)</f>
        <v>#NAME?</v>
      </c>
      <c r="F23" s="445" t="e">
        <f t="shared" ca="1" si="1"/>
        <v>#N/A</v>
      </c>
      <c r="G23" s="444" t="e">
        <f ca="1">_xll.qlDayCounterYearFraction(DayCounter,D22,D23)</f>
        <v>#NAME?</v>
      </c>
      <c r="I23" s="443" t="b">
        <f t="shared" ca="1" si="2"/>
        <v>0</v>
      </c>
      <c r="J23" s="442" t="e">
        <f ca="1"/>
        <v>#NAME?</v>
      </c>
      <c r="K23" s="441" t="e">
        <f t="shared" ca="1" si="0"/>
        <v>#NAME?</v>
      </c>
      <c r="L23" s="446"/>
      <c r="M23" s="440" t="b">
        <f ca="1">IF(AND(NOT(I23),AND(I$4:I22)),TRUE,I23)</f>
        <v>0</v>
      </c>
      <c r="N23" s="439" t="e">
        <f ca="1">IF(AND(NOT(ISBLANK(Jumpoverwrite1)),AND(NOT(M23),AND(M$4:M22))),($J23*$G23-LN(1+Jumpoverwrite1*O$2))/$G23,_xll.qlInterpolationInterpolate(M$3,$F23,TRUE))</f>
        <v>#NAME?</v>
      </c>
      <c r="O23" s="439" t="str">
        <f ca="1">IF(AND(NOT(M23),AND(M$4:M22)),MIN(EXP((N23-$J23)*$G23),1),"")</f>
        <v/>
      </c>
      <c r="P23" s="428"/>
      <c r="Q23" s="440" t="b">
        <f ca="1">IF(AND(NOT(M23),AND(M$4:M22)),TRUE,M23)</f>
        <v>0</v>
      </c>
      <c r="R23" s="439" t="e">
        <f ca="1">IF(AND(NOT(ISBLANK(Jumpoverwrite2)),AND(NOT(Q23),AND(Q$4:Q22))),($J23*$G23-LN(1+Jumpoverwrite2*S$2))/$G23,_xll.qlInterpolationInterpolate(Q$3,$F23,TRUE))</f>
        <v>#NAME?</v>
      </c>
      <c r="S23" s="439" t="str">
        <f ca="1">IF(AND(NOT(Q23),AND(Q$4:Q22)),MIN(EXP((R23-$J23)*$G23),1),"")</f>
        <v/>
      </c>
      <c r="T23" s="428"/>
      <c r="U23" s="440" t="b">
        <f ca="1">IF(AND(NOT(Q23),AND(Q$4:Q22)),TRUE,Q23)</f>
        <v>0</v>
      </c>
      <c r="V23" s="439" t="e">
        <f ca="1">IF(AND(NOT(ISBLANK(Jumpoverwrite3)),AND(NOT(U23),AND(U$4:U22))),($J23*$G23-LN(1+Jumpoverwrite3*W$2))/$G23,_xll.qlInterpolationInterpolate(U$3,$F23,TRUE))</f>
        <v>#NAME?</v>
      </c>
      <c r="W23" s="439" t="str">
        <f ca="1">IF(AND(NOT(U23),AND(U$4:U22)),MIN(EXP((V23-$J23)*$G23),1),"")</f>
        <v/>
      </c>
      <c r="X23" s="428"/>
      <c r="Y23" s="440" t="b">
        <f ca="1">IF(AND(NOT(U23),AND(U$4:U22)),TRUE,U23)</f>
        <v>0</v>
      </c>
      <c r="Z23" s="439" t="e">
        <f ca="1">IF(AND(NOT(ISBLANK(Jumpoverwrite4)),AND(NOT(Y23),AND(Y$4:Y22))),($J23*$G23-LN(1+Jumpoverwrite4*AA$2))/$G23,_xll.qlInterpolationInterpolate(Y$3,$F23,TRUE))</f>
        <v>#NAME?</v>
      </c>
      <c r="AA23" s="439" t="str">
        <f ca="1">IF(AND(NOT(Y23),AND(Y$4:Y22)),MIN(EXP((Z23-$J23)*$G23),1),"")</f>
        <v/>
      </c>
      <c r="AB23" s="428"/>
      <c r="AC23" s="440" t="b">
        <f ca="1">IF(AND(NOT(Y23),AND(Y$4:Y22)),TRUE,Y23)</f>
        <v>0</v>
      </c>
      <c r="AD23" s="439" t="e">
        <f ca="1">IF(AND(NOT(ISBLANK(Jumpoverwrite5)),AND(NOT(AC23),AND(AC$4:AC22))),($J23*$G23-LN(1+Jumpoverwrite5*AE$2))/$G23,_xll.qlInterpolationInterpolate(AC$3,$F23,TRUE))</f>
        <v>#NAME?</v>
      </c>
      <c r="AE23" s="439" t="str">
        <f ca="1">IF(AND(NOT(AC23),AND(AC$4:AC22)),MIN(EXP((AD23-$J23)*$G23),1),"")</f>
        <v/>
      </c>
      <c r="AF23" s="428"/>
      <c r="AG23" s="440" t="b">
        <f ca="1">IF(AND(NOT(AC23),AND(AC$4:AC22)),TRUE,AC23)</f>
        <v>0</v>
      </c>
      <c r="AH23" s="439" t="e">
        <f ca="1">IF(AND(NOT(ISBLANK(Jumpoverwrite6)),AND(NOT(AG23),AND(AG$4:AG22))),($J23*$G23-LN(1+Jumpoverwrite6*AI$2))/$G23,_xll.qlInterpolationInterpolate(AG$3,$F23,TRUE))</f>
        <v>#NAME?</v>
      </c>
      <c r="AI23" s="439" t="str">
        <f ca="1">IF(AND(NOT(AG23),AND(AG$4:AG22)),MIN(EXP((AH23-$J23)*$G23),1),"")</f>
        <v/>
      </c>
      <c r="AJ23" s="428"/>
      <c r="AK23" s="440" t="b">
        <f ca="1">IF(AND(NOT(AG23),AND(AG$4:AG22)),TRUE,AG23)</f>
        <v>0</v>
      </c>
      <c r="AL23" s="439" t="e">
        <f ca="1">IF(AND(NOT(ISBLANK(Jumpoverwrite7)),AND(NOT(AK23),AND(AK$4:AK22))),($J23*$G23-LN(1+Jumpoverwrite7*AM$2))/$G23,_xll.qlInterpolationInterpolate(AK$3,$F23,TRUE))</f>
        <v>#NAME?</v>
      </c>
      <c r="AM23" s="439" t="str">
        <f ca="1">IF(AND(NOT(AK23),AND(AK$4:AK22)),MIN(EXP((AL23-$J23)*$G23),1),"")</f>
        <v/>
      </c>
      <c r="AO23" s="440" t="b">
        <f ca="1">IF(AND(NOT(AK23),AND(AK$4:AK22)),TRUE,AK23)</f>
        <v>0</v>
      </c>
      <c r="AP23" s="439" t="e">
        <f ca="1">IF(AND(NOT(ISBLANK(Jumpoverwrite8)),AND(NOT(AO23),AND(AO$4:AO22))),($J23*$G23-LN(1+Jumpoverwrite8*AQ$2))/$G23,_xll.qlInterpolationInterpolate(AO$3,$F23,TRUE))</f>
        <v>#NAME?</v>
      </c>
      <c r="AQ23" s="439" t="str">
        <f ca="1">IF(AND(NOT(AO23),AND(AO$4:AO22)),MIN(EXP((AP23-$J23)*$G23),1),"")</f>
        <v/>
      </c>
      <c r="AS23" s="440" t="b">
        <f ca="1">IF(AND(NOT(AO23),AND(AO$4:AO22)),TRUE,AO23)</f>
        <v>0</v>
      </c>
      <c r="AT23" s="439" t="e">
        <f ca="1">IF(AND(NOT(ISBLANK(Jumpoverwrite9)),AND(NOT(AS23),AND(AS$4:AS22))),($J23*$G23-LN(1+Jumpoverwrite9*AU$2))/$G23,_xll.qlInterpolationInterpolate(AS$3,$F23,TRUE))</f>
        <v>#NAME?</v>
      </c>
      <c r="AU23" s="439" t="str">
        <f ca="1">IF(AND(NOT(AS23),AND(AS$4:AS22)),MIN(EXP((AT23-$J23)*$G23),1),"")</f>
        <v/>
      </c>
      <c r="AW23" s="440" t="b">
        <f ca="1">IF(AND(NOT(AS23),AND(AS$4:AS22)),TRUE,AS23)</f>
        <v>0</v>
      </c>
      <c r="AX23" s="439" t="e">
        <f ca="1">IF(AND(NOT(ISBLANK(Jumpoverwrite10)),AND(NOT(AW23),AND(AW$4:AW22))),($J23*$G23-LN(1+Jumpoverwrite10*AY$2))/$G23,_xll.qlInterpolationInterpolate(AW$3,$F23,TRUE))</f>
        <v>#NAME?</v>
      </c>
      <c r="AY23" s="439" t="str">
        <f ca="1">IF(AND(NOT(AW23),AND(AW$4:AW22)),MIN(EXP((AX23-$J23)*$G23),1),"")</f>
        <v/>
      </c>
      <c r="BA23" s="440" t="b">
        <f ca="1">IF(AND(NOT(AW23),AND(AW$4:AW22)),TRUE,AW23)</f>
        <v>0</v>
      </c>
      <c r="BB23" s="439" t="e">
        <f ca="1">IF(AND(NOT(ISBLANK(Jumpoverwrite11)),AND(NOT(BA23),AND(BA$4:BA22))),($J23*$G23-LN(1+Jumpoverwrite11*BC$2))/$G23,_xll.qlInterpolationInterpolate(BA$3,$F23,TRUE))</f>
        <v>#NAME?</v>
      </c>
      <c r="BC23" s="439" t="str">
        <f ca="1">IF(AND(NOT(BA23),AND(BA$4:BA22)),MIN(EXP((BB23-$J23)*$G23),1),"")</f>
        <v/>
      </c>
      <c r="BE23" s="440" t="b">
        <f ca="1">IF(AND(NOT(BA23),AND(BA$4:BA22)),TRUE,BA23)</f>
        <v>0</v>
      </c>
      <c r="BF23" s="439" t="e">
        <f ca="1">IF(AND(NOT(ISBLANK(Jumpoverwrite12)),AND(NOT(BE23),AND(BE$4:BE22))),($J23*$G23-LN(1+Jumpoverwrite12*BG$2))/$G23,_xll.qlInterpolationInterpolate(BE$3,$F23,TRUE))</f>
        <v>#NAME?</v>
      </c>
      <c r="BG23" s="439" t="str">
        <f ca="1">IF(AND(NOT(BE23),AND(BE$4:BE22)),MIN(EXP((BF23-$J23)*$G23),1),"")</f>
        <v/>
      </c>
      <c r="BI23" s="440" t="b">
        <f t="shared" ca="1" si="3"/>
        <v>0</v>
      </c>
      <c r="BJ23" s="439" t="e">
        <f ca="1">IF(AND(NOT(ISBLANK(jumpoverwrite13)),AND(NOT(BI23),AND(BI$4:BI22))),($J23*$G23-LN(1+jumpoverwrite13*BK$2))/$G23,_xll.qlInterpolationInterpolate(BI$3,$F23,TRUE))</f>
        <v>#NAME?</v>
      </c>
      <c r="BK23" s="439" t="str">
        <f ca="1">IF(AND(NOT(BI23),AND(BI$4:BI22)),MIN(EXP((BJ23-$J23)*$G23),1),"")</f>
        <v/>
      </c>
    </row>
    <row r="24" spans="1:63" x14ac:dyDescent="0.2">
      <c r="A24" s="438" t="e">
        <f ca="1"/>
        <v>#NAME?</v>
      </c>
      <c r="B24" s="437" t="e">
        <f ca="1">_xll.qlRateHelperRate($A24,InterestRatesTrigger)</f>
        <v>#NAME?</v>
      </c>
      <c r="C24" s="436" t="e">
        <f ca="1">_xll.qlRateHelperEarliestDate($A24)</f>
        <v>#NAME?</v>
      </c>
      <c r="D24" s="435" t="e">
        <f ca="1">_xll.qlRateHelperPillarDate($A24)</f>
        <v>#NAME?</v>
      </c>
      <c r="F24" s="445" t="e">
        <f t="shared" ca="1" si="1"/>
        <v>#N/A</v>
      </c>
      <c r="G24" s="444" t="e">
        <f ca="1">_xll.qlDayCounterYearFraction(DayCounter,D23,D24)</f>
        <v>#NAME?</v>
      </c>
      <c r="I24" s="443" t="b">
        <f t="shared" ca="1" si="2"/>
        <v>0</v>
      </c>
      <c r="J24" s="442" t="e">
        <f ca="1"/>
        <v>#NAME?</v>
      </c>
      <c r="K24" s="441" t="e">
        <f t="shared" ca="1" si="0"/>
        <v>#NAME?</v>
      </c>
      <c r="L24" s="446"/>
      <c r="M24" s="440" t="b">
        <f ca="1">IF(AND(NOT(I24),AND(I$4:I23)),TRUE,I24)</f>
        <v>0</v>
      </c>
      <c r="N24" s="439" t="e">
        <f ca="1">IF(AND(NOT(ISBLANK(Jumpoverwrite1)),AND(NOT(M24),AND(M$4:M23))),($J24*$G24-LN(1+Jumpoverwrite1*O$2))/$G24,_xll.qlInterpolationInterpolate(M$3,$F24,TRUE))</f>
        <v>#NAME?</v>
      </c>
      <c r="O24" s="439" t="str">
        <f ca="1">IF(AND(NOT(M24),AND(M$4:M23)),MIN(EXP((N24-$J24)*$G24),1),"")</f>
        <v/>
      </c>
      <c r="P24" s="428"/>
      <c r="Q24" s="440" t="b">
        <f ca="1">IF(AND(NOT(M24),AND(M$4:M23)),TRUE,M24)</f>
        <v>0</v>
      </c>
      <c r="R24" s="439" t="e">
        <f ca="1">IF(AND(NOT(ISBLANK(Jumpoverwrite2)),AND(NOT(Q24),AND(Q$4:Q23))),($J24*$G24-LN(1+Jumpoverwrite2*S$2))/$G24,_xll.qlInterpolationInterpolate(Q$3,$F24,TRUE))</f>
        <v>#NAME?</v>
      </c>
      <c r="S24" s="439" t="str">
        <f ca="1">IF(AND(NOT(Q24),AND(Q$4:Q23)),MIN(EXP((R24-$J24)*$G24),1),"")</f>
        <v/>
      </c>
      <c r="T24" s="428"/>
      <c r="U24" s="440" t="b">
        <f ca="1">IF(AND(NOT(Q24),AND(Q$4:Q23)),TRUE,Q24)</f>
        <v>0</v>
      </c>
      <c r="V24" s="439" t="e">
        <f ca="1">IF(AND(NOT(ISBLANK(Jumpoverwrite3)),AND(NOT(U24),AND(U$4:U23))),($J24*$G24-LN(1+Jumpoverwrite3*W$2))/$G24,_xll.qlInterpolationInterpolate(U$3,$F24,TRUE))</f>
        <v>#NAME?</v>
      </c>
      <c r="W24" s="439" t="str">
        <f ca="1">IF(AND(NOT(U24),AND(U$4:U23)),MIN(EXP((V24-$J24)*$G24),1),"")</f>
        <v/>
      </c>
      <c r="X24" s="428"/>
      <c r="Y24" s="440" t="b">
        <f ca="1">IF(AND(NOT(U24),AND(U$4:U23)),TRUE,U24)</f>
        <v>0</v>
      </c>
      <c r="Z24" s="439" t="e">
        <f ca="1">IF(AND(NOT(ISBLANK(Jumpoverwrite4)),AND(NOT(Y24),AND(Y$4:Y23))),($J24*$G24-LN(1+Jumpoverwrite4*AA$2))/$G24,_xll.qlInterpolationInterpolate(Y$3,$F24,TRUE))</f>
        <v>#NAME?</v>
      </c>
      <c r="AA24" s="439" t="str">
        <f ca="1">IF(AND(NOT(Y24),AND(Y$4:Y23)),MIN(EXP((Z24-$J24)*$G24),1),"")</f>
        <v/>
      </c>
      <c r="AB24" s="428"/>
      <c r="AC24" s="440" t="b">
        <f ca="1">IF(AND(NOT(Y24),AND(Y$4:Y23)),TRUE,Y24)</f>
        <v>0</v>
      </c>
      <c r="AD24" s="439" t="e">
        <f ca="1">IF(AND(NOT(ISBLANK(Jumpoverwrite5)),AND(NOT(AC24),AND(AC$4:AC23))),($J24*$G24-LN(1+Jumpoverwrite5*AE$2))/$G24,_xll.qlInterpolationInterpolate(AC$3,$F24,TRUE))</f>
        <v>#NAME?</v>
      </c>
      <c r="AE24" s="439" t="str">
        <f ca="1">IF(AND(NOT(AC24),AND(AC$4:AC23)),MIN(EXP((AD24-$J24)*$G24),1),"")</f>
        <v/>
      </c>
      <c r="AF24" s="428"/>
      <c r="AG24" s="440" t="b">
        <f ca="1">IF(AND(NOT(AC24),AND(AC$4:AC23)),TRUE,AC24)</f>
        <v>0</v>
      </c>
      <c r="AH24" s="439" t="e">
        <f ca="1">IF(AND(NOT(ISBLANK(Jumpoverwrite6)),AND(NOT(AG24),AND(AG$4:AG23))),($J24*$G24-LN(1+Jumpoverwrite6*AI$2))/$G24,_xll.qlInterpolationInterpolate(AG$3,$F24,TRUE))</f>
        <v>#NAME?</v>
      </c>
      <c r="AI24" s="439" t="str">
        <f ca="1">IF(AND(NOT(AG24),AND(AG$4:AG23)),MIN(EXP((AH24-$J24)*$G24),1),"")</f>
        <v/>
      </c>
      <c r="AJ24" s="428"/>
      <c r="AK24" s="440" t="b">
        <f ca="1">IF(AND(NOT(AG24),AND(AG$4:AG23)),TRUE,AG24)</f>
        <v>0</v>
      </c>
      <c r="AL24" s="439" t="e">
        <f ca="1">IF(AND(NOT(ISBLANK(Jumpoverwrite7)),AND(NOT(AK24),AND(AK$4:AK23))),($J24*$G24-LN(1+Jumpoverwrite7*AM$2))/$G24,_xll.qlInterpolationInterpolate(AK$3,$F24,TRUE))</f>
        <v>#NAME?</v>
      </c>
      <c r="AM24" s="439" t="str">
        <f ca="1">IF(AND(NOT(AK24),AND(AK$4:AK23)),MIN(EXP((AL24-$J24)*$G24),1),"")</f>
        <v/>
      </c>
      <c r="AO24" s="440" t="b">
        <f ca="1">IF(AND(NOT(AK24),AND(AK$4:AK23)),TRUE,AK24)</f>
        <v>0</v>
      </c>
      <c r="AP24" s="439" t="e">
        <f ca="1">IF(AND(NOT(ISBLANK(Jumpoverwrite8)),AND(NOT(AO24),AND(AO$4:AO23))),($J24*$G24-LN(1+Jumpoverwrite8*AQ$2))/$G24,_xll.qlInterpolationInterpolate(AO$3,$F24,TRUE))</f>
        <v>#NAME?</v>
      </c>
      <c r="AQ24" s="439" t="str">
        <f ca="1">IF(AND(NOT(AO24),AND(AO$4:AO23)),MIN(EXP((AP24-$J24)*$G24),1),"")</f>
        <v/>
      </c>
      <c r="AS24" s="440" t="b">
        <f ca="1">IF(AND(NOT(AO24),AND(AO$4:AO23)),TRUE,AO24)</f>
        <v>0</v>
      </c>
      <c r="AT24" s="439" t="e">
        <f ca="1">IF(AND(NOT(ISBLANK(Jumpoverwrite9)),AND(NOT(AS24),AND(AS$4:AS23))),($J24*$G24-LN(1+Jumpoverwrite9*AU$2))/$G24,_xll.qlInterpolationInterpolate(AS$3,$F24,TRUE))</f>
        <v>#NAME?</v>
      </c>
      <c r="AU24" s="439" t="str">
        <f ca="1">IF(AND(NOT(AS24),AND(AS$4:AS23)),MIN(EXP((AT24-$J24)*$G24),1),"")</f>
        <v/>
      </c>
      <c r="AW24" s="440" t="b">
        <f ca="1">IF(AND(NOT(AS24),AND(AS$4:AS23)),TRUE,AS24)</f>
        <v>0</v>
      </c>
      <c r="AX24" s="439" t="e">
        <f ca="1">IF(AND(NOT(ISBLANK(Jumpoverwrite10)),AND(NOT(AW24),AND(AW$4:AW23))),($J24*$G24-LN(1+Jumpoverwrite10*AY$2))/$G24,_xll.qlInterpolationInterpolate(AW$3,$F24,TRUE))</f>
        <v>#NAME?</v>
      </c>
      <c r="AY24" s="439" t="str">
        <f ca="1">IF(AND(NOT(AW24),AND(AW$4:AW23)),MIN(EXP((AX24-$J24)*$G24),1),"")</f>
        <v/>
      </c>
      <c r="BA24" s="440" t="b">
        <f ca="1">IF(AND(NOT(AW24),AND(AW$4:AW23)),TRUE,AW24)</f>
        <v>0</v>
      </c>
      <c r="BB24" s="439" t="e">
        <f ca="1">IF(AND(NOT(ISBLANK(Jumpoverwrite11)),AND(NOT(BA24),AND(BA$4:BA23))),($J24*$G24-LN(1+Jumpoverwrite11*BC$2))/$G24,_xll.qlInterpolationInterpolate(BA$3,$F24,TRUE))</f>
        <v>#NAME?</v>
      </c>
      <c r="BC24" s="439" t="str">
        <f ca="1">IF(AND(NOT(BA24),AND(BA$4:BA23)),MIN(EXP((BB24-$J24)*$G24),1),"")</f>
        <v/>
      </c>
      <c r="BE24" s="440" t="b">
        <f ca="1">IF(AND(NOT(BA24),AND(BA$4:BA23)),TRUE,BA24)</f>
        <v>0</v>
      </c>
      <c r="BF24" s="439" t="e">
        <f ca="1">IF(AND(NOT(ISBLANK(Jumpoverwrite12)),AND(NOT(BE24),AND(BE$4:BE23))),($J24*$G24-LN(1+Jumpoverwrite12*BG$2))/$G24,_xll.qlInterpolationInterpolate(BE$3,$F24,TRUE))</f>
        <v>#NAME?</v>
      </c>
      <c r="BG24" s="439" t="str">
        <f ca="1">IF(AND(NOT(BE24),AND(BE$4:BE23)),MIN(EXP((BF24-$J24)*$G24),1),"")</f>
        <v/>
      </c>
      <c r="BI24" s="440" t="b">
        <f t="shared" ca="1" si="3"/>
        <v>0</v>
      </c>
      <c r="BJ24" s="439" t="e">
        <f ca="1">IF(AND(NOT(ISBLANK(jumpoverwrite13)),AND(NOT(BI24),AND(BI$4:BI23))),($J24*$G24-LN(1+jumpoverwrite13*BK$2))/$G24,_xll.qlInterpolationInterpolate(BI$3,$F24,TRUE))</f>
        <v>#NAME?</v>
      </c>
      <c r="BK24" s="439" t="str">
        <f ca="1">IF(AND(NOT(BI24),AND(BI$4:BI23)),MIN(EXP((BJ24-$J24)*$G24),1),"")</f>
        <v/>
      </c>
    </row>
    <row r="25" spans="1:63" x14ac:dyDescent="0.2">
      <c r="A25" s="438" t="e">
        <f ca="1"/>
        <v>#NAME?</v>
      </c>
      <c r="B25" s="437" t="e">
        <f ca="1">_xll.qlRateHelperRate($A25,InterestRatesTrigger)</f>
        <v>#NAME?</v>
      </c>
      <c r="C25" s="436" t="e">
        <f ca="1">_xll.qlRateHelperEarliestDate($A25)</f>
        <v>#NAME?</v>
      </c>
      <c r="D25" s="435" t="e">
        <f ca="1">_xll.qlRateHelperPillarDate($A25)</f>
        <v>#NAME?</v>
      </c>
      <c r="F25" s="445" t="e">
        <f t="shared" ca="1" si="1"/>
        <v>#N/A</v>
      </c>
      <c r="G25" s="444" t="e">
        <f ca="1">_xll.qlDayCounterYearFraction(DayCounter,D24,D25)</f>
        <v>#NAME?</v>
      </c>
      <c r="I25" s="443" t="b">
        <f t="shared" ca="1" si="2"/>
        <v>0</v>
      </c>
      <c r="J25" s="442" t="e">
        <f ca="1"/>
        <v>#NAME?</v>
      </c>
      <c r="K25" s="441" t="e">
        <f t="shared" ca="1" si="0"/>
        <v>#NAME?</v>
      </c>
      <c r="L25" s="446"/>
      <c r="M25" s="440" t="b">
        <f ca="1">IF(AND(NOT(I25),AND(I$4:I24)),TRUE,I25)</f>
        <v>0</v>
      </c>
      <c r="N25" s="439" t="e">
        <f ca="1">IF(AND(NOT(ISBLANK(Jumpoverwrite1)),AND(NOT(M25),AND(M$4:M24))),($J25*$G25-LN(1+Jumpoverwrite1*O$2))/$G25,_xll.qlInterpolationInterpolate(M$3,$F25,TRUE))</f>
        <v>#NAME?</v>
      </c>
      <c r="O25" s="439" t="str">
        <f ca="1">IF(AND(NOT(M25),AND(M$4:M24)),MIN(EXP((N25-$J25)*$G25),1),"")</f>
        <v/>
      </c>
      <c r="P25" s="428"/>
      <c r="Q25" s="440" t="b">
        <f ca="1">IF(AND(NOT(M25),AND(M$4:M24)),TRUE,M25)</f>
        <v>0</v>
      </c>
      <c r="R25" s="439" t="e">
        <f ca="1">IF(AND(NOT(ISBLANK(Jumpoverwrite2)),AND(NOT(Q25),AND(Q$4:Q24))),($J25*$G25-LN(1+Jumpoverwrite2*S$2))/$G25,_xll.qlInterpolationInterpolate(Q$3,$F25,TRUE))</f>
        <v>#NAME?</v>
      </c>
      <c r="S25" s="439" t="str">
        <f ca="1">IF(AND(NOT(Q25),AND(Q$4:Q24)),MIN(EXP((R25-$J25)*$G25),1),"")</f>
        <v/>
      </c>
      <c r="T25" s="428"/>
      <c r="U25" s="440" t="b">
        <f ca="1">IF(AND(NOT(Q25),AND(Q$4:Q24)),TRUE,Q25)</f>
        <v>0</v>
      </c>
      <c r="V25" s="439" t="e">
        <f ca="1">IF(AND(NOT(ISBLANK(Jumpoverwrite3)),AND(NOT(U25),AND(U$4:U24))),($J25*$G25-LN(1+Jumpoverwrite3*W$2))/$G25,_xll.qlInterpolationInterpolate(U$3,$F25,TRUE))</f>
        <v>#NAME?</v>
      </c>
      <c r="W25" s="439" t="str">
        <f ca="1">IF(AND(NOT(U25),AND(U$4:U24)),MIN(EXP((V25-$J25)*$G25),1),"")</f>
        <v/>
      </c>
      <c r="X25" s="428"/>
      <c r="Y25" s="440" t="b">
        <f ca="1">IF(AND(NOT(U25),AND(U$4:U24)),TRUE,U25)</f>
        <v>0</v>
      </c>
      <c r="Z25" s="439" t="e">
        <f ca="1">IF(AND(NOT(ISBLANK(Jumpoverwrite4)),AND(NOT(Y25),AND(Y$4:Y24))),($J25*$G25-LN(1+Jumpoverwrite4*AA$2))/$G25,_xll.qlInterpolationInterpolate(Y$3,$F25,TRUE))</f>
        <v>#NAME?</v>
      </c>
      <c r="AA25" s="439" t="str">
        <f ca="1">IF(AND(NOT(Y25),AND(Y$4:Y24)),MIN(EXP((Z25-$J25)*$G25),1),"")</f>
        <v/>
      </c>
      <c r="AB25" s="428"/>
      <c r="AC25" s="440" t="b">
        <f ca="1">IF(AND(NOT(Y25),AND(Y$4:Y24)),TRUE,Y25)</f>
        <v>0</v>
      </c>
      <c r="AD25" s="439" t="e">
        <f ca="1">IF(AND(NOT(ISBLANK(Jumpoverwrite5)),AND(NOT(AC25),AND(AC$4:AC24))),($J25*$G25-LN(1+Jumpoverwrite5*AE$2))/$G25,_xll.qlInterpolationInterpolate(AC$3,$F25,TRUE))</f>
        <v>#NAME?</v>
      </c>
      <c r="AE25" s="439" t="str">
        <f ca="1">IF(AND(NOT(AC25),AND(AC$4:AC24)),MIN(EXP((AD25-$J25)*$G25),1),"")</f>
        <v/>
      </c>
      <c r="AF25" s="428"/>
      <c r="AG25" s="440" t="b">
        <f ca="1">IF(AND(NOT(AC25),AND(AC$4:AC24)),TRUE,AC25)</f>
        <v>0</v>
      </c>
      <c r="AH25" s="439" t="e">
        <f ca="1">IF(AND(NOT(ISBLANK(Jumpoverwrite6)),AND(NOT(AG25),AND(AG$4:AG24))),($J25*$G25-LN(1+Jumpoverwrite6*AI$2))/$G25,_xll.qlInterpolationInterpolate(AG$3,$F25,TRUE))</f>
        <v>#NAME?</v>
      </c>
      <c r="AI25" s="439" t="str">
        <f ca="1">IF(AND(NOT(AG25),AND(AG$4:AG24)),MIN(EXP((AH25-$J25)*$G25),1),"")</f>
        <v/>
      </c>
      <c r="AJ25" s="428"/>
      <c r="AK25" s="440" t="b">
        <f ca="1">IF(AND(NOT(AG25),AND(AG$4:AG24)),TRUE,AG25)</f>
        <v>0</v>
      </c>
      <c r="AL25" s="439" t="e">
        <f ca="1">IF(AND(NOT(ISBLANK(Jumpoverwrite7)),AND(NOT(AK25),AND(AK$4:AK24))),($J25*$G25-LN(1+Jumpoverwrite7*AM$2))/$G25,_xll.qlInterpolationInterpolate(AK$3,$F25,TRUE))</f>
        <v>#NAME?</v>
      </c>
      <c r="AM25" s="439" t="str">
        <f ca="1">IF(AND(NOT(AK25),AND(AK$4:AK24)),MIN(EXP((AL25-$J25)*$G25),1),"")</f>
        <v/>
      </c>
      <c r="AO25" s="440" t="b">
        <f ca="1">IF(AND(NOT(AK25),AND(AK$4:AK24)),TRUE,AK25)</f>
        <v>0</v>
      </c>
      <c r="AP25" s="439" t="e">
        <f ca="1">IF(AND(NOT(ISBLANK(Jumpoverwrite8)),AND(NOT(AO25),AND(AO$4:AO24))),($J25*$G25-LN(1+Jumpoverwrite8*AQ$2))/$G25,_xll.qlInterpolationInterpolate(AO$3,$F25,TRUE))</f>
        <v>#NAME?</v>
      </c>
      <c r="AQ25" s="439" t="str">
        <f ca="1">IF(AND(NOT(AO25),AND(AO$4:AO24)),MIN(EXP((AP25-$J25)*$G25),1),"")</f>
        <v/>
      </c>
      <c r="AS25" s="440" t="b">
        <f ca="1">IF(AND(NOT(AO25),AND(AO$4:AO24)),TRUE,AO25)</f>
        <v>0</v>
      </c>
      <c r="AT25" s="439" t="e">
        <f ca="1">IF(AND(NOT(ISBLANK(Jumpoverwrite9)),AND(NOT(AS25),AND(AS$4:AS24))),($J25*$G25-LN(1+Jumpoverwrite9*AU$2))/$G25,_xll.qlInterpolationInterpolate(AS$3,$F25,TRUE))</f>
        <v>#NAME?</v>
      </c>
      <c r="AU25" s="439" t="str">
        <f ca="1">IF(AND(NOT(AS25),AND(AS$4:AS24)),MIN(EXP((AT25-$J25)*$G25),1),"")</f>
        <v/>
      </c>
      <c r="AW25" s="440" t="b">
        <f ca="1">IF(AND(NOT(AS25),AND(AS$4:AS24)),TRUE,AS25)</f>
        <v>0</v>
      </c>
      <c r="AX25" s="439" t="e">
        <f ca="1">IF(AND(NOT(ISBLANK(Jumpoverwrite10)),AND(NOT(AW25),AND(AW$4:AW24))),($J25*$G25-LN(1+Jumpoverwrite10*AY$2))/$G25,_xll.qlInterpolationInterpolate(AW$3,$F25,TRUE))</f>
        <v>#NAME?</v>
      </c>
      <c r="AY25" s="439" t="str">
        <f ca="1">IF(AND(NOT(AW25),AND(AW$4:AW24)),MIN(EXP((AX25-$J25)*$G25),1),"")</f>
        <v/>
      </c>
      <c r="BA25" s="440" t="b">
        <f ca="1">IF(AND(NOT(AW25),AND(AW$4:AW24)),TRUE,AW25)</f>
        <v>0</v>
      </c>
      <c r="BB25" s="439" t="e">
        <f ca="1">IF(AND(NOT(ISBLANK(Jumpoverwrite11)),AND(NOT(BA25),AND(BA$4:BA24))),($J25*$G25-LN(1+Jumpoverwrite11*BC$2))/$G25,_xll.qlInterpolationInterpolate(BA$3,$F25,TRUE))</f>
        <v>#NAME?</v>
      </c>
      <c r="BC25" s="439" t="str">
        <f ca="1">IF(AND(NOT(BA25),AND(BA$4:BA24)),MIN(EXP((BB25-$J25)*$G25),1),"")</f>
        <v/>
      </c>
      <c r="BE25" s="440" t="b">
        <f ca="1">IF(AND(NOT(BA25),AND(BA$4:BA24)),TRUE,BA25)</f>
        <v>0</v>
      </c>
      <c r="BF25" s="439" t="e">
        <f ca="1">IF(AND(NOT(ISBLANK(Jumpoverwrite12)),AND(NOT(BE25),AND(BE$4:BE24))),($J25*$G25-LN(1+Jumpoverwrite12*BG$2))/$G25,_xll.qlInterpolationInterpolate(BE$3,$F25,TRUE))</f>
        <v>#NAME?</v>
      </c>
      <c r="BG25" s="439" t="str">
        <f ca="1">IF(AND(NOT(BE25),AND(BE$4:BE24)),MIN(EXP((BF25-$J25)*$G25),1),"")</f>
        <v/>
      </c>
      <c r="BI25" s="440" t="b">
        <f t="shared" ca="1" si="3"/>
        <v>0</v>
      </c>
      <c r="BJ25" s="439" t="e">
        <f ca="1">IF(AND(NOT(ISBLANK(jumpoverwrite13)),AND(NOT(BI25),AND(BI$4:BI24))),($J25*$G25-LN(1+jumpoverwrite13*BK$2))/$G25,_xll.qlInterpolationInterpolate(BI$3,$F25,TRUE))</f>
        <v>#NAME?</v>
      </c>
      <c r="BK25" s="439" t="str">
        <f ca="1">IF(AND(NOT(BI25),AND(BI$4:BI24)),MIN(EXP((BJ25-$J25)*$G25),1),"")</f>
        <v/>
      </c>
    </row>
    <row r="26" spans="1:63" x14ac:dyDescent="0.2">
      <c r="A26" s="438" t="e">
        <f ca="1"/>
        <v>#NAME?</v>
      </c>
      <c r="B26" s="437" t="e">
        <f ca="1">_xll.qlRateHelperRate($A26,InterestRatesTrigger)</f>
        <v>#NAME?</v>
      </c>
      <c r="C26" s="436" t="e">
        <f ca="1">_xll.qlRateHelperEarliestDate($A26)</f>
        <v>#NAME?</v>
      </c>
      <c r="D26" s="435" t="e">
        <f ca="1">_xll.qlRateHelperPillarDate($A26)</f>
        <v>#NAME?</v>
      </c>
      <c r="F26" s="445" t="e">
        <f t="shared" ca="1" si="1"/>
        <v>#N/A</v>
      </c>
      <c r="G26" s="444" t="e">
        <f ca="1">_xll.qlDayCounterYearFraction(DayCounter,D25,D26)</f>
        <v>#NAME?</v>
      </c>
      <c r="I26" s="443" t="b">
        <f t="shared" ca="1" si="2"/>
        <v>0</v>
      </c>
      <c r="J26" s="442" t="e">
        <f ca="1"/>
        <v>#NAME?</v>
      </c>
      <c r="K26" s="441" t="e">
        <f t="shared" ca="1" si="0"/>
        <v>#NAME?</v>
      </c>
      <c r="L26" s="446"/>
      <c r="M26" s="440" t="b">
        <f ca="1">IF(AND(NOT(I26),AND(I$4:I25)),TRUE,I26)</f>
        <v>0</v>
      </c>
      <c r="N26" s="439" t="e">
        <f ca="1">IF(AND(NOT(ISBLANK(Jumpoverwrite1)),AND(NOT(M26),AND(M$4:M25))),($J26*$G26-LN(1+Jumpoverwrite1*O$2))/$G26,_xll.qlInterpolationInterpolate(M$3,$F26,TRUE))</f>
        <v>#NAME?</v>
      </c>
      <c r="O26" s="439" t="str">
        <f ca="1">IF(AND(NOT(M26),AND(M$4:M25)),MIN(EXP((N26-$J26)*$G26),1),"")</f>
        <v/>
      </c>
      <c r="P26" s="428"/>
      <c r="Q26" s="440" t="b">
        <f ca="1">IF(AND(NOT(M26),AND(M$4:M25)),TRUE,M26)</f>
        <v>0</v>
      </c>
      <c r="R26" s="439" t="e">
        <f ca="1">IF(AND(NOT(ISBLANK(Jumpoverwrite2)),AND(NOT(Q26),AND(Q$4:Q25))),($J26*$G26-LN(1+Jumpoverwrite2*S$2))/$G26,_xll.qlInterpolationInterpolate(Q$3,$F26,TRUE))</f>
        <v>#NAME?</v>
      </c>
      <c r="S26" s="439" t="str">
        <f ca="1">IF(AND(NOT(Q26),AND(Q$4:Q25)),MIN(EXP((R26-$J26)*$G26),1),"")</f>
        <v/>
      </c>
      <c r="T26" s="428"/>
      <c r="U26" s="440" t="b">
        <f ca="1">IF(AND(NOT(Q26),AND(Q$4:Q25)),TRUE,Q26)</f>
        <v>0</v>
      </c>
      <c r="V26" s="439" t="e">
        <f ca="1">IF(AND(NOT(ISBLANK(Jumpoverwrite3)),AND(NOT(U26),AND(U$4:U25))),($J26*$G26-LN(1+Jumpoverwrite3*W$2))/$G26,_xll.qlInterpolationInterpolate(U$3,$F26,TRUE))</f>
        <v>#NAME?</v>
      </c>
      <c r="W26" s="439" t="str">
        <f ca="1">IF(AND(NOT(U26),AND(U$4:U25)),MIN(EXP((V26-$J26)*$G26),1),"")</f>
        <v/>
      </c>
      <c r="X26" s="428"/>
      <c r="Y26" s="440" t="b">
        <f ca="1">IF(AND(NOT(U26),AND(U$4:U25)),TRUE,U26)</f>
        <v>0</v>
      </c>
      <c r="Z26" s="439" t="e">
        <f ca="1">IF(AND(NOT(ISBLANK(Jumpoverwrite4)),AND(NOT(Y26),AND(Y$4:Y25))),($J26*$G26-LN(1+Jumpoverwrite4*AA$2))/$G26,_xll.qlInterpolationInterpolate(Y$3,$F26,TRUE))</f>
        <v>#NAME?</v>
      </c>
      <c r="AA26" s="439" t="str">
        <f ca="1">IF(AND(NOT(Y26),AND(Y$4:Y25)),MIN(EXP((Z26-$J26)*$G26),1),"")</f>
        <v/>
      </c>
      <c r="AB26" s="428"/>
      <c r="AC26" s="440" t="b">
        <f ca="1">IF(AND(NOT(Y26),AND(Y$4:Y25)),TRUE,Y26)</f>
        <v>0</v>
      </c>
      <c r="AD26" s="439" t="e">
        <f ca="1">IF(AND(NOT(ISBLANK(Jumpoverwrite5)),AND(NOT(AC26),AND(AC$4:AC25))),($J26*$G26-LN(1+Jumpoverwrite5*AE$2))/$G26,_xll.qlInterpolationInterpolate(AC$3,$F26,TRUE))</f>
        <v>#NAME?</v>
      </c>
      <c r="AE26" s="439" t="str">
        <f ca="1">IF(AND(NOT(AC26),AND(AC$4:AC25)),MIN(EXP((AD26-$J26)*$G26),1),"")</f>
        <v/>
      </c>
      <c r="AF26" s="428"/>
      <c r="AG26" s="440" t="b">
        <f ca="1">IF(AND(NOT(AC26),AND(AC$4:AC25)),TRUE,AC26)</f>
        <v>0</v>
      </c>
      <c r="AH26" s="439" t="e">
        <f ca="1">IF(AND(NOT(ISBLANK(Jumpoverwrite6)),AND(NOT(AG26),AND(AG$4:AG25))),($J26*$G26-LN(1+Jumpoverwrite6*AI$2))/$G26,_xll.qlInterpolationInterpolate(AG$3,$F26,TRUE))</f>
        <v>#NAME?</v>
      </c>
      <c r="AI26" s="439" t="str">
        <f ca="1">IF(AND(NOT(AG26),AND(AG$4:AG25)),MIN(EXP((AH26-$J26)*$G26),1),"")</f>
        <v/>
      </c>
      <c r="AJ26" s="428"/>
      <c r="AK26" s="440" t="b">
        <f ca="1">IF(AND(NOT(AG26),AND(AG$4:AG25)),TRUE,AG26)</f>
        <v>0</v>
      </c>
      <c r="AL26" s="439" t="e">
        <f ca="1">IF(AND(NOT(ISBLANK(Jumpoverwrite7)),AND(NOT(AK26),AND(AK$4:AK25))),($J26*$G26-LN(1+Jumpoverwrite7*AM$2))/$G26,_xll.qlInterpolationInterpolate(AK$3,$F26,TRUE))</f>
        <v>#NAME?</v>
      </c>
      <c r="AM26" s="439" t="str">
        <f ca="1">IF(AND(NOT(AK26),AND(AK$4:AK25)),MIN(EXP((AL26-$J26)*$G26),1),"")</f>
        <v/>
      </c>
      <c r="AO26" s="440" t="b">
        <f ca="1">IF(AND(NOT(AK26),AND(AK$4:AK25)),TRUE,AK26)</f>
        <v>0</v>
      </c>
      <c r="AP26" s="439" t="e">
        <f ca="1">IF(AND(NOT(ISBLANK(Jumpoverwrite8)),AND(NOT(AO26),AND(AO$4:AO25))),($J26*$G26-LN(1+Jumpoverwrite8*AQ$2))/$G26,_xll.qlInterpolationInterpolate(AO$3,$F26,TRUE))</f>
        <v>#NAME?</v>
      </c>
      <c r="AQ26" s="439" t="str">
        <f ca="1">IF(AND(NOT(AO26),AND(AO$4:AO25)),MIN(EXP((AP26-$J26)*$G26),1),"")</f>
        <v/>
      </c>
      <c r="AS26" s="440" t="b">
        <f ca="1">IF(AND(NOT(AO26),AND(AO$4:AO25)),TRUE,AO26)</f>
        <v>0</v>
      </c>
      <c r="AT26" s="439" t="e">
        <f ca="1">IF(AND(NOT(ISBLANK(Jumpoverwrite9)),AND(NOT(AS26),AND(AS$4:AS25))),($J26*$G26-LN(1+Jumpoverwrite9*AU$2))/$G26,_xll.qlInterpolationInterpolate(AS$3,$F26,TRUE))</f>
        <v>#NAME?</v>
      </c>
      <c r="AU26" s="439" t="str">
        <f ca="1">IF(AND(NOT(AS26),AND(AS$4:AS25)),MIN(EXP((AT26-$J26)*$G26),1),"")</f>
        <v/>
      </c>
      <c r="AW26" s="440" t="b">
        <f ca="1">IF(AND(NOT(AS26),AND(AS$4:AS25)),TRUE,AS26)</f>
        <v>0</v>
      </c>
      <c r="AX26" s="439" t="e">
        <f ca="1">IF(AND(NOT(ISBLANK(Jumpoverwrite10)),AND(NOT(AW26),AND(AW$4:AW25))),($J26*$G26-LN(1+Jumpoverwrite10*AY$2))/$G26,_xll.qlInterpolationInterpolate(AW$3,$F26,TRUE))</f>
        <v>#NAME?</v>
      </c>
      <c r="AY26" s="439" t="str">
        <f ca="1">IF(AND(NOT(AW26),AND(AW$4:AW25)),MIN(EXP((AX26-$J26)*$G26),1),"")</f>
        <v/>
      </c>
      <c r="BA26" s="440" t="b">
        <f ca="1">IF(AND(NOT(AW26),AND(AW$4:AW25)),TRUE,AW26)</f>
        <v>0</v>
      </c>
      <c r="BB26" s="439" t="e">
        <f ca="1">IF(AND(NOT(ISBLANK(Jumpoverwrite11)),AND(NOT(BA26),AND(BA$4:BA25))),($J26*$G26-LN(1+Jumpoverwrite11*BC$2))/$G26,_xll.qlInterpolationInterpolate(BA$3,$F26,TRUE))</f>
        <v>#NAME?</v>
      </c>
      <c r="BC26" s="439" t="str">
        <f ca="1">IF(AND(NOT(BA26),AND(BA$4:BA25)),MIN(EXP((BB26-$J26)*$G26),1),"")</f>
        <v/>
      </c>
      <c r="BE26" s="440" t="b">
        <f ca="1">IF(AND(NOT(BA26),AND(BA$4:BA25)),TRUE,BA26)</f>
        <v>0</v>
      </c>
      <c r="BF26" s="439" t="e">
        <f ca="1">IF(AND(NOT(ISBLANK(Jumpoverwrite12)),AND(NOT(BE26),AND(BE$4:BE25))),($J26*$G26-LN(1+Jumpoverwrite12*BG$2))/$G26,_xll.qlInterpolationInterpolate(BE$3,$F26,TRUE))</f>
        <v>#NAME?</v>
      </c>
      <c r="BG26" s="439" t="str">
        <f ca="1">IF(AND(NOT(BE26),AND(BE$4:BE25)),MIN(EXP((BF26-$J26)*$G26),1),"")</f>
        <v/>
      </c>
      <c r="BI26" s="440" t="b">
        <f t="shared" ca="1" si="3"/>
        <v>0</v>
      </c>
      <c r="BJ26" s="439" t="e">
        <f ca="1">IF(AND(NOT(ISBLANK(jumpoverwrite13)),AND(NOT(BI26),AND(BI$4:BI25))),($J26*$G26-LN(1+jumpoverwrite13*BK$2))/$G26,_xll.qlInterpolationInterpolate(BI$3,$F26,TRUE))</f>
        <v>#NAME?</v>
      </c>
      <c r="BK26" s="439" t="str">
        <f ca="1">IF(AND(NOT(BI26),AND(BI$4:BI25)),MIN(EXP((BJ26-$J26)*$G26),1),"")</f>
        <v/>
      </c>
    </row>
    <row r="27" spans="1:63" x14ac:dyDescent="0.2">
      <c r="A27" s="438" t="e">
        <f ca="1"/>
        <v>#NAME?</v>
      </c>
      <c r="B27" s="437" t="e">
        <f ca="1">_xll.qlRateHelperRate($A27,InterestRatesTrigger)</f>
        <v>#NAME?</v>
      </c>
      <c r="C27" s="436" t="e">
        <f ca="1">_xll.qlRateHelperEarliestDate($A27)</f>
        <v>#NAME?</v>
      </c>
      <c r="D27" s="435" t="e">
        <f ca="1">_xll.qlRateHelperPillarDate($A27)</f>
        <v>#NAME?</v>
      </c>
      <c r="F27" s="445" t="e">
        <f t="shared" ca="1" si="1"/>
        <v>#N/A</v>
      </c>
      <c r="G27" s="444" t="e">
        <f ca="1">_xll.qlDayCounterYearFraction(DayCounter,D26,D27)</f>
        <v>#NAME?</v>
      </c>
      <c r="I27" s="443" t="b">
        <f t="shared" ca="1" si="2"/>
        <v>0</v>
      </c>
      <c r="J27" s="442" t="e">
        <f ca="1"/>
        <v>#NAME?</v>
      </c>
      <c r="K27" s="441" t="e">
        <f t="shared" ca="1" si="0"/>
        <v>#NAME?</v>
      </c>
      <c r="L27" s="446"/>
      <c r="M27" s="440" t="b">
        <f ca="1">IF(AND(NOT(I27),AND(I$4:I26)),TRUE,I27)</f>
        <v>0</v>
      </c>
      <c r="N27" s="439" t="e">
        <f ca="1">IF(AND(NOT(ISBLANK(Jumpoverwrite1)),AND(NOT(M27),AND(M$4:M26))),($J27*$G27-LN(1+Jumpoverwrite1*O$2))/$G27,_xll.qlInterpolationInterpolate(M$3,$F27,TRUE))</f>
        <v>#NAME?</v>
      </c>
      <c r="O27" s="439" t="str">
        <f ca="1">IF(AND(NOT(M27),AND(M$4:M26)),MIN(EXP((N27-$J27)*$G27),1),"")</f>
        <v/>
      </c>
      <c r="P27" s="428"/>
      <c r="Q27" s="440" t="b">
        <f ca="1">IF(AND(NOT(M27),AND(M$4:M26)),TRUE,M27)</f>
        <v>0</v>
      </c>
      <c r="R27" s="439" t="e">
        <f ca="1">IF(AND(NOT(ISBLANK(Jumpoverwrite2)),AND(NOT(Q27),AND(Q$4:Q26))),($J27*$G27-LN(1+Jumpoverwrite2*S$2))/$G27,_xll.qlInterpolationInterpolate(Q$3,$F27,TRUE))</f>
        <v>#NAME?</v>
      </c>
      <c r="S27" s="439" t="str">
        <f ca="1">IF(AND(NOT(Q27),AND(Q$4:Q26)),MIN(EXP((R27-$J27)*$G27),1),"")</f>
        <v/>
      </c>
      <c r="T27" s="428"/>
      <c r="U27" s="440" t="b">
        <f ca="1">IF(AND(NOT(Q27),AND(Q$4:Q26)),TRUE,Q27)</f>
        <v>0</v>
      </c>
      <c r="V27" s="439" t="e">
        <f ca="1">IF(AND(NOT(ISBLANK(Jumpoverwrite3)),AND(NOT(U27),AND(U$4:U26))),($J27*$G27-LN(1+Jumpoverwrite3*W$2))/$G27,_xll.qlInterpolationInterpolate(U$3,$F27,TRUE))</f>
        <v>#NAME?</v>
      </c>
      <c r="W27" s="439" t="str">
        <f ca="1">IF(AND(NOT(U27),AND(U$4:U26)),MIN(EXP((V27-$J27)*$G27),1),"")</f>
        <v/>
      </c>
      <c r="X27" s="428"/>
      <c r="Y27" s="440" t="b">
        <f ca="1">IF(AND(NOT(U27),AND(U$4:U26)),TRUE,U27)</f>
        <v>0</v>
      </c>
      <c r="Z27" s="439" t="e">
        <f ca="1">IF(AND(NOT(ISBLANK(Jumpoverwrite4)),AND(NOT(Y27),AND(Y$4:Y26))),($J27*$G27-LN(1+Jumpoverwrite4*AA$2))/$G27,_xll.qlInterpolationInterpolate(Y$3,$F27,TRUE))</f>
        <v>#NAME?</v>
      </c>
      <c r="AA27" s="439" t="str">
        <f ca="1">IF(AND(NOT(Y27),AND(Y$4:Y26)),MIN(EXP((Z27-$J27)*$G27),1),"")</f>
        <v/>
      </c>
      <c r="AB27" s="428"/>
      <c r="AC27" s="440" t="b">
        <f ca="1">IF(AND(NOT(Y27),AND(Y$4:Y26)),TRUE,Y27)</f>
        <v>0</v>
      </c>
      <c r="AD27" s="439" t="e">
        <f ca="1">IF(AND(NOT(ISBLANK(Jumpoverwrite5)),AND(NOT(AC27),AND(AC$4:AC26))),($J27*$G27-LN(1+Jumpoverwrite5*AE$2))/$G27,_xll.qlInterpolationInterpolate(AC$3,$F27,TRUE))</f>
        <v>#NAME?</v>
      </c>
      <c r="AE27" s="439" t="str">
        <f ca="1">IF(AND(NOT(AC27),AND(AC$4:AC26)),MIN(EXP((AD27-$J27)*$G27),1),"")</f>
        <v/>
      </c>
      <c r="AF27" s="428"/>
      <c r="AG27" s="440" t="b">
        <f ca="1">IF(AND(NOT(AC27),AND(AC$4:AC26)),TRUE,AC27)</f>
        <v>0</v>
      </c>
      <c r="AH27" s="439" t="e">
        <f ca="1">IF(AND(NOT(ISBLANK(Jumpoverwrite6)),AND(NOT(AG27),AND(AG$4:AG26))),($J27*$G27-LN(1+Jumpoverwrite6*AI$2))/$G27,_xll.qlInterpolationInterpolate(AG$3,$F27,TRUE))</f>
        <v>#NAME?</v>
      </c>
      <c r="AI27" s="439" t="str">
        <f ca="1">IF(AND(NOT(AG27),AND(AG$4:AG26)),MIN(EXP((AH27-$J27)*$G27),1),"")</f>
        <v/>
      </c>
      <c r="AJ27" s="428"/>
      <c r="AK27" s="440" t="b">
        <f ca="1">IF(AND(NOT(AG27),AND(AG$4:AG26)),TRUE,AG27)</f>
        <v>0</v>
      </c>
      <c r="AL27" s="439" t="e">
        <f ca="1">IF(AND(NOT(ISBLANK(Jumpoverwrite7)),AND(NOT(AK27),AND(AK$4:AK26))),($J27*$G27-LN(1+Jumpoverwrite7*AM$2))/$G27,_xll.qlInterpolationInterpolate(AK$3,$F27,TRUE))</f>
        <v>#NAME?</v>
      </c>
      <c r="AM27" s="439" t="str">
        <f ca="1">IF(AND(NOT(AK27),AND(AK$4:AK26)),MIN(EXP((AL27-$J27)*$G27),1),"")</f>
        <v/>
      </c>
      <c r="AO27" s="440" t="b">
        <f ca="1">IF(AND(NOT(AK27),AND(AK$4:AK26)),TRUE,AK27)</f>
        <v>0</v>
      </c>
      <c r="AP27" s="439" t="e">
        <f ca="1">IF(AND(NOT(ISBLANK(Jumpoverwrite8)),AND(NOT(AO27),AND(AO$4:AO26))),($J27*$G27-LN(1+Jumpoverwrite8*AQ$2))/$G27,_xll.qlInterpolationInterpolate(AO$3,$F27,TRUE))</f>
        <v>#NAME?</v>
      </c>
      <c r="AQ27" s="439" t="str">
        <f ca="1">IF(AND(NOT(AO27),AND(AO$4:AO26)),MIN(EXP((AP27-$J27)*$G27),1),"")</f>
        <v/>
      </c>
      <c r="AS27" s="440" t="b">
        <f ca="1">IF(AND(NOT(AO27),AND(AO$4:AO26)),TRUE,AO27)</f>
        <v>0</v>
      </c>
      <c r="AT27" s="439" t="e">
        <f ca="1">IF(AND(NOT(ISBLANK(Jumpoverwrite9)),AND(NOT(AS27),AND(AS$4:AS26))),($J27*$G27-LN(1+Jumpoverwrite9*AU$2))/$G27,_xll.qlInterpolationInterpolate(AS$3,$F27,TRUE))</f>
        <v>#NAME?</v>
      </c>
      <c r="AU27" s="439" t="str">
        <f ca="1">IF(AND(NOT(AS27),AND(AS$4:AS26)),MIN(EXP((AT27-$J27)*$G27),1),"")</f>
        <v/>
      </c>
      <c r="AW27" s="440" t="b">
        <f ca="1">IF(AND(NOT(AS27),AND(AS$4:AS26)),TRUE,AS27)</f>
        <v>0</v>
      </c>
      <c r="AX27" s="439" t="e">
        <f ca="1">IF(AND(NOT(ISBLANK(Jumpoverwrite10)),AND(NOT(AW27),AND(AW$4:AW26))),($J27*$G27-LN(1+Jumpoverwrite10*AY$2))/$G27,_xll.qlInterpolationInterpolate(AW$3,$F27,TRUE))</f>
        <v>#NAME?</v>
      </c>
      <c r="AY27" s="439" t="str">
        <f ca="1">IF(AND(NOT(AW27),AND(AW$4:AW26)),MIN(EXP((AX27-$J27)*$G27),1),"")</f>
        <v/>
      </c>
      <c r="BA27" s="440" t="b">
        <f ca="1">IF(AND(NOT(AW27),AND(AW$4:AW26)),TRUE,AW27)</f>
        <v>0</v>
      </c>
      <c r="BB27" s="439" t="e">
        <f ca="1">IF(AND(NOT(ISBLANK(Jumpoverwrite11)),AND(NOT(BA27),AND(BA$4:BA26))),($J27*$G27-LN(1+Jumpoverwrite11*BC$2))/$G27,_xll.qlInterpolationInterpolate(BA$3,$F27,TRUE))</f>
        <v>#NAME?</v>
      </c>
      <c r="BC27" s="439" t="str">
        <f ca="1">IF(AND(NOT(BA27),AND(BA$4:BA26)),MIN(EXP((BB27-$J27)*$G27),1),"")</f>
        <v/>
      </c>
      <c r="BE27" s="440" t="b">
        <f ca="1">IF(AND(NOT(BA27),AND(BA$4:BA26)),TRUE,BA27)</f>
        <v>0</v>
      </c>
      <c r="BF27" s="439" t="e">
        <f ca="1">IF(AND(NOT(ISBLANK(Jumpoverwrite12)),AND(NOT(BE27),AND(BE$4:BE26))),($J27*$G27-LN(1+Jumpoverwrite12*BG$2))/$G27,_xll.qlInterpolationInterpolate(BE$3,$F27,TRUE))</f>
        <v>#NAME?</v>
      </c>
      <c r="BG27" s="439" t="str">
        <f ca="1">IF(AND(NOT(BE27),AND(BE$4:BE26)),MIN(EXP((BF27-$J27)*$G27),1),"")</f>
        <v/>
      </c>
      <c r="BI27" s="440" t="b">
        <f t="shared" ca="1" si="3"/>
        <v>0</v>
      </c>
      <c r="BJ27" s="439" t="e">
        <f ca="1">IF(AND(NOT(ISBLANK(jumpoverwrite13)),AND(NOT(BI27),AND(BI$4:BI26))),($J27*$G27-LN(1+jumpoverwrite13*BK$2))/$G27,_xll.qlInterpolationInterpolate(BI$3,$F27,TRUE))</f>
        <v>#NAME?</v>
      </c>
      <c r="BK27" s="439" t="str">
        <f ca="1">IF(AND(NOT(BI27),AND(BI$4:BI26)),MIN(EXP((BJ27-$J27)*$G27),1),"")</f>
        <v/>
      </c>
    </row>
    <row r="28" spans="1:63" x14ac:dyDescent="0.2">
      <c r="A28" s="438" t="e">
        <f ca="1"/>
        <v>#NAME?</v>
      </c>
      <c r="B28" s="437" t="e">
        <f ca="1">_xll.qlRateHelperRate($A28,InterestRatesTrigger)</f>
        <v>#NAME?</v>
      </c>
      <c r="C28" s="436" t="e">
        <f ca="1">_xll.qlRateHelperEarliestDate($A28)</f>
        <v>#NAME?</v>
      </c>
      <c r="D28" s="435" t="e">
        <f ca="1">_xll.qlRateHelperPillarDate($A28)</f>
        <v>#NAME?</v>
      </c>
      <c r="F28" s="445" t="e">
        <f t="shared" ca="1" si="1"/>
        <v>#N/A</v>
      </c>
      <c r="G28" s="444" t="e">
        <f ca="1">_xll.qlDayCounterYearFraction(DayCounter,D27,D28)</f>
        <v>#NAME?</v>
      </c>
      <c r="I28" s="443" t="b">
        <f t="shared" ca="1" si="2"/>
        <v>0</v>
      </c>
      <c r="J28" s="442" t="e">
        <f ca="1"/>
        <v>#NAME?</v>
      </c>
      <c r="K28" s="441" t="e">
        <f t="shared" ca="1" si="0"/>
        <v>#NAME?</v>
      </c>
      <c r="L28" s="446"/>
      <c r="M28" s="440" t="b">
        <f ca="1">IF(AND(NOT(I28),AND(I$4:I27)),TRUE,I28)</f>
        <v>0</v>
      </c>
      <c r="N28" s="439" t="e">
        <f ca="1">IF(AND(NOT(ISBLANK(Jumpoverwrite1)),AND(NOT(M28),AND(M$4:M27))),($J28*$G28-LN(1+Jumpoverwrite1*O$2))/$G28,_xll.qlInterpolationInterpolate(M$3,$F28,TRUE))</f>
        <v>#NAME?</v>
      </c>
      <c r="O28" s="439" t="str">
        <f ca="1">IF(AND(NOT(M28),AND(M$4:M27)),MIN(EXP((N28-$J28)*$G28),1),"")</f>
        <v/>
      </c>
      <c r="P28" s="428"/>
      <c r="Q28" s="440" t="b">
        <f ca="1">IF(AND(NOT(M28),AND(M$4:M27)),TRUE,M28)</f>
        <v>0</v>
      </c>
      <c r="R28" s="439" t="e">
        <f ca="1">IF(AND(NOT(ISBLANK(Jumpoverwrite2)),AND(NOT(Q28),AND(Q$4:Q27))),($J28*$G28-LN(1+Jumpoverwrite2*S$2))/$G28,_xll.qlInterpolationInterpolate(Q$3,$F28,TRUE))</f>
        <v>#NAME?</v>
      </c>
      <c r="S28" s="439" t="str">
        <f ca="1">IF(AND(NOT(Q28),AND(Q$4:Q27)),MIN(EXP((R28-$J28)*$G28),1),"")</f>
        <v/>
      </c>
      <c r="T28" s="428"/>
      <c r="U28" s="440" t="b">
        <f ca="1">IF(AND(NOT(Q28),AND(Q$4:Q27)),TRUE,Q28)</f>
        <v>0</v>
      </c>
      <c r="V28" s="439" t="e">
        <f ca="1">IF(AND(NOT(ISBLANK(Jumpoverwrite3)),AND(NOT(U28),AND(U$4:U27))),($J28*$G28-LN(1+Jumpoverwrite3*W$2))/$G28,_xll.qlInterpolationInterpolate(U$3,$F28,TRUE))</f>
        <v>#NAME?</v>
      </c>
      <c r="W28" s="439" t="str">
        <f ca="1">IF(AND(NOT(U28),AND(U$4:U27)),MIN(EXP((V28-$J28)*$G28),1),"")</f>
        <v/>
      </c>
      <c r="X28" s="428"/>
      <c r="Y28" s="440" t="b">
        <f ca="1">IF(AND(NOT(U28),AND(U$4:U27)),TRUE,U28)</f>
        <v>0</v>
      </c>
      <c r="Z28" s="439" t="e">
        <f ca="1">IF(AND(NOT(ISBLANK(Jumpoverwrite4)),AND(NOT(Y28),AND(Y$4:Y27))),($J28*$G28-LN(1+Jumpoverwrite4*AA$2))/$G28,_xll.qlInterpolationInterpolate(Y$3,$F28,TRUE))</f>
        <v>#NAME?</v>
      </c>
      <c r="AA28" s="439" t="str">
        <f ca="1">IF(AND(NOT(Y28),AND(Y$4:Y27)),MIN(EXP((Z28-$J28)*$G28),1),"")</f>
        <v/>
      </c>
      <c r="AB28" s="428"/>
      <c r="AC28" s="440" t="b">
        <f ca="1">IF(AND(NOT(Y28),AND(Y$4:Y27)),TRUE,Y28)</f>
        <v>0</v>
      </c>
      <c r="AD28" s="439" t="e">
        <f ca="1">IF(AND(NOT(ISBLANK(Jumpoverwrite5)),AND(NOT(AC28),AND(AC$4:AC27))),($J28*$G28-LN(1+Jumpoverwrite5*AE$2))/$G28,_xll.qlInterpolationInterpolate(AC$3,$F28,TRUE))</f>
        <v>#NAME?</v>
      </c>
      <c r="AE28" s="439" t="str">
        <f ca="1">IF(AND(NOT(AC28),AND(AC$4:AC27)),MIN(EXP((AD28-$J28)*$G28),1),"")</f>
        <v/>
      </c>
      <c r="AF28" s="428"/>
      <c r="AG28" s="440" t="b">
        <f ca="1">IF(AND(NOT(AC28),AND(AC$4:AC27)),TRUE,AC28)</f>
        <v>0</v>
      </c>
      <c r="AH28" s="439" t="e">
        <f ca="1">IF(AND(NOT(ISBLANK(Jumpoverwrite6)),AND(NOT(AG28),AND(AG$4:AG27))),($J28*$G28-LN(1+Jumpoverwrite6*AI$2))/$G28,_xll.qlInterpolationInterpolate(AG$3,$F28,TRUE))</f>
        <v>#NAME?</v>
      </c>
      <c r="AI28" s="439" t="str">
        <f ca="1">IF(AND(NOT(AG28),AND(AG$4:AG27)),MIN(EXP((AH28-$J28)*$G28),1),"")</f>
        <v/>
      </c>
      <c r="AJ28" s="428"/>
      <c r="AK28" s="440" t="b">
        <f ca="1">IF(AND(NOT(AG28),AND(AG$4:AG27)),TRUE,AG28)</f>
        <v>0</v>
      </c>
      <c r="AL28" s="439" t="e">
        <f ca="1">IF(AND(NOT(ISBLANK(Jumpoverwrite7)),AND(NOT(AK28),AND(AK$4:AK27))),($J28*$G28-LN(1+Jumpoverwrite7*AM$2))/$G28,_xll.qlInterpolationInterpolate(AK$3,$F28,TRUE))</f>
        <v>#NAME?</v>
      </c>
      <c r="AM28" s="439" t="str">
        <f ca="1">IF(AND(NOT(AK28),AND(AK$4:AK27)),MIN(EXP((AL28-$J28)*$G28),1),"")</f>
        <v/>
      </c>
      <c r="AO28" s="440" t="b">
        <f ca="1">IF(AND(NOT(AK28),AND(AK$4:AK27)),TRUE,AK28)</f>
        <v>0</v>
      </c>
      <c r="AP28" s="439" t="e">
        <f ca="1">IF(AND(NOT(ISBLANK(Jumpoverwrite8)),AND(NOT(AO28),AND(AO$4:AO27))),($J28*$G28-LN(1+Jumpoverwrite8*AQ$2))/$G28,_xll.qlInterpolationInterpolate(AO$3,$F28,TRUE))</f>
        <v>#NAME?</v>
      </c>
      <c r="AQ28" s="439" t="str">
        <f ca="1">IF(AND(NOT(AO28),AND(AO$4:AO27)),MIN(EXP((AP28-$J28)*$G28),1),"")</f>
        <v/>
      </c>
      <c r="AS28" s="440" t="b">
        <f ca="1">IF(AND(NOT(AO28),AND(AO$4:AO27)),TRUE,AO28)</f>
        <v>0</v>
      </c>
      <c r="AT28" s="439" t="e">
        <f ca="1">IF(AND(NOT(ISBLANK(Jumpoverwrite9)),AND(NOT(AS28),AND(AS$4:AS27))),($J28*$G28-LN(1+Jumpoverwrite9*AU$2))/$G28,_xll.qlInterpolationInterpolate(AS$3,$F28,TRUE))</f>
        <v>#NAME?</v>
      </c>
      <c r="AU28" s="439" t="str">
        <f ca="1">IF(AND(NOT(AS28),AND(AS$4:AS27)),MIN(EXP((AT28-$J28)*$G28),1),"")</f>
        <v/>
      </c>
      <c r="AW28" s="440" t="b">
        <f ca="1">IF(AND(NOT(AS28),AND(AS$4:AS27)),TRUE,AS28)</f>
        <v>0</v>
      </c>
      <c r="AX28" s="439" t="e">
        <f ca="1">IF(AND(NOT(ISBLANK(Jumpoverwrite10)),AND(NOT(AW28),AND(AW$4:AW27))),($J28*$G28-LN(1+Jumpoverwrite10*AY$2))/$G28,_xll.qlInterpolationInterpolate(AW$3,$F28,TRUE))</f>
        <v>#NAME?</v>
      </c>
      <c r="AY28" s="439" t="str">
        <f ca="1">IF(AND(NOT(AW28),AND(AW$4:AW27)),MIN(EXP((AX28-$J28)*$G28),1),"")</f>
        <v/>
      </c>
      <c r="BA28" s="440" t="b">
        <f ca="1">IF(AND(NOT(AW28),AND(AW$4:AW27)),TRUE,AW28)</f>
        <v>0</v>
      </c>
      <c r="BB28" s="439" t="e">
        <f ca="1">IF(AND(NOT(ISBLANK(Jumpoverwrite11)),AND(NOT(BA28),AND(BA$4:BA27))),($J28*$G28-LN(1+Jumpoverwrite11*BC$2))/$G28,_xll.qlInterpolationInterpolate(BA$3,$F28,TRUE))</f>
        <v>#NAME?</v>
      </c>
      <c r="BC28" s="439" t="str">
        <f ca="1">IF(AND(NOT(BA28),AND(BA$4:BA27)),MIN(EXP((BB28-$J28)*$G28),1),"")</f>
        <v/>
      </c>
      <c r="BE28" s="440" t="b">
        <f ca="1">IF(AND(NOT(BA28),AND(BA$4:BA27)),TRUE,BA28)</f>
        <v>0</v>
      </c>
      <c r="BF28" s="439" t="e">
        <f ca="1">IF(AND(NOT(ISBLANK(Jumpoverwrite12)),AND(NOT(BE28),AND(BE$4:BE27))),($J28*$G28-LN(1+Jumpoverwrite12*BG$2))/$G28,_xll.qlInterpolationInterpolate(BE$3,$F28,TRUE))</f>
        <v>#NAME?</v>
      </c>
      <c r="BG28" s="439" t="str">
        <f ca="1">IF(AND(NOT(BE28),AND(BE$4:BE27)),MIN(EXP((BF28-$J28)*$G28),1),"")</f>
        <v/>
      </c>
      <c r="BI28" s="440" t="b">
        <f t="shared" ca="1" si="3"/>
        <v>0</v>
      </c>
      <c r="BJ28" s="439" t="e">
        <f ca="1">IF(AND(NOT(ISBLANK(jumpoverwrite13)),AND(NOT(BI28),AND(BI$4:BI27))),($J28*$G28-LN(1+jumpoverwrite13*BK$2))/$G28,_xll.qlInterpolationInterpolate(BI$3,$F28,TRUE))</f>
        <v>#NAME?</v>
      </c>
      <c r="BK28" s="439" t="str">
        <f ca="1">IF(AND(NOT(BI28),AND(BI$4:BI27)),MIN(EXP((BJ28-$J28)*$G28),1),"")</f>
        <v/>
      </c>
    </row>
    <row r="29" spans="1:63" x14ac:dyDescent="0.2">
      <c r="A29" s="438" t="e">
        <f ca="1"/>
        <v>#NAME?</v>
      </c>
      <c r="B29" s="437" t="e">
        <f ca="1">_xll.qlRateHelperRate($A29,InterestRatesTrigger)</f>
        <v>#NAME?</v>
      </c>
      <c r="C29" s="436" t="e">
        <f ca="1">_xll.qlRateHelperEarliestDate($A29)</f>
        <v>#NAME?</v>
      </c>
      <c r="D29" s="435" t="e">
        <f ca="1">_xll.qlRateHelperPillarDate($A29)</f>
        <v>#NAME?</v>
      </c>
      <c r="F29" s="445" t="e">
        <f t="shared" ca="1" si="1"/>
        <v>#N/A</v>
      </c>
      <c r="G29" s="444" t="e">
        <f ca="1">_xll.qlDayCounterYearFraction(DayCounter,D28,D29)</f>
        <v>#NAME?</v>
      </c>
      <c r="I29" s="443" t="b">
        <f t="shared" ca="1" si="2"/>
        <v>0</v>
      </c>
      <c r="J29" s="442" t="e">
        <f ca="1"/>
        <v>#NAME?</v>
      </c>
      <c r="K29" s="441" t="e">
        <f t="shared" ca="1" si="0"/>
        <v>#NAME?</v>
      </c>
      <c r="L29" s="446"/>
      <c r="M29" s="440" t="b">
        <f ca="1">IF(AND(NOT(I29),AND(I$4:I28)),TRUE,I29)</f>
        <v>0</v>
      </c>
      <c r="N29" s="439" t="e">
        <f ca="1">IF(AND(NOT(ISBLANK(Jumpoverwrite1)),AND(NOT(M29),AND(M$4:M28))),($J29*$G29-LN(1+Jumpoverwrite1*O$2))/$G29,_xll.qlInterpolationInterpolate(M$3,$F29,TRUE))</f>
        <v>#NAME?</v>
      </c>
      <c r="O29" s="439" t="str">
        <f ca="1">IF(AND(NOT(M29),AND(M$4:M28)),MIN(EXP((N29-$J29)*$G29),1),"")</f>
        <v/>
      </c>
      <c r="P29" s="428"/>
      <c r="Q29" s="440" t="b">
        <f ca="1">IF(AND(NOT(M29),AND(M$4:M28)),TRUE,M29)</f>
        <v>0</v>
      </c>
      <c r="R29" s="439" t="e">
        <f ca="1">IF(AND(NOT(ISBLANK(Jumpoverwrite2)),AND(NOT(Q29),AND(Q$4:Q28))),($J29*$G29-LN(1+Jumpoverwrite2*S$2))/$G29,_xll.qlInterpolationInterpolate(Q$3,$F29,TRUE))</f>
        <v>#NAME?</v>
      </c>
      <c r="S29" s="439" t="str">
        <f ca="1">IF(AND(NOT(Q29),AND(Q$4:Q28)),MIN(EXP((R29-$J29)*$G29),1),"")</f>
        <v/>
      </c>
      <c r="T29" s="428"/>
      <c r="U29" s="440" t="b">
        <f ca="1">IF(AND(NOT(Q29),AND(Q$4:Q28)),TRUE,Q29)</f>
        <v>0</v>
      </c>
      <c r="V29" s="439" t="e">
        <f ca="1">IF(AND(NOT(ISBLANK(Jumpoverwrite3)),AND(NOT(U29),AND(U$4:U28))),($J29*$G29-LN(1+Jumpoverwrite3*W$2))/$G29,_xll.qlInterpolationInterpolate(U$3,$F29,TRUE))</f>
        <v>#NAME?</v>
      </c>
      <c r="W29" s="439" t="str">
        <f ca="1">IF(AND(NOT(U29),AND(U$4:U28)),MIN(EXP((V29-$J29)*$G29),1),"")</f>
        <v/>
      </c>
      <c r="X29" s="428"/>
      <c r="Y29" s="440" t="b">
        <f ca="1">IF(AND(NOT(U29),AND(U$4:U28)),TRUE,U29)</f>
        <v>0</v>
      </c>
      <c r="Z29" s="439" t="e">
        <f ca="1">IF(AND(NOT(ISBLANK(Jumpoverwrite4)),AND(NOT(Y29),AND(Y$4:Y28))),($J29*$G29-LN(1+Jumpoverwrite4*AA$2))/$G29,_xll.qlInterpolationInterpolate(Y$3,$F29,TRUE))</f>
        <v>#NAME?</v>
      </c>
      <c r="AA29" s="439" t="str">
        <f ca="1">IF(AND(NOT(Y29),AND(Y$4:Y28)),MIN(EXP((Z29-$J29)*$G29),1),"")</f>
        <v/>
      </c>
      <c r="AB29" s="428"/>
      <c r="AC29" s="440" t="b">
        <f ca="1">IF(AND(NOT(Y29),AND(Y$4:Y28)),TRUE,Y29)</f>
        <v>0</v>
      </c>
      <c r="AD29" s="439" t="e">
        <f ca="1">IF(AND(NOT(ISBLANK(Jumpoverwrite5)),AND(NOT(AC29),AND(AC$4:AC28))),($J29*$G29-LN(1+Jumpoverwrite5*AE$2))/$G29,_xll.qlInterpolationInterpolate(AC$3,$F29,TRUE))</f>
        <v>#NAME?</v>
      </c>
      <c r="AE29" s="439" t="str">
        <f ca="1">IF(AND(NOT(AC29),AND(AC$4:AC28)),MIN(EXP((AD29-$J29)*$G29),1),"")</f>
        <v/>
      </c>
      <c r="AF29" s="428"/>
      <c r="AG29" s="440" t="b">
        <f ca="1">IF(AND(NOT(AC29),AND(AC$4:AC28)),TRUE,AC29)</f>
        <v>0</v>
      </c>
      <c r="AH29" s="439" t="e">
        <f ca="1">IF(AND(NOT(ISBLANK(Jumpoverwrite6)),AND(NOT(AG29),AND(AG$4:AG28))),($J29*$G29-LN(1+Jumpoverwrite6*AI$2))/$G29,_xll.qlInterpolationInterpolate(AG$3,$F29,TRUE))</f>
        <v>#NAME?</v>
      </c>
      <c r="AI29" s="439" t="str">
        <f ca="1">IF(AND(NOT(AG29),AND(AG$4:AG28)),MIN(EXP((AH29-$J29)*$G29),1),"")</f>
        <v/>
      </c>
      <c r="AJ29" s="428"/>
      <c r="AK29" s="440" t="b">
        <f ca="1">IF(AND(NOT(AG29),AND(AG$4:AG28)),TRUE,AG29)</f>
        <v>0</v>
      </c>
      <c r="AL29" s="439" t="e">
        <f ca="1">IF(AND(NOT(ISBLANK(Jumpoverwrite7)),AND(NOT(AK29),AND(AK$4:AK28))),($J29*$G29-LN(1+Jumpoverwrite7*AM$2))/$G29,_xll.qlInterpolationInterpolate(AK$3,$F29,TRUE))</f>
        <v>#NAME?</v>
      </c>
      <c r="AM29" s="439" t="str">
        <f ca="1">IF(AND(NOT(AK29),AND(AK$4:AK28)),MIN(EXP((AL29-$J29)*$G29),1),"")</f>
        <v/>
      </c>
      <c r="AO29" s="440" t="b">
        <f ca="1">IF(AND(NOT(AK29),AND(AK$4:AK28)),TRUE,AK29)</f>
        <v>0</v>
      </c>
      <c r="AP29" s="439" t="e">
        <f ca="1">IF(AND(NOT(ISBLANK(Jumpoverwrite8)),AND(NOT(AO29),AND(AO$4:AO28))),($J29*$G29-LN(1+Jumpoverwrite8*AQ$2))/$G29,_xll.qlInterpolationInterpolate(AO$3,$F29,TRUE))</f>
        <v>#NAME?</v>
      </c>
      <c r="AQ29" s="439" t="str">
        <f ca="1">IF(AND(NOT(AO29),AND(AO$4:AO28)),MIN(EXP((AP29-$J29)*$G29),1),"")</f>
        <v/>
      </c>
      <c r="AS29" s="440" t="b">
        <f ca="1">IF(AND(NOT(AO29),AND(AO$4:AO28)),TRUE,AO29)</f>
        <v>0</v>
      </c>
      <c r="AT29" s="439" t="e">
        <f ca="1">IF(AND(NOT(ISBLANK(Jumpoverwrite9)),AND(NOT(AS29),AND(AS$4:AS28))),($J29*$G29-LN(1+Jumpoverwrite9*AU$2))/$G29,_xll.qlInterpolationInterpolate(AS$3,$F29,TRUE))</f>
        <v>#NAME?</v>
      </c>
      <c r="AU29" s="439" t="str">
        <f ca="1">IF(AND(NOT(AS29),AND(AS$4:AS28)),MIN(EXP((AT29-$J29)*$G29),1),"")</f>
        <v/>
      </c>
      <c r="AW29" s="440" t="b">
        <f ca="1">IF(AND(NOT(AS29),AND(AS$4:AS28)),TRUE,AS29)</f>
        <v>0</v>
      </c>
      <c r="AX29" s="439" t="e">
        <f ca="1">IF(AND(NOT(ISBLANK(Jumpoverwrite10)),AND(NOT(AW29),AND(AW$4:AW28))),($J29*$G29-LN(1+Jumpoverwrite10*AY$2))/$G29,_xll.qlInterpolationInterpolate(AW$3,$F29,TRUE))</f>
        <v>#NAME?</v>
      </c>
      <c r="AY29" s="439" t="str">
        <f ca="1">IF(AND(NOT(AW29),AND(AW$4:AW28)),MIN(EXP((AX29-$J29)*$G29),1),"")</f>
        <v/>
      </c>
      <c r="BA29" s="440" t="b">
        <f ca="1">IF(AND(NOT(AW29),AND(AW$4:AW28)),TRUE,AW29)</f>
        <v>0</v>
      </c>
      <c r="BB29" s="439" t="e">
        <f ca="1">IF(AND(NOT(ISBLANK(Jumpoverwrite11)),AND(NOT(BA29),AND(BA$4:BA28))),($J29*$G29-LN(1+Jumpoverwrite11*BC$2))/$G29,_xll.qlInterpolationInterpolate(BA$3,$F29,TRUE))</f>
        <v>#NAME?</v>
      </c>
      <c r="BC29" s="439" t="str">
        <f ca="1">IF(AND(NOT(BA29),AND(BA$4:BA28)),MIN(EXP((BB29-$J29)*$G29),1),"")</f>
        <v/>
      </c>
      <c r="BE29" s="440" t="b">
        <f ca="1">IF(AND(NOT(BA29),AND(BA$4:BA28)),TRUE,BA29)</f>
        <v>0</v>
      </c>
      <c r="BF29" s="439" t="e">
        <f ca="1">IF(AND(NOT(ISBLANK(Jumpoverwrite12)),AND(NOT(BE29),AND(BE$4:BE28))),($J29*$G29-LN(1+Jumpoverwrite12*BG$2))/$G29,_xll.qlInterpolationInterpolate(BE$3,$F29,TRUE))</f>
        <v>#NAME?</v>
      </c>
      <c r="BG29" s="439" t="str">
        <f ca="1">IF(AND(NOT(BE29),AND(BE$4:BE28)),MIN(EXP((BF29-$J29)*$G29),1),"")</f>
        <v/>
      </c>
      <c r="BI29" s="440" t="b">
        <f t="shared" ca="1" si="3"/>
        <v>0</v>
      </c>
      <c r="BJ29" s="439" t="e">
        <f ca="1">IF(AND(NOT(ISBLANK(jumpoverwrite13)),AND(NOT(BI29),AND(BI$4:BI28))),($J29*$G29-LN(1+jumpoverwrite13*BK$2))/$G29,_xll.qlInterpolationInterpolate(BI$3,$F29,TRUE))</f>
        <v>#NAME?</v>
      </c>
      <c r="BK29" s="439" t="str">
        <f ca="1">IF(AND(NOT(BI29),AND(BI$4:BI28)),MIN(EXP((BJ29-$J29)*$G29),1),"")</f>
        <v/>
      </c>
    </row>
    <row r="30" spans="1:63" x14ac:dyDescent="0.2">
      <c r="A30" s="438" t="e">
        <f ca="1"/>
        <v>#NAME?</v>
      </c>
      <c r="B30" s="437" t="e">
        <f ca="1">_xll.qlRateHelperRate($A30,InterestRatesTrigger)</f>
        <v>#NAME?</v>
      </c>
      <c r="C30" s="436" t="e">
        <f ca="1">_xll.qlRateHelperEarliestDate($A30)</f>
        <v>#NAME?</v>
      </c>
      <c r="D30" s="435" t="e">
        <f ca="1">_xll.qlRateHelperPillarDate($A30)</f>
        <v>#NAME?</v>
      </c>
      <c r="F30" s="445" t="e">
        <f t="shared" ca="1" si="1"/>
        <v>#N/A</v>
      </c>
      <c r="G30" s="444" t="e">
        <f ca="1">_xll.qlDayCounterYearFraction(DayCounter,D29,D30)</f>
        <v>#NAME?</v>
      </c>
      <c r="I30" s="443" t="b">
        <f t="shared" ca="1" si="2"/>
        <v>0</v>
      </c>
      <c r="J30" s="442" t="e">
        <f ca="1"/>
        <v>#NAME?</v>
      </c>
      <c r="K30" s="441" t="e">
        <f t="shared" ca="1" si="0"/>
        <v>#NAME?</v>
      </c>
      <c r="L30" s="446"/>
      <c r="M30" s="440" t="b">
        <f ca="1">IF(AND(NOT(I30),AND(I$4:I29)),TRUE,I30)</f>
        <v>0</v>
      </c>
      <c r="N30" s="439" t="e">
        <f ca="1">IF(AND(NOT(ISBLANK(Jumpoverwrite1)),AND(NOT(M30),AND(M$4:M29))),($J30*$G30-LN(1+Jumpoverwrite1*O$2))/$G30,_xll.qlInterpolationInterpolate(M$3,$F30,TRUE))</f>
        <v>#NAME?</v>
      </c>
      <c r="O30" s="439" t="str">
        <f ca="1">IF(AND(NOT(M30),AND(M$4:M29)),MIN(EXP((N30-$J30)*$G30),1),"")</f>
        <v/>
      </c>
      <c r="P30" s="428"/>
      <c r="Q30" s="440" t="b">
        <f ca="1">IF(AND(NOT(M30),AND(M$4:M29)),TRUE,M30)</f>
        <v>0</v>
      </c>
      <c r="R30" s="439" t="e">
        <f ca="1">IF(AND(NOT(ISBLANK(Jumpoverwrite2)),AND(NOT(Q30),AND(Q$4:Q29))),($J30*$G30-LN(1+Jumpoverwrite2*S$2))/$G30,_xll.qlInterpolationInterpolate(Q$3,$F30,TRUE))</f>
        <v>#NAME?</v>
      </c>
      <c r="S30" s="439" t="str">
        <f ca="1">IF(AND(NOT(Q30),AND(Q$4:Q29)),MIN(EXP((R30-$J30)*$G30),1),"")</f>
        <v/>
      </c>
      <c r="T30" s="428"/>
      <c r="U30" s="440" t="b">
        <f ca="1">IF(AND(NOT(Q30),AND(Q$4:Q29)),TRUE,Q30)</f>
        <v>0</v>
      </c>
      <c r="V30" s="439" t="e">
        <f ca="1">IF(AND(NOT(ISBLANK(Jumpoverwrite3)),AND(NOT(U30),AND(U$4:U29))),($J30*$G30-LN(1+Jumpoverwrite3*W$2))/$G30,_xll.qlInterpolationInterpolate(U$3,$F30,TRUE))</f>
        <v>#NAME?</v>
      </c>
      <c r="W30" s="439" t="str">
        <f ca="1">IF(AND(NOT(U30),AND(U$4:U29)),MIN(EXP((V30-$J30)*$G30),1),"")</f>
        <v/>
      </c>
      <c r="X30" s="428"/>
      <c r="Y30" s="440" t="b">
        <f ca="1">IF(AND(NOT(U30),AND(U$4:U29)),TRUE,U30)</f>
        <v>0</v>
      </c>
      <c r="Z30" s="439" t="e">
        <f ca="1">IF(AND(NOT(ISBLANK(Jumpoverwrite4)),AND(NOT(Y30),AND(Y$4:Y29))),($J30*$G30-LN(1+Jumpoverwrite4*AA$2))/$G30,_xll.qlInterpolationInterpolate(Y$3,$F30,TRUE))</f>
        <v>#NAME?</v>
      </c>
      <c r="AA30" s="439" t="str">
        <f ca="1">IF(AND(NOT(Y30),AND(Y$4:Y29)),MIN(EXP((Z30-$J30)*$G30),1),"")</f>
        <v/>
      </c>
      <c r="AB30" s="428"/>
      <c r="AC30" s="440" t="b">
        <f ca="1">IF(AND(NOT(Y30),AND(Y$4:Y29)),TRUE,Y30)</f>
        <v>0</v>
      </c>
      <c r="AD30" s="439" t="e">
        <f ca="1">IF(AND(NOT(ISBLANK(Jumpoverwrite5)),AND(NOT(AC30),AND(AC$4:AC29))),($J30*$G30-LN(1+Jumpoverwrite5*AE$2))/$G30,_xll.qlInterpolationInterpolate(AC$3,$F30,TRUE))</f>
        <v>#NAME?</v>
      </c>
      <c r="AE30" s="439" t="str">
        <f ca="1">IF(AND(NOT(AC30),AND(AC$4:AC29)),MIN(EXP((AD30-$J30)*$G30),1),"")</f>
        <v/>
      </c>
      <c r="AF30" s="428"/>
      <c r="AG30" s="440" t="b">
        <f ca="1">IF(AND(NOT(AC30),AND(AC$4:AC29)),TRUE,AC30)</f>
        <v>0</v>
      </c>
      <c r="AH30" s="439" t="e">
        <f ca="1">IF(AND(NOT(ISBLANK(Jumpoverwrite6)),AND(NOT(AG30),AND(AG$4:AG29))),($J30*$G30-LN(1+Jumpoverwrite6*AI$2))/$G30,_xll.qlInterpolationInterpolate(AG$3,$F30,TRUE))</f>
        <v>#NAME?</v>
      </c>
      <c r="AI30" s="439" t="str">
        <f ca="1">IF(AND(NOT(AG30),AND(AG$4:AG29)),MIN(EXP((AH30-$J30)*$G30),1),"")</f>
        <v/>
      </c>
      <c r="AJ30" s="428"/>
      <c r="AK30" s="440" t="b">
        <f ca="1">IF(AND(NOT(AG30),AND(AG$4:AG29)),TRUE,AG30)</f>
        <v>0</v>
      </c>
      <c r="AL30" s="439" t="e">
        <f ca="1">IF(AND(NOT(ISBLANK(Jumpoverwrite7)),AND(NOT(AK30),AND(AK$4:AK29))),($J30*$G30-LN(1+Jumpoverwrite7*AM$2))/$G30,_xll.qlInterpolationInterpolate(AK$3,$F30,TRUE))</f>
        <v>#NAME?</v>
      </c>
      <c r="AM30" s="439" t="str">
        <f ca="1">IF(AND(NOT(AK30),AND(AK$4:AK29)),MIN(EXP((AL30-$J30)*$G30),1),"")</f>
        <v/>
      </c>
      <c r="AO30" s="440" t="b">
        <f ca="1">IF(AND(NOT(AK30),AND(AK$4:AK29)),TRUE,AK30)</f>
        <v>0</v>
      </c>
      <c r="AP30" s="439" t="e">
        <f ca="1">IF(AND(NOT(ISBLANK(Jumpoverwrite8)),AND(NOT(AO30),AND(AO$4:AO29))),($J30*$G30-LN(1+Jumpoverwrite8*AQ$2))/$G30,_xll.qlInterpolationInterpolate(AO$3,$F30,TRUE))</f>
        <v>#NAME?</v>
      </c>
      <c r="AQ30" s="439" t="str">
        <f ca="1">IF(AND(NOT(AO30),AND(AO$4:AO29)),MIN(EXP((AP30-$J30)*$G30),1),"")</f>
        <v/>
      </c>
      <c r="AS30" s="440" t="b">
        <f ca="1">IF(AND(NOT(AO30),AND(AO$4:AO29)),TRUE,AO30)</f>
        <v>0</v>
      </c>
      <c r="AT30" s="439" t="e">
        <f ca="1">IF(AND(NOT(ISBLANK(Jumpoverwrite9)),AND(NOT(AS30),AND(AS$4:AS29))),($J30*$G30-LN(1+Jumpoverwrite9*AU$2))/$G30,_xll.qlInterpolationInterpolate(AS$3,$F30,TRUE))</f>
        <v>#NAME?</v>
      </c>
      <c r="AU30" s="439" t="str">
        <f ca="1">IF(AND(NOT(AS30),AND(AS$4:AS29)),MIN(EXP((AT30-$J30)*$G30),1),"")</f>
        <v/>
      </c>
      <c r="AW30" s="440" t="b">
        <f ca="1">IF(AND(NOT(AS30),AND(AS$4:AS29)),TRUE,AS30)</f>
        <v>0</v>
      </c>
      <c r="AX30" s="439" t="e">
        <f ca="1">IF(AND(NOT(ISBLANK(Jumpoverwrite10)),AND(NOT(AW30),AND(AW$4:AW29))),($J30*$G30-LN(1+Jumpoverwrite10*AY$2))/$G30,_xll.qlInterpolationInterpolate(AW$3,$F30,TRUE))</f>
        <v>#NAME?</v>
      </c>
      <c r="AY30" s="439" t="str">
        <f ca="1">IF(AND(NOT(AW30),AND(AW$4:AW29)),MIN(EXP((AX30-$J30)*$G30),1),"")</f>
        <v/>
      </c>
      <c r="BA30" s="440" t="b">
        <f ca="1">IF(AND(NOT(AW30),AND(AW$4:AW29)),TRUE,AW30)</f>
        <v>0</v>
      </c>
      <c r="BB30" s="439" t="e">
        <f ca="1">IF(AND(NOT(ISBLANK(Jumpoverwrite11)),AND(NOT(BA30),AND(BA$4:BA29))),($J30*$G30-LN(1+Jumpoverwrite11*BC$2))/$G30,_xll.qlInterpolationInterpolate(BA$3,$F30,TRUE))</f>
        <v>#NAME?</v>
      </c>
      <c r="BC30" s="439" t="str">
        <f ca="1">IF(AND(NOT(BA30),AND(BA$4:BA29)),MIN(EXP((BB30-$J30)*$G30),1),"")</f>
        <v/>
      </c>
      <c r="BE30" s="440" t="b">
        <f ca="1">IF(AND(NOT(BA30),AND(BA$4:BA29)),TRUE,BA30)</f>
        <v>0</v>
      </c>
      <c r="BF30" s="439" t="e">
        <f ca="1">IF(AND(NOT(ISBLANK(Jumpoverwrite12)),AND(NOT(BE30),AND(BE$4:BE29))),($J30*$G30-LN(1+Jumpoverwrite12*BG$2))/$G30,_xll.qlInterpolationInterpolate(BE$3,$F30,TRUE))</f>
        <v>#NAME?</v>
      </c>
      <c r="BG30" s="439" t="str">
        <f ca="1">IF(AND(NOT(BE30),AND(BE$4:BE29)),MIN(EXP((BF30-$J30)*$G30),1),"")</f>
        <v/>
      </c>
      <c r="BI30" s="440" t="b">
        <f t="shared" ca="1" si="3"/>
        <v>0</v>
      </c>
      <c r="BJ30" s="439" t="e">
        <f ca="1">IF(AND(NOT(ISBLANK(jumpoverwrite13)),AND(NOT(BI30),AND(BI$4:BI29))),($J30*$G30-LN(1+jumpoverwrite13*BK$2))/$G30,_xll.qlInterpolationInterpolate(BI$3,$F30,TRUE))</f>
        <v>#NAME?</v>
      </c>
      <c r="BK30" s="439" t="str">
        <f ca="1">IF(AND(NOT(BI30),AND(BI$4:BI29)),MIN(EXP((BJ30-$J30)*$G30),1),"")</f>
        <v/>
      </c>
    </row>
    <row r="31" spans="1:63" x14ac:dyDescent="0.2">
      <c r="A31" s="438" t="e">
        <f ca="1"/>
        <v>#NAME?</v>
      </c>
      <c r="B31" s="437" t="e">
        <f ca="1">_xll.qlRateHelperRate($A31,InterestRatesTrigger)</f>
        <v>#NAME?</v>
      </c>
      <c r="C31" s="436" t="e">
        <f ca="1">_xll.qlRateHelperEarliestDate($A31)</f>
        <v>#NAME?</v>
      </c>
      <c r="D31" s="435" t="e">
        <f ca="1">_xll.qlRateHelperPillarDate($A31)</f>
        <v>#NAME?</v>
      </c>
      <c r="F31" s="445" t="e">
        <f t="shared" ca="1" si="1"/>
        <v>#N/A</v>
      </c>
      <c r="G31" s="444" t="e">
        <f ca="1">_xll.qlDayCounterYearFraction(DayCounter,D30,D31)</f>
        <v>#NAME?</v>
      </c>
      <c r="I31" s="443" t="b">
        <f t="shared" ca="1" si="2"/>
        <v>0</v>
      </c>
      <c r="J31" s="442" t="e">
        <f ca="1"/>
        <v>#NAME?</v>
      </c>
      <c r="K31" s="441" t="e">
        <f t="shared" ca="1" si="0"/>
        <v>#NAME?</v>
      </c>
      <c r="L31" s="429"/>
      <c r="M31" s="440" t="b">
        <f ca="1">IF(AND(NOT(I31),AND(I$4:I30)),TRUE,I31)</f>
        <v>0</v>
      </c>
      <c r="N31" s="439" t="e">
        <f ca="1">IF(AND(NOT(ISBLANK(Jumpoverwrite1)),AND(NOT(M31),AND(M$4:M30))),($J31*$G31-LN(1+Jumpoverwrite1*O$2))/$G31,_xll.qlInterpolationInterpolate(M$3,$F31,TRUE))</f>
        <v>#NAME?</v>
      </c>
      <c r="O31" s="439" t="str">
        <f ca="1">IF(AND(NOT(M31),AND(M$4:M30)),MIN(EXP((N31-$J31)*$G31),1),"")</f>
        <v/>
      </c>
      <c r="P31" s="428"/>
      <c r="Q31" s="440" t="b">
        <f ca="1">IF(AND(NOT(M31),AND(M$4:M30)),TRUE,M31)</f>
        <v>0</v>
      </c>
      <c r="R31" s="439" t="e">
        <f ca="1">IF(AND(NOT(ISBLANK(Jumpoverwrite2)),AND(NOT(Q31),AND(Q$4:Q30))),($J31*$G31-LN(1+Jumpoverwrite2*S$2))/$G31,_xll.qlInterpolationInterpolate(Q$3,$F31,TRUE))</f>
        <v>#NAME?</v>
      </c>
      <c r="S31" s="439" t="str">
        <f ca="1">IF(AND(NOT(Q31),AND(Q$4:Q30)),MIN(EXP((R31-$J31)*$G31),1),"")</f>
        <v/>
      </c>
      <c r="T31" s="428"/>
      <c r="U31" s="440" t="b">
        <f ca="1">IF(AND(NOT(Q31),AND(Q$4:Q30)),TRUE,Q31)</f>
        <v>0</v>
      </c>
      <c r="V31" s="439" t="e">
        <f ca="1">IF(AND(NOT(ISBLANK(Jumpoverwrite3)),AND(NOT(U31),AND(U$4:U30))),($J31*$G31-LN(1+Jumpoverwrite3*W$2))/$G31,_xll.qlInterpolationInterpolate(U$3,$F31,TRUE))</f>
        <v>#NAME?</v>
      </c>
      <c r="W31" s="439" t="str">
        <f ca="1">IF(AND(NOT(U31),AND(U$4:U30)),MIN(EXP((V31-$J31)*$G31),1),"")</f>
        <v/>
      </c>
      <c r="X31" s="428"/>
      <c r="Y31" s="440" t="b">
        <f ca="1">IF(AND(NOT(U31),AND(U$4:U30)),TRUE,U31)</f>
        <v>0</v>
      </c>
      <c r="Z31" s="439" t="e">
        <f ca="1">IF(AND(NOT(ISBLANK(Jumpoverwrite4)),AND(NOT(Y31),AND(Y$4:Y30))),($J31*$G31-LN(1+Jumpoverwrite4*AA$2))/$G31,_xll.qlInterpolationInterpolate(Y$3,$F31,TRUE))</f>
        <v>#NAME?</v>
      </c>
      <c r="AA31" s="439" t="str">
        <f ca="1">IF(AND(NOT(Y31),AND(Y$4:Y30)),MIN(EXP((Z31-$J31)*$G31),1),"")</f>
        <v/>
      </c>
      <c r="AB31" s="428"/>
      <c r="AC31" s="440" t="b">
        <f ca="1">IF(AND(NOT(Y31),AND(Y$4:Y30)),TRUE,Y31)</f>
        <v>0</v>
      </c>
      <c r="AD31" s="439" t="e">
        <f ca="1">IF(AND(NOT(ISBLANK(Jumpoverwrite5)),AND(NOT(AC31),AND(AC$4:AC30))),($J31*$G31-LN(1+Jumpoverwrite5*AE$2))/$G31,_xll.qlInterpolationInterpolate(AC$3,$F31,TRUE))</f>
        <v>#NAME?</v>
      </c>
      <c r="AE31" s="439" t="str">
        <f ca="1">IF(AND(NOT(AC31),AND(AC$4:AC30)),MIN(EXP((AD31-$J31)*$G31),1),"")</f>
        <v/>
      </c>
      <c r="AF31" s="428"/>
      <c r="AG31" s="440" t="b">
        <f ca="1">IF(AND(NOT(AC31),AND(AC$4:AC30)),TRUE,AC31)</f>
        <v>0</v>
      </c>
      <c r="AH31" s="439" t="e">
        <f ca="1">IF(AND(NOT(ISBLANK(Jumpoverwrite6)),AND(NOT(AG31),AND(AG$4:AG30))),($J31*$G31-LN(1+Jumpoverwrite6*AI$2))/$G31,_xll.qlInterpolationInterpolate(AG$3,$F31,TRUE))</f>
        <v>#NAME?</v>
      </c>
      <c r="AI31" s="439" t="str">
        <f ca="1">IF(AND(NOT(AG31),AND(AG$4:AG30)),MIN(EXP((AH31-$J31)*$G31),1),"")</f>
        <v/>
      </c>
      <c r="AJ31" s="428"/>
      <c r="AK31" s="440" t="b">
        <f ca="1">IF(AND(NOT(AG31),AND(AG$4:AG30)),TRUE,AG31)</f>
        <v>0</v>
      </c>
      <c r="AL31" s="439" t="e">
        <f ca="1">IF(AND(NOT(ISBLANK(Jumpoverwrite7)),AND(NOT(AK31),AND(AK$4:AK30))),($J31*$G31-LN(1+Jumpoverwrite7*AM$2))/$G31,_xll.qlInterpolationInterpolate(AK$3,$F31,TRUE))</f>
        <v>#NAME?</v>
      </c>
      <c r="AM31" s="439" t="str">
        <f ca="1">IF(AND(NOT(AK31),AND(AK$4:AK30)),MIN(EXP((AL31-$J31)*$G31),1),"")</f>
        <v/>
      </c>
      <c r="AO31" s="440" t="b">
        <f ca="1">IF(AND(NOT(AK31),AND(AK$4:AK30)),TRUE,AK31)</f>
        <v>0</v>
      </c>
      <c r="AP31" s="439" t="e">
        <f ca="1">IF(AND(NOT(ISBLANK(Jumpoverwrite8)),AND(NOT(AO31),AND(AO$4:AO30))),($J31*$G31-LN(1+Jumpoverwrite8*AQ$2))/$G31,_xll.qlInterpolationInterpolate(AO$3,$F31,TRUE))</f>
        <v>#NAME?</v>
      </c>
      <c r="AQ31" s="439" t="str">
        <f ca="1">IF(AND(NOT(AO31),AND(AO$4:AO30)),MIN(EXP((AP31-$J31)*$G31),1),"")</f>
        <v/>
      </c>
      <c r="AS31" s="440" t="b">
        <f ca="1">IF(AND(NOT(AO31),AND(AO$4:AO30)),TRUE,AO31)</f>
        <v>0</v>
      </c>
      <c r="AT31" s="439" t="e">
        <f ca="1">IF(AND(NOT(ISBLANK(Jumpoverwrite9)),AND(NOT(AS31),AND(AS$4:AS30))),($J31*$G31-LN(1+Jumpoverwrite9*AU$2))/$G31,_xll.qlInterpolationInterpolate(AS$3,$F31,TRUE))</f>
        <v>#NAME?</v>
      </c>
      <c r="AU31" s="439" t="str">
        <f ca="1">IF(AND(NOT(AS31),AND(AS$4:AS30)),MIN(EXP((AT31-$J31)*$G31),1),"")</f>
        <v/>
      </c>
      <c r="AW31" s="440" t="b">
        <f ca="1">IF(AND(NOT(AS31),AND(AS$4:AS30)),TRUE,AS31)</f>
        <v>0</v>
      </c>
      <c r="AX31" s="439" t="e">
        <f ca="1">IF(AND(NOT(ISBLANK(Jumpoverwrite10)),AND(NOT(AW31),AND(AW$4:AW30))),($J31*$G31-LN(1+Jumpoverwrite10*AY$2))/$G31,_xll.qlInterpolationInterpolate(AW$3,$F31,TRUE))</f>
        <v>#NAME?</v>
      </c>
      <c r="AY31" s="439" t="str">
        <f ca="1">IF(AND(NOT(AW31),AND(AW$4:AW30)),MIN(EXP((AX31-$J31)*$G31),1),"")</f>
        <v/>
      </c>
      <c r="BA31" s="440" t="b">
        <f ca="1">IF(AND(NOT(AW31),AND(AW$4:AW30)),TRUE,AW31)</f>
        <v>0</v>
      </c>
      <c r="BB31" s="439" t="e">
        <f ca="1">IF(AND(NOT(ISBLANK(Jumpoverwrite11)),AND(NOT(BA31),AND(BA$4:BA30))),($J31*$G31-LN(1+Jumpoverwrite11*BC$2))/$G31,_xll.qlInterpolationInterpolate(BA$3,$F31,TRUE))</f>
        <v>#NAME?</v>
      </c>
      <c r="BC31" s="439" t="str">
        <f ca="1">IF(AND(NOT(BA31),AND(BA$4:BA30)),MIN(EXP((BB31-$J31)*$G31),1),"")</f>
        <v/>
      </c>
      <c r="BE31" s="440" t="b">
        <f ca="1">IF(AND(NOT(BA31),AND(BA$4:BA30)),TRUE,BA31)</f>
        <v>0</v>
      </c>
      <c r="BF31" s="439" t="e">
        <f ca="1">IF(AND(NOT(ISBLANK(Jumpoverwrite12)),AND(NOT(BE31),AND(BE$4:BE30))),($J31*$G31-LN(1+Jumpoverwrite12*BG$2))/$G31,_xll.qlInterpolationInterpolate(BE$3,$F31,TRUE))</f>
        <v>#NAME?</v>
      </c>
      <c r="BG31" s="439" t="str">
        <f ca="1">IF(AND(NOT(BE31),AND(BE$4:BE30)),MIN(EXP((BF31-$J31)*$G31),1),"")</f>
        <v/>
      </c>
      <c r="BI31" s="440" t="b">
        <f t="shared" ca="1" si="3"/>
        <v>0</v>
      </c>
      <c r="BJ31" s="439" t="e">
        <f ca="1">IF(AND(NOT(ISBLANK(jumpoverwrite13)),AND(NOT(BI31),AND(BI$4:BI30))),($J31*$G31-LN(1+jumpoverwrite13*BK$2))/$G31,_xll.qlInterpolationInterpolate(BI$3,$F31,TRUE))</f>
        <v>#NAME?</v>
      </c>
      <c r="BK31" s="439" t="str">
        <f ca="1">IF(AND(NOT(BI31),AND(BI$4:BI30)),MIN(EXP((BJ31-$J31)*$G31),1),"")</f>
        <v/>
      </c>
    </row>
    <row r="32" spans="1:63" x14ac:dyDescent="0.2">
      <c r="A32" s="438" t="e">
        <f ca="1"/>
        <v>#NAME?</v>
      </c>
      <c r="B32" s="437" t="e">
        <f ca="1">_xll.qlRateHelperRate($A32,InterestRatesTrigger)</f>
        <v>#NAME?</v>
      </c>
      <c r="C32" s="436" t="e">
        <f ca="1">_xll.qlRateHelperEarliestDate($A32)</f>
        <v>#NAME?</v>
      </c>
      <c r="D32" s="435" t="e">
        <f ca="1">_xll.qlRateHelperPillarDate($A32)</f>
        <v>#NAME?</v>
      </c>
      <c r="F32" s="445" t="e">
        <f t="shared" ca="1" si="1"/>
        <v>#N/A</v>
      </c>
      <c r="G32" s="444" t="e">
        <f ca="1">_xll.qlDayCounterYearFraction(DayCounter,D31,D32)</f>
        <v>#NAME?</v>
      </c>
      <c r="I32" s="443" t="b">
        <f t="shared" ca="1" si="2"/>
        <v>0</v>
      </c>
      <c r="J32" s="442" t="e">
        <f ca="1"/>
        <v>#NAME?</v>
      </c>
      <c r="K32" s="441" t="e">
        <f t="shared" ca="1" si="0"/>
        <v>#NAME?</v>
      </c>
      <c r="L32" s="429"/>
      <c r="M32" s="440" t="b">
        <f ca="1">IF(AND(NOT(I32),AND(I$4:I31)),TRUE,I32)</f>
        <v>0</v>
      </c>
      <c r="N32" s="439" t="e">
        <f ca="1">IF(AND(NOT(ISBLANK(Jumpoverwrite1)),AND(NOT(M32),AND(M$4:M31))),($J32*$G32-LN(1+Jumpoverwrite1*O$2))/$G32,_xll.qlInterpolationInterpolate(M$3,$F32,TRUE))</f>
        <v>#NAME?</v>
      </c>
      <c r="O32" s="439" t="str">
        <f ca="1">IF(AND(NOT(M32),AND(M$4:M31)),MIN(EXP((N32-$J32)*$G32),1),"")</f>
        <v/>
      </c>
      <c r="P32" s="428"/>
      <c r="Q32" s="440" t="b">
        <f ca="1">IF(AND(NOT(M32),AND(M$4:M31)),TRUE,M32)</f>
        <v>0</v>
      </c>
      <c r="R32" s="439" t="e">
        <f ca="1">IF(AND(NOT(ISBLANK(Jumpoverwrite2)),AND(NOT(Q32),AND(Q$4:Q31))),($J32*$G32-LN(1+Jumpoverwrite2*S$2))/$G32,_xll.qlInterpolationInterpolate(Q$3,$F32,TRUE))</f>
        <v>#NAME?</v>
      </c>
      <c r="S32" s="439" t="str">
        <f ca="1">IF(AND(NOT(Q32),AND(Q$4:Q31)),MIN(EXP((R32-$J32)*$G32),1),"")</f>
        <v/>
      </c>
      <c r="T32" s="428"/>
      <c r="U32" s="440" t="b">
        <f ca="1">IF(AND(NOT(Q32),AND(Q$4:Q31)),TRUE,Q32)</f>
        <v>0</v>
      </c>
      <c r="V32" s="439" t="e">
        <f ca="1">IF(AND(NOT(ISBLANK(Jumpoverwrite3)),AND(NOT(U32),AND(U$4:U31))),($J32*$G32-LN(1+Jumpoverwrite3*W$2))/$G32,_xll.qlInterpolationInterpolate(U$3,$F32,TRUE))</f>
        <v>#NAME?</v>
      </c>
      <c r="W32" s="439" t="str">
        <f ca="1">IF(AND(NOT(U32),AND(U$4:U31)),MIN(EXP((V32-$J32)*$G32),1),"")</f>
        <v/>
      </c>
      <c r="X32" s="428"/>
      <c r="Y32" s="440" t="b">
        <f ca="1">IF(AND(NOT(U32),AND(U$4:U31)),TRUE,U32)</f>
        <v>0</v>
      </c>
      <c r="Z32" s="439" t="e">
        <f ca="1">IF(AND(NOT(ISBLANK(Jumpoverwrite4)),AND(NOT(Y32),AND(Y$4:Y31))),($J32*$G32-LN(1+Jumpoverwrite4*AA$2))/$G32,_xll.qlInterpolationInterpolate(Y$3,$F32,TRUE))</f>
        <v>#NAME?</v>
      </c>
      <c r="AA32" s="439" t="str">
        <f ca="1">IF(AND(NOT(Y32),AND(Y$4:Y31)),MIN(EXP((Z32-$J32)*$G32),1),"")</f>
        <v/>
      </c>
      <c r="AB32" s="428"/>
      <c r="AC32" s="440" t="b">
        <f ca="1">IF(AND(NOT(Y32),AND(Y$4:Y31)),TRUE,Y32)</f>
        <v>0</v>
      </c>
      <c r="AD32" s="439" t="e">
        <f ca="1">IF(AND(NOT(ISBLANK(Jumpoverwrite5)),AND(NOT(AC32),AND(AC$4:AC31))),($J32*$G32-LN(1+Jumpoverwrite5*AE$2))/$G32,_xll.qlInterpolationInterpolate(AC$3,$F32,TRUE))</f>
        <v>#NAME?</v>
      </c>
      <c r="AE32" s="439" t="str">
        <f ca="1">IF(AND(NOT(AC32),AND(AC$4:AC31)),MIN(EXP((AD32-$J32)*$G32),1),"")</f>
        <v/>
      </c>
      <c r="AF32" s="428"/>
      <c r="AG32" s="440" t="b">
        <f ca="1">IF(AND(NOT(AC32),AND(AC$4:AC31)),TRUE,AC32)</f>
        <v>0</v>
      </c>
      <c r="AH32" s="439" t="e">
        <f ca="1">IF(AND(NOT(ISBLANK(Jumpoverwrite6)),AND(NOT(AG32),AND(AG$4:AG31))),($J32*$G32-LN(1+Jumpoverwrite6*AI$2))/$G32,_xll.qlInterpolationInterpolate(AG$3,$F32,TRUE))</f>
        <v>#NAME?</v>
      </c>
      <c r="AI32" s="439" t="str">
        <f ca="1">IF(AND(NOT(AG32),AND(AG$4:AG31)),MIN(EXP((AH32-$J32)*$G32),1),"")</f>
        <v/>
      </c>
      <c r="AJ32" s="428"/>
      <c r="AK32" s="440" t="b">
        <f ca="1">IF(AND(NOT(AG32),AND(AG$4:AG31)),TRUE,AG32)</f>
        <v>0</v>
      </c>
      <c r="AL32" s="439" t="e">
        <f ca="1">IF(AND(NOT(ISBLANK(Jumpoverwrite7)),AND(NOT(AK32),AND(AK$4:AK31))),($J32*$G32-LN(1+Jumpoverwrite7*AM$2))/$G32,_xll.qlInterpolationInterpolate(AK$3,$F32,TRUE))</f>
        <v>#NAME?</v>
      </c>
      <c r="AM32" s="439" t="str">
        <f ca="1">IF(AND(NOT(AK32),AND(AK$4:AK31)),MIN(EXP((AL32-$J32)*$G32),1),"")</f>
        <v/>
      </c>
      <c r="AO32" s="440" t="b">
        <f ca="1">IF(AND(NOT(AK32),AND(AK$4:AK31)),TRUE,AK32)</f>
        <v>0</v>
      </c>
      <c r="AP32" s="439" t="e">
        <f ca="1">IF(AND(NOT(ISBLANK(Jumpoverwrite8)),AND(NOT(AO32),AND(AO$4:AO31))),($J32*$G32-LN(1+Jumpoverwrite8*AQ$2))/$G32,_xll.qlInterpolationInterpolate(AO$3,$F32,TRUE))</f>
        <v>#NAME?</v>
      </c>
      <c r="AQ32" s="439" t="str">
        <f ca="1">IF(AND(NOT(AO32),AND(AO$4:AO31)),MIN(EXP((AP32-$J32)*$G32),1),"")</f>
        <v/>
      </c>
      <c r="AS32" s="440" t="b">
        <f ca="1">IF(AND(NOT(AO32),AND(AO$4:AO31)),TRUE,AO32)</f>
        <v>0</v>
      </c>
      <c r="AT32" s="439" t="e">
        <f ca="1">IF(AND(NOT(ISBLANK(Jumpoverwrite9)),AND(NOT(AS32),AND(AS$4:AS31))),($J32*$G32-LN(1+Jumpoverwrite9*AU$2))/$G32,_xll.qlInterpolationInterpolate(AS$3,$F32,TRUE))</f>
        <v>#NAME?</v>
      </c>
      <c r="AU32" s="439" t="str">
        <f ca="1">IF(AND(NOT(AS32),AND(AS$4:AS31)),MIN(EXP((AT32-$J32)*$G32),1),"")</f>
        <v/>
      </c>
      <c r="AW32" s="440" t="b">
        <f ca="1">IF(AND(NOT(AS32),AND(AS$4:AS31)),TRUE,AS32)</f>
        <v>0</v>
      </c>
      <c r="AX32" s="439" t="e">
        <f ca="1">IF(AND(NOT(ISBLANK(Jumpoverwrite10)),AND(NOT(AW32),AND(AW$4:AW31))),($J32*$G32-LN(1+Jumpoverwrite10*AY$2))/$G32,_xll.qlInterpolationInterpolate(AW$3,$F32,TRUE))</f>
        <v>#NAME?</v>
      </c>
      <c r="AY32" s="439" t="str">
        <f ca="1">IF(AND(NOT(AW32),AND(AW$4:AW31)),MIN(EXP((AX32-$J32)*$G32),1),"")</f>
        <v/>
      </c>
      <c r="BA32" s="440" t="b">
        <f ca="1">IF(AND(NOT(AW32),AND(AW$4:AW31)),TRUE,AW32)</f>
        <v>0</v>
      </c>
      <c r="BB32" s="439" t="e">
        <f ca="1">IF(AND(NOT(ISBLANK(Jumpoverwrite11)),AND(NOT(BA32),AND(BA$4:BA31))),($J32*$G32-LN(1+Jumpoverwrite11*BC$2))/$G32,_xll.qlInterpolationInterpolate(BA$3,$F32,TRUE))</f>
        <v>#NAME?</v>
      </c>
      <c r="BC32" s="439" t="str">
        <f ca="1">IF(AND(NOT(BA32),AND(BA$4:BA31)),MIN(EXP((BB32-$J32)*$G32),1),"")</f>
        <v/>
      </c>
      <c r="BE32" s="440" t="b">
        <f ca="1">IF(AND(NOT(BA32),AND(BA$4:BA31)),TRUE,BA32)</f>
        <v>0</v>
      </c>
      <c r="BF32" s="439" t="e">
        <f ca="1">IF(AND(NOT(ISBLANK(Jumpoverwrite12)),AND(NOT(BE32),AND(BE$4:BE31))),($J32*$G32-LN(1+Jumpoverwrite12*BG$2))/$G32,_xll.qlInterpolationInterpolate(BE$3,$F32,TRUE))</f>
        <v>#NAME?</v>
      </c>
      <c r="BG32" s="439" t="str">
        <f ca="1">IF(AND(NOT(BE32),AND(BE$4:BE31)),MIN(EXP((BF32-$J32)*$G32),1),"")</f>
        <v/>
      </c>
      <c r="BI32" s="440" t="b">
        <f t="shared" ca="1" si="3"/>
        <v>0</v>
      </c>
      <c r="BJ32" s="439" t="e">
        <f ca="1">IF(AND(NOT(ISBLANK(jumpoverwrite13)),AND(NOT(BI32),AND(BI$4:BI31))),($J32*$G32-LN(1+jumpoverwrite13*BK$2))/$G32,_xll.qlInterpolationInterpolate(BI$3,$F32,TRUE))</f>
        <v>#NAME?</v>
      </c>
      <c r="BK32" s="439" t="str">
        <f ca="1">IF(AND(NOT(BI32),AND(BI$4:BI31)),MIN(EXP((BJ32-$J32)*$G32),1),"")</f>
        <v/>
      </c>
    </row>
    <row r="33" spans="1:63" x14ac:dyDescent="0.2">
      <c r="A33" s="438" t="e">
        <f ca="1"/>
        <v>#NAME?</v>
      </c>
      <c r="B33" s="437" t="e">
        <f ca="1">_xll.qlRateHelperRate($A33,InterestRatesTrigger)</f>
        <v>#NAME?</v>
      </c>
      <c r="C33" s="436" t="e">
        <f ca="1">_xll.qlRateHelperEarliestDate($A33)</f>
        <v>#NAME?</v>
      </c>
      <c r="D33" s="435" t="e">
        <f ca="1">_xll.qlRateHelperPillarDate($A33)</f>
        <v>#NAME?</v>
      </c>
      <c r="F33" s="445" t="e">
        <f t="shared" ca="1" si="1"/>
        <v>#N/A</v>
      </c>
      <c r="G33" s="444" t="e">
        <f ca="1">_xll.qlDayCounterYearFraction(DayCounter,D32,D33)</f>
        <v>#NAME?</v>
      </c>
      <c r="I33" s="443" t="b">
        <f t="shared" ca="1" si="2"/>
        <v>0</v>
      </c>
      <c r="J33" s="442" t="e">
        <f ca="1"/>
        <v>#NAME?</v>
      </c>
      <c r="K33" s="441" t="e">
        <f t="shared" ca="1" si="0"/>
        <v>#NAME?</v>
      </c>
      <c r="L33" s="429"/>
      <c r="M33" s="440" t="b">
        <f ca="1">IF(AND(NOT(I33),AND(I$4:I32)),TRUE,I33)</f>
        <v>0</v>
      </c>
      <c r="N33" s="439" t="e">
        <f ca="1">IF(AND(NOT(ISBLANK(Jumpoverwrite1)),AND(NOT(M33),AND(M$4:M32))),($J33*$G33-LN(1+Jumpoverwrite1*O$2))/$G33,_xll.qlInterpolationInterpolate(M$3,$F33,TRUE))</f>
        <v>#NAME?</v>
      </c>
      <c r="O33" s="439" t="str">
        <f ca="1">IF(AND(NOT(M33),AND(M$4:M32)),MIN(EXP((N33-$J33)*$G33),1),"")</f>
        <v/>
      </c>
      <c r="P33" s="428"/>
      <c r="Q33" s="440" t="b">
        <f ca="1">IF(AND(NOT(M33),AND(M$4:M32)),TRUE,M33)</f>
        <v>0</v>
      </c>
      <c r="R33" s="439" t="e">
        <f ca="1">IF(AND(NOT(ISBLANK(Jumpoverwrite2)),AND(NOT(Q33),AND(Q$4:Q32))),($J33*$G33-LN(1+Jumpoverwrite2*S$2))/$G33,_xll.qlInterpolationInterpolate(Q$3,$F33,TRUE))</f>
        <v>#NAME?</v>
      </c>
      <c r="S33" s="439" t="str">
        <f ca="1">IF(AND(NOT(Q33),AND(Q$4:Q32)),MIN(EXP((R33-$J33)*$G33),1),"")</f>
        <v/>
      </c>
      <c r="T33" s="428"/>
      <c r="U33" s="440" t="b">
        <f ca="1">IF(AND(NOT(Q33),AND(Q$4:Q32)),TRUE,Q33)</f>
        <v>0</v>
      </c>
      <c r="V33" s="439" t="e">
        <f ca="1">IF(AND(NOT(ISBLANK(Jumpoverwrite3)),AND(NOT(U33),AND(U$4:U32))),($J33*$G33-LN(1+Jumpoverwrite3*W$2))/$G33,_xll.qlInterpolationInterpolate(U$3,$F33,TRUE))</f>
        <v>#NAME?</v>
      </c>
      <c r="W33" s="439" t="str">
        <f ca="1">IF(AND(NOT(U33),AND(U$4:U32)),MIN(EXP((V33-$J33)*$G33),1),"")</f>
        <v/>
      </c>
      <c r="X33" s="428"/>
      <c r="Y33" s="440" t="b">
        <f ca="1">IF(AND(NOT(U33),AND(U$4:U32)),TRUE,U33)</f>
        <v>0</v>
      </c>
      <c r="Z33" s="439" t="e">
        <f ca="1">IF(AND(NOT(ISBLANK(Jumpoverwrite4)),AND(NOT(Y33),AND(Y$4:Y32))),($J33*$G33-LN(1+Jumpoverwrite4*AA$2))/$G33,_xll.qlInterpolationInterpolate(Y$3,$F33,TRUE))</f>
        <v>#NAME?</v>
      </c>
      <c r="AA33" s="439" t="str">
        <f ca="1">IF(AND(NOT(Y33),AND(Y$4:Y32)),MIN(EXP((Z33-$J33)*$G33),1),"")</f>
        <v/>
      </c>
      <c r="AB33" s="428"/>
      <c r="AC33" s="440" t="b">
        <f ca="1">IF(AND(NOT(Y33),AND(Y$4:Y32)),TRUE,Y33)</f>
        <v>0</v>
      </c>
      <c r="AD33" s="439" t="e">
        <f ca="1">IF(AND(NOT(ISBLANK(Jumpoverwrite5)),AND(NOT(AC33),AND(AC$4:AC32))),($J33*$G33-LN(1+Jumpoverwrite5*AE$2))/$G33,_xll.qlInterpolationInterpolate(AC$3,$F33,TRUE))</f>
        <v>#NAME?</v>
      </c>
      <c r="AE33" s="439" t="str">
        <f ca="1">IF(AND(NOT(AC33),AND(AC$4:AC32)),MIN(EXP((AD33-$J33)*$G33),1),"")</f>
        <v/>
      </c>
      <c r="AF33" s="428"/>
      <c r="AG33" s="440" t="b">
        <f ca="1">IF(AND(NOT(AC33),AND(AC$4:AC32)),TRUE,AC33)</f>
        <v>0</v>
      </c>
      <c r="AH33" s="439" t="e">
        <f ca="1">IF(AND(NOT(ISBLANK(Jumpoverwrite6)),AND(NOT(AG33),AND(AG$4:AG32))),($J33*$G33-LN(1+Jumpoverwrite6*AI$2))/$G33,_xll.qlInterpolationInterpolate(AG$3,$F33,TRUE))</f>
        <v>#NAME?</v>
      </c>
      <c r="AI33" s="439" t="str">
        <f ca="1">IF(AND(NOT(AG33),AND(AG$4:AG32)),MIN(EXP((AH33-$J33)*$G33),1),"")</f>
        <v/>
      </c>
      <c r="AJ33" s="428"/>
      <c r="AK33" s="440" t="b">
        <f ca="1">IF(AND(NOT(AG33),AND(AG$4:AG32)),TRUE,AG33)</f>
        <v>0</v>
      </c>
      <c r="AL33" s="439" t="e">
        <f ca="1">IF(AND(NOT(ISBLANK(Jumpoverwrite7)),AND(NOT(AK33),AND(AK$4:AK32))),($J33*$G33-LN(1+Jumpoverwrite7*AM$2))/$G33,_xll.qlInterpolationInterpolate(AK$3,$F33,TRUE))</f>
        <v>#NAME?</v>
      </c>
      <c r="AM33" s="439" t="str">
        <f ca="1">IF(AND(NOT(AK33),AND(AK$4:AK32)),MIN(EXP((AL33-$J33)*$G33),1),"")</f>
        <v/>
      </c>
      <c r="AO33" s="440" t="b">
        <f ca="1">IF(AND(NOT(AK33),AND(AK$4:AK32)),TRUE,AK33)</f>
        <v>0</v>
      </c>
      <c r="AP33" s="439" t="e">
        <f ca="1">IF(AND(NOT(ISBLANK(Jumpoverwrite8)),AND(NOT(AO33),AND(AO$4:AO32))),($J33*$G33-LN(1+Jumpoverwrite8*AQ$2))/$G33,_xll.qlInterpolationInterpolate(AO$3,$F33,TRUE))</f>
        <v>#NAME?</v>
      </c>
      <c r="AQ33" s="439" t="str">
        <f ca="1">IF(AND(NOT(AO33),AND(AO$4:AO32)),MIN(EXP((AP33-$J33)*$G33),1),"")</f>
        <v/>
      </c>
      <c r="AS33" s="440" t="b">
        <f ca="1">IF(AND(NOT(AO33),AND(AO$4:AO32)),TRUE,AO33)</f>
        <v>0</v>
      </c>
      <c r="AT33" s="439" t="e">
        <f ca="1">IF(AND(NOT(ISBLANK(Jumpoverwrite9)),AND(NOT(AS33),AND(AS$4:AS32))),($J33*$G33-LN(1+Jumpoverwrite9*AU$2))/$G33,_xll.qlInterpolationInterpolate(AS$3,$F33,TRUE))</f>
        <v>#NAME?</v>
      </c>
      <c r="AU33" s="439" t="str">
        <f ca="1">IF(AND(NOT(AS33),AND(AS$4:AS32)),MIN(EXP((AT33-$J33)*$G33),1),"")</f>
        <v/>
      </c>
      <c r="AW33" s="440" t="b">
        <f ca="1">IF(AND(NOT(AS33),AND(AS$4:AS32)),TRUE,AS33)</f>
        <v>0</v>
      </c>
      <c r="AX33" s="439" t="e">
        <f ca="1">IF(AND(NOT(ISBLANK(Jumpoverwrite10)),AND(NOT(AW33),AND(AW$4:AW32))),($J33*$G33-LN(1+Jumpoverwrite10*AY$2))/$G33,_xll.qlInterpolationInterpolate(AW$3,$F33,TRUE))</f>
        <v>#NAME?</v>
      </c>
      <c r="AY33" s="439" t="str">
        <f ca="1">IF(AND(NOT(AW33),AND(AW$4:AW32)),MIN(EXP((AX33-$J33)*$G33),1),"")</f>
        <v/>
      </c>
      <c r="BA33" s="440" t="b">
        <f ca="1">IF(AND(NOT(AW33),AND(AW$4:AW32)),TRUE,AW33)</f>
        <v>0</v>
      </c>
      <c r="BB33" s="439" t="e">
        <f ca="1">IF(AND(NOT(ISBLANK(Jumpoverwrite11)),AND(NOT(BA33),AND(BA$4:BA32))),($J33*$G33-LN(1+Jumpoverwrite11*BC$2))/$G33,_xll.qlInterpolationInterpolate(BA$3,$F33,TRUE))</f>
        <v>#NAME?</v>
      </c>
      <c r="BC33" s="439" t="str">
        <f ca="1">IF(AND(NOT(BA33),AND(BA$4:BA32)),MIN(EXP((BB33-$J33)*$G33),1),"")</f>
        <v/>
      </c>
      <c r="BE33" s="440" t="b">
        <f ca="1">IF(AND(NOT(BA33),AND(BA$4:BA32)),TRUE,BA33)</f>
        <v>0</v>
      </c>
      <c r="BF33" s="439" t="e">
        <f ca="1">IF(AND(NOT(ISBLANK(Jumpoverwrite12)),AND(NOT(BE33),AND(BE$4:BE32))),($J33*$G33-LN(1+Jumpoverwrite12*BG$2))/$G33,_xll.qlInterpolationInterpolate(BE$3,$F33,TRUE))</f>
        <v>#NAME?</v>
      </c>
      <c r="BG33" s="439" t="str">
        <f ca="1">IF(AND(NOT(BE33),AND(BE$4:BE32)),MIN(EXP((BF33-$J33)*$G33),1),"")</f>
        <v/>
      </c>
      <c r="BI33" s="440" t="b">
        <f t="shared" ca="1" si="3"/>
        <v>0</v>
      </c>
      <c r="BJ33" s="439" t="e">
        <f ca="1">IF(AND(NOT(ISBLANK(jumpoverwrite13)),AND(NOT(BI33),AND(BI$4:BI32))),($J33*$G33-LN(1+jumpoverwrite13*BK$2))/$G33,_xll.qlInterpolationInterpolate(BI$3,$F33,TRUE))</f>
        <v>#NAME?</v>
      </c>
      <c r="BK33" s="439" t="str">
        <f ca="1">IF(AND(NOT(BI33),AND(BI$4:BI32)),MIN(EXP((BJ33-$J33)*$G33),1),"")</f>
        <v/>
      </c>
    </row>
    <row r="34" spans="1:63" x14ac:dyDescent="0.2">
      <c r="A34" s="438" t="e">
        <f ca="1"/>
        <v>#NAME?</v>
      </c>
      <c r="B34" s="437" t="e">
        <f ca="1">_xll.qlRateHelperRate($A34,InterestRatesTrigger)</f>
        <v>#NAME?</v>
      </c>
      <c r="C34" s="436" t="e">
        <f ca="1">_xll.qlRateHelperEarliestDate($A34)</f>
        <v>#NAME?</v>
      </c>
      <c r="D34" s="435" t="e">
        <f ca="1">_xll.qlRateHelperPillarDate($A34)</f>
        <v>#NAME?</v>
      </c>
      <c r="F34" s="445" t="e">
        <f t="shared" ca="1" si="1"/>
        <v>#N/A</v>
      </c>
      <c r="G34" s="444" t="e">
        <f ca="1">_xll.qlDayCounterYearFraction(DayCounter,D33,D34)</f>
        <v>#NAME?</v>
      </c>
      <c r="I34" s="443" t="b">
        <f t="shared" ca="1" si="2"/>
        <v>0</v>
      </c>
      <c r="J34" s="442" t="e">
        <f ca="1"/>
        <v>#NAME?</v>
      </c>
      <c r="K34" s="441" t="e">
        <f t="shared" ca="1" si="0"/>
        <v>#NAME?</v>
      </c>
      <c r="L34" s="429"/>
      <c r="M34" s="440" t="b">
        <f ca="1">IF(AND(NOT(I34),AND(I$4:I33)),TRUE,I34)</f>
        <v>0</v>
      </c>
      <c r="N34" s="439" t="e">
        <f ca="1">IF(AND(NOT(ISBLANK(Jumpoverwrite1)),AND(NOT(M34),AND(M$4:M33))),($J34*$G34-LN(1+Jumpoverwrite1*O$2))/$G34,_xll.qlInterpolationInterpolate(M$3,$F34,TRUE))</f>
        <v>#NAME?</v>
      </c>
      <c r="O34" s="439" t="str">
        <f ca="1">IF(AND(NOT(M34),AND(M$4:M33)),MIN(EXP((N34-$J34)*$G34),1),"")</f>
        <v/>
      </c>
      <c r="P34" s="428"/>
      <c r="Q34" s="440" t="b">
        <f ca="1">IF(AND(NOT(M34),AND(M$4:M33)),TRUE,M34)</f>
        <v>0</v>
      </c>
      <c r="R34" s="439" t="e">
        <f ca="1">IF(AND(NOT(ISBLANK(Jumpoverwrite2)),AND(NOT(Q34),AND(Q$4:Q33))),($J34*$G34-LN(1+Jumpoverwrite2*S$2))/$G34,_xll.qlInterpolationInterpolate(Q$3,$F34,TRUE))</f>
        <v>#NAME?</v>
      </c>
      <c r="S34" s="439" t="str">
        <f ca="1">IF(AND(NOT(Q34),AND(Q$4:Q33)),MIN(EXP((R34-$J34)*$G34),1),"")</f>
        <v/>
      </c>
      <c r="T34" s="428"/>
      <c r="U34" s="440" t="b">
        <f ca="1">IF(AND(NOT(Q34),AND(Q$4:Q33)),TRUE,Q34)</f>
        <v>0</v>
      </c>
      <c r="V34" s="439" t="e">
        <f ca="1">IF(AND(NOT(ISBLANK(Jumpoverwrite3)),AND(NOT(U34),AND(U$4:U33))),($J34*$G34-LN(1+Jumpoverwrite3*W$2))/$G34,_xll.qlInterpolationInterpolate(U$3,$F34,TRUE))</f>
        <v>#NAME?</v>
      </c>
      <c r="W34" s="439" t="str">
        <f ca="1">IF(AND(NOT(U34),AND(U$4:U33)),MIN(EXP((V34-$J34)*$G34),1),"")</f>
        <v/>
      </c>
      <c r="X34" s="428"/>
      <c r="Y34" s="440" t="b">
        <f ca="1">IF(AND(NOT(U34),AND(U$4:U33)),TRUE,U34)</f>
        <v>0</v>
      </c>
      <c r="Z34" s="439" t="e">
        <f ca="1">IF(AND(NOT(ISBLANK(Jumpoverwrite4)),AND(NOT(Y34),AND(Y$4:Y33))),($J34*$G34-LN(1+Jumpoverwrite4*AA$2))/$G34,_xll.qlInterpolationInterpolate(Y$3,$F34,TRUE))</f>
        <v>#NAME?</v>
      </c>
      <c r="AA34" s="439" t="str">
        <f ca="1">IF(AND(NOT(Y34),AND(Y$4:Y33)),MIN(EXP((Z34-$J34)*$G34),1),"")</f>
        <v/>
      </c>
      <c r="AB34" s="428"/>
      <c r="AC34" s="440" t="b">
        <f ca="1">IF(AND(NOT(Y34),AND(Y$4:Y33)),TRUE,Y34)</f>
        <v>0</v>
      </c>
      <c r="AD34" s="439" t="e">
        <f ca="1">IF(AND(NOT(ISBLANK(Jumpoverwrite5)),AND(NOT(AC34),AND(AC$4:AC33))),($J34*$G34-LN(1+Jumpoverwrite5*AE$2))/$G34,_xll.qlInterpolationInterpolate(AC$3,$F34,TRUE))</f>
        <v>#NAME?</v>
      </c>
      <c r="AE34" s="439" t="str">
        <f ca="1">IF(AND(NOT(AC34),AND(AC$4:AC33)),MIN(EXP((AD34-$J34)*$G34),1),"")</f>
        <v/>
      </c>
      <c r="AF34" s="428"/>
      <c r="AG34" s="440" t="b">
        <f ca="1">IF(AND(NOT(AC34),AND(AC$4:AC33)),TRUE,AC34)</f>
        <v>0</v>
      </c>
      <c r="AH34" s="439" t="e">
        <f ca="1">IF(AND(NOT(ISBLANK(Jumpoverwrite6)),AND(NOT(AG34),AND(AG$4:AG33))),($J34*$G34-LN(1+Jumpoverwrite6*AI$2))/$G34,_xll.qlInterpolationInterpolate(AG$3,$F34,TRUE))</f>
        <v>#NAME?</v>
      </c>
      <c r="AI34" s="439" t="str">
        <f ca="1">IF(AND(NOT(AG34),AND(AG$4:AG33)),MIN(EXP((AH34-$J34)*$G34),1),"")</f>
        <v/>
      </c>
      <c r="AJ34" s="428"/>
      <c r="AK34" s="440" t="b">
        <f ca="1">IF(AND(NOT(AG34),AND(AG$4:AG33)),TRUE,AG34)</f>
        <v>0</v>
      </c>
      <c r="AL34" s="439" t="e">
        <f ca="1">IF(AND(NOT(ISBLANK(Jumpoverwrite7)),AND(NOT(AK34),AND(AK$4:AK33))),($J34*$G34-LN(1+Jumpoverwrite7*AM$2))/$G34,_xll.qlInterpolationInterpolate(AK$3,$F34,TRUE))</f>
        <v>#NAME?</v>
      </c>
      <c r="AM34" s="439" t="str">
        <f ca="1">IF(AND(NOT(AK34),AND(AK$4:AK33)),MIN(EXP((AL34-$J34)*$G34),1),"")</f>
        <v/>
      </c>
      <c r="AO34" s="440" t="b">
        <f ca="1">IF(AND(NOT(AK34),AND(AK$4:AK33)),TRUE,AK34)</f>
        <v>0</v>
      </c>
      <c r="AP34" s="439" t="e">
        <f ca="1">IF(AND(NOT(ISBLANK(Jumpoverwrite8)),AND(NOT(AO34),AND(AO$4:AO33))),($J34*$G34-LN(1+Jumpoverwrite8*AQ$2))/$G34,_xll.qlInterpolationInterpolate(AO$3,$F34,TRUE))</f>
        <v>#NAME?</v>
      </c>
      <c r="AQ34" s="439" t="str">
        <f ca="1">IF(AND(NOT(AO34),AND(AO$4:AO33)),MIN(EXP((AP34-$J34)*$G34),1),"")</f>
        <v/>
      </c>
      <c r="AS34" s="440" t="b">
        <f ca="1">IF(AND(NOT(AO34),AND(AO$4:AO33)),TRUE,AO34)</f>
        <v>0</v>
      </c>
      <c r="AT34" s="439" t="e">
        <f ca="1">IF(AND(NOT(ISBLANK(Jumpoverwrite9)),AND(NOT(AS34),AND(AS$4:AS33))),($J34*$G34-LN(1+Jumpoverwrite9*AU$2))/$G34,_xll.qlInterpolationInterpolate(AS$3,$F34,TRUE))</f>
        <v>#NAME?</v>
      </c>
      <c r="AU34" s="439" t="str">
        <f ca="1">IF(AND(NOT(AS34),AND(AS$4:AS33)),MIN(EXP((AT34-$J34)*$G34),1),"")</f>
        <v/>
      </c>
      <c r="AW34" s="440" t="b">
        <f ca="1">IF(AND(NOT(AS34),AND(AS$4:AS33)),TRUE,AS34)</f>
        <v>0</v>
      </c>
      <c r="AX34" s="439" t="e">
        <f ca="1">IF(AND(NOT(ISBLANK(Jumpoverwrite10)),AND(NOT(AW34),AND(AW$4:AW33))),($J34*$G34-LN(1+Jumpoverwrite10*AY$2))/$G34,_xll.qlInterpolationInterpolate(AW$3,$F34,TRUE))</f>
        <v>#NAME?</v>
      </c>
      <c r="AY34" s="439" t="str">
        <f ca="1">IF(AND(NOT(AW34),AND(AW$4:AW33)),MIN(EXP((AX34-$J34)*$G34),1),"")</f>
        <v/>
      </c>
      <c r="BA34" s="440" t="b">
        <f ca="1">IF(AND(NOT(AW34),AND(AW$4:AW33)),TRUE,AW34)</f>
        <v>0</v>
      </c>
      <c r="BB34" s="439" t="e">
        <f ca="1">IF(AND(NOT(ISBLANK(Jumpoverwrite11)),AND(NOT(BA34),AND(BA$4:BA33))),($J34*$G34-LN(1+Jumpoverwrite11*BC$2))/$G34,_xll.qlInterpolationInterpolate(BA$3,$F34,TRUE))</f>
        <v>#NAME?</v>
      </c>
      <c r="BC34" s="439" t="str">
        <f ca="1">IF(AND(NOT(BA34),AND(BA$4:BA33)),MIN(EXP((BB34-$J34)*$G34),1),"")</f>
        <v/>
      </c>
      <c r="BE34" s="440" t="b">
        <f ca="1">IF(AND(NOT(BA34),AND(BA$4:BA33)),TRUE,BA34)</f>
        <v>0</v>
      </c>
      <c r="BF34" s="439" t="e">
        <f ca="1">IF(AND(NOT(ISBLANK(Jumpoverwrite12)),AND(NOT(BE34),AND(BE$4:BE33))),($J34*$G34-LN(1+Jumpoverwrite12*BG$2))/$G34,_xll.qlInterpolationInterpolate(BE$3,$F34,TRUE))</f>
        <v>#NAME?</v>
      </c>
      <c r="BG34" s="439" t="str">
        <f ca="1">IF(AND(NOT(BE34),AND(BE$4:BE33)),MIN(EXP((BF34-$J34)*$G34),1),"")</f>
        <v/>
      </c>
      <c r="BI34" s="440" t="b">
        <f t="shared" ca="1" si="3"/>
        <v>0</v>
      </c>
      <c r="BJ34" s="439" t="e">
        <f ca="1">IF(AND(NOT(ISBLANK(jumpoverwrite13)),AND(NOT(BI34),AND(BI$4:BI33))),($J34*$G34-LN(1+jumpoverwrite13*BK$2))/$G34,_xll.qlInterpolationInterpolate(BI$3,$F34,TRUE))</f>
        <v>#NAME?</v>
      </c>
      <c r="BK34" s="439" t="str">
        <f ca="1">IF(AND(NOT(BI34),AND(BI$4:BI33)),MIN(EXP((BJ34-$J34)*$G34),1),"")</f>
        <v/>
      </c>
    </row>
    <row r="35" spans="1:63" x14ac:dyDescent="0.2">
      <c r="A35" s="438" t="e">
        <f ca="1"/>
        <v>#NAME?</v>
      </c>
      <c r="B35" s="437" t="e">
        <f ca="1">_xll.qlRateHelperRate($A35,InterestRatesTrigger)</f>
        <v>#NAME?</v>
      </c>
      <c r="C35" s="436" t="e">
        <f ca="1">_xll.qlRateHelperEarliestDate($A35)</f>
        <v>#NAME?</v>
      </c>
      <c r="D35" s="435" t="e">
        <f ca="1">_xll.qlRateHelperPillarDate($A35)</f>
        <v>#NAME?</v>
      </c>
      <c r="F35" s="445" t="e">
        <f t="shared" ca="1" si="1"/>
        <v>#N/A</v>
      </c>
      <c r="G35" s="444" t="e">
        <f ca="1">_xll.qlDayCounterYearFraction(DayCounter,D34,D35)</f>
        <v>#NAME?</v>
      </c>
      <c r="I35" s="443" t="b">
        <f t="shared" ca="1" si="2"/>
        <v>0</v>
      </c>
      <c r="J35" s="442" t="e">
        <f ca="1"/>
        <v>#NAME?</v>
      </c>
      <c r="K35" s="441" t="e">
        <f t="shared" ca="1" si="0"/>
        <v>#NAME?</v>
      </c>
      <c r="L35" s="429"/>
      <c r="M35" s="440" t="b">
        <f ca="1">IF(AND(NOT(I35),AND(I$4:I34)),TRUE,I35)</f>
        <v>0</v>
      </c>
      <c r="N35" s="439" t="e">
        <f ca="1">IF(AND(NOT(ISBLANK(Jumpoverwrite1)),AND(NOT(M35),AND(M$4:M34))),($J35*$G35-LN(1+Jumpoverwrite1*O$2))/$G35,_xll.qlInterpolationInterpolate(M$3,$F35,TRUE))</f>
        <v>#NAME?</v>
      </c>
      <c r="O35" s="439" t="str">
        <f ca="1">IF(AND(NOT(M35),AND(M$4:M34)),MIN(EXP((N35-$J35)*$G35),1),"")</f>
        <v/>
      </c>
      <c r="P35" s="428"/>
      <c r="Q35" s="440" t="b">
        <f ca="1">IF(AND(NOT(M35),AND(M$4:M34)),TRUE,M35)</f>
        <v>0</v>
      </c>
      <c r="R35" s="439" t="e">
        <f ca="1">IF(AND(NOT(ISBLANK(Jumpoverwrite2)),AND(NOT(Q35),AND(Q$4:Q34))),($J35*$G35-LN(1+Jumpoverwrite2*S$2))/$G35,_xll.qlInterpolationInterpolate(Q$3,$F35,TRUE))</f>
        <v>#NAME?</v>
      </c>
      <c r="S35" s="439" t="str">
        <f ca="1">IF(AND(NOT(Q35),AND(Q$4:Q34)),MIN(EXP((R35-$J35)*$G35),1),"")</f>
        <v/>
      </c>
      <c r="T35" s="428"/>
      <c r="U35" s="440" t="b">
        <f ca="1">IF(AND(NOT(Q35),AND(Q$4:Q34)),TRUE,Q35)</f>
        <v>0</v>
      </c>
      <c r="V35" s="439" t="e">
        <f ca="1">IF(AND(NOT(ISBLANK(Jumpoverwrite3)),AND(NOT(U35),AND(U$4:U34))),($J35*$G35-LN(1+Jumpoverwrite3*W$2))/$G35,_xll.qlInterpolationInterpolate(U$3,$F35,TRUE))</f>
        <v>#NAME?</v>
      </c>
      <c r="W35" s="439" t="str">
        <f ca="1">IF(AND(NOT(U35),AND(U$4:U34)),MIN(EXP((V35-$J35)*$G35),1),"")</f>
        <v/>
      </c>
      <c r="X35" s="428"/>
      <c r="Y35" s="440" t="b">
        <f ca="1">IF(AND(NOT(U35),AND(U$4:U34)),TRUE,U35)</f>
        <v>0</v>
      </c>
      <c r="Z35" s="439" t="e">
        <f ca="1">IF(AND(NOT(ISBLANK(Jumpoverwrite4)),AND(NOT(Y35),AND(Y$4:Y34))),($J35*$G35-LN(1+Jumpoverwrite4*AA$2))/$G35,_xll.qlInterpolationInterpolate(Y$3,$F35,TRUE))</f>
        <v>#NAME?</v>
      </c>
      <c r="AA35" s="439" t="str">
        <f ca="1">IF(AND(NOT(Y35),AND(Y$4:Y34)),MIN(EXP((Z35-$J35)*$G35),1),"")</f>
        <v/>
      </c>
      <c r="AB35" s="428"/>
      <c r="AC35" s="440" t="b">
        <f ca="1">IF(AND(NOT(Y35),AND(Y$4:Y34)),TRUE,Y35)</f>
        <v>0</v>
      </c>
      <c r="AD35" s="439" t="e">
        <f ca="1">IF(AND(NOT(ISBLANK(Jumpoverwrite5)),AND(NOT(AC35),AND(AC$4:AC34))),($J35*$G35-LN(1+Jumpoverwrite5*AE$2))/$G35,_xll.qlInterpolationInterpolate(AC$3,$F35,TRUE))</f>
        <v>#NAME?</v>
      </c>
      <c r="AE35" s="439" t="str">
        <f ca="1">IF(AND(NOT(AC35),AND(AC$4:AC34)),MIN(EXP((AD35-$J35)*$G35),1),"")</f>
        <v/>
      </c>
      <c r="AF35" s="428"/>
      <c r="AG35" s="440" t="b">
        <f ca="1">IF(AND(NOT(AC35),AND(AC$4:AC34)),TRUE,AC35)</f>
        <v>0</v>
      </c>
      <c r="AH35" s="439" t="e">
        <f ca="1">IF(AND(NOT(ISBLANK(Jumpoverwrite6)),AND(NOT(AG35),AND(AG$4:AG34))),($J35*$G35-LN(1+Jumpoverwrite6*AI$2))/$G35,_xll.qlInterpolationInterpolate(AG$3,$F35,TRUE))</f>
        <v>#NAME?</v>
      </c>
      <c r="AI35" s="439" t="str">
        <f ca="1">IF(AND(NOT(AG35),AND(AG$4:AG34)),MIN(EXP((AH35-$J35)*$G35),1),"")</f>
        <v/>
      </c>
      <c r="AJ35" s="428"/>
      <c r="AK35" s="440" t="b">
        <f ca="1">IF(AND(NOT(AG35),AND(AG$4:AG34)),TRUE,AG35)</f>
        <v>0</v>
      </c>
      <c r="AL35" s="439" t="e">
        <f ca="1">IF(AND(NOT(ISBLANK(Jumpoverwrite7)),AND(NOT(AK35),AND(AK$4:AK34))),($J35*$G35-LN(1+Jumpoverwrite7*AM$2))/$G35,_xll.qlInterpolationInterpolate(AK$3,$F35,TRUE))</f>
        <v>#NAME?</v>
      </c>
      <c r="AM35" s="439" t="str">
        <f ca="1">IF(AND(NOT(AK35),AND(AK$4:AK34)),MIN(EXP((AL35-$J35)*$G35),1),"")</f>
        <v/>
      </c>
      <c r="AO35" s="440" t="b">
        <f ca="1">IF(AND(NOT(AK35),AND(AK$4:AK34)),TRUE,AK35)</f>
        <v>0</v>
      </c>
      <c r="AP35" s="439" t="e">
        <f ca="1">IF(AND(NOT(ISBLANK(Jumpoverwrite8)),AND(NOT(AO35),AND(AO$4:AO34))),($J35*$G35-LN(1+Jumpoverwrite8*AQ$2))/$G35,_xll.qlInterpolationInterpolate(AO$3,$F35,TRUE))</f>
        <v>#NAME?</v>
      </c>
      <c r="AQ35" s="439" t="str">
        <f ca="1">IF(AND(NOT(AO35),AND(AO$4:AO34)),MIN(EXP((AP35-$J35)*$G35),1),"")</f>
        <v/>
      </c>
      <c r="AS35" s="440" t="b">
        <f ca="1">IF(AND(NOT(AO35),AND(AO$4:AO34)),TRUE,AO35)</f>
        <v>0</v>
      </c>
      <c r="AT35" s="439" t="e">
        <f ca="1">IF(AND(NOT(ISBLANK(Jumpoverwrite9)),AND(NOT(AS35),AND(AS$4:AS34))),($J35*$G35-LN(1+Jumpoverwrite9*AU$2))/$G35,_xll.qlInterpolationInterpolate(AS$3,$F35,TRUE))</f>
        <v>#NAME?</v>
      </c>
      <c r="AU35" s="439" t="str">
        <f ca="1">IF(AND(NOT(AS35),AND(AS$4:AS34)),MIN(EXP((AT35-$J35)*$G35),1),"")</f>
        <v/>
      </c>
      <c r="AW35" s="440" t="b">
        <f ca="1">IF(AND(NOT(AS35),AND(AS$4:AS34)),TRUE,AS35)</f>
        <v>0</v>
      </c>
      <c r="AX35" s="439" t="e">
        <f ca="1">IF(AND(NOT(ISBLANK(Jumpoverwrite10)),AND(NOT(AW35),AND(AW$4:AW34))),($J35*$G35-LN(1+Jumpoverwrite10*AY$2))/$G35,_xll.qlInterpolationInterpolate(AW$3,$F35,TRUE))</f>
        <v>#NAME?</v>
      </c>
      <c r="AY35" s="439" t="str">
        <f ca="1">IF(AND(NOT(AW35),AND(AW$4:AW34)),MIN(EXP((AX35-$J35)*$G35),1),"")</f>
        <v/>
      </c>
      <c r="BA35" s="440" t="b">
        <f ca="1">IF(AND(NOT(AW35),AND(AW$4:AW34)),TRUE,AW35)</f>
        <v>0</v>
      </c>
      <c r="BB35" s="439" t="e">
        <f ca="1">IF(AND(NOT(ISBLANK(Jumpoverwrite11)),AND(NOT(BA35),AND(BA$4:BA34))),($J35*$G35-LN(1+Jumpoverwrite11*BC$2))/$G35,_xll.qlInterpolationInterpolate(BA$3,$F35,TRUE))</f>
        <v>#NAME?</v>
      </c>
      <c r="BC35" s="439" t="str">
        <f ca="1">IF(AND(NOT(BA35),AND(BA$4:BA34)),MIN(EXP((BB35-$J35)*$G35),1),"")</f>
        <v/>
      </c>
      <c r="BE35" s="440" t="b">
        <f ca="1">IF(AND(NOT(BA35),AND(BA$4:BA34)),TRUE,BA35)</f>
        <v>0</v>
      </c>
      <c r="BF35" s="439" t="e">
        <f ca="1">IF(AND(NOT(ISBLANK(Jumpoverwrite12)),AND(NOT(BE35),AND(BE$4:BE34))),($J35*$G35-LN(1+Jumpoverwrite12*BG$2))/$G35,_xll.qlInterpolationInterpolate(BE$3,$F35,TRUE))</f>
        <v>#NAME?</v>
      </c>
      <c r="BG35" s="439" t="str">
        <f ca="1">IF(AND(NOT(BE35),AND(BE$4:BE34)),MIN(EXP((BF35-$J35)*$G35),1),"")</f>
        <v/>
      </c>
      <c r="BI35" s="440" t="b">
        <f t="shared" ca="1" si="3"/>
        <v>0</v>
      </c>
      <c r="BJ35" s="439" t="e">
        <f ca="1">IF(AND(NOT(ISBLANK(jumpoverwrite13)),AND(NOT(BI35),AND(BI$4:BI34))),($J35*$G35-LN(1+jumpoverwrite13*BK$2))/$G35,_xll.qlInterpolationInterpolate(BI$3,$F35,TRUE))</f>
        <v>#NAME?</v>
      </c>
      <c r="BK35" s="439" t="str">
        <f ca="1">IF(AND(NOT(BI35),AND(BI$4:BI34)),MIN(EXP((BJ35-$J35)*$G35),1),"")</f>
        <v/>
      </c>
    </row>
    <row r="36" spans="1:63" x14ac:dyDescent="0.2">
      <c r="A36" s="438" t="e">
        <f ca="1"/>
        <v>#NAME?</v>
      </c>
      <c r="B36" s="437" t="e">
        <f ca="1">_xll.qlRateHelperRate($A36,InterestRatesTrigger)</f>
        <v>#NAME?</v>
      </c>
      <c r="C36" s="436" t="e">
        <f ca="1">_xll.qlRateHelperEarliestDate($A36)</f>
        <v>#NAME?</v>
      </c>
      <c r="D36" s="435" t="e">
        <f ca="1">_xll.qlRateHelperPillarDate($A36)</f>
        <v>#NAME?</v>
      </c>
      <c r="F36" s="445" t="e">
        <f t="shared" ca="1" si="1"/>
        <v>#N/A</v>
      </c>
      <c r="G36" s="444" t="e">
        <f ca="1">_xll.qlDayCounterYearFraction(DayCounter,D35,D36)</f>
        <v>#NAME?</v>
      </c>
      <c r="I36" s="443" t="b">
        <f t="shared" ca="1" si="2"/>
        <v>0</v>
      </c>
      <c r="J36" s="442" t="e">
        <f ca="1"/>
        <v>#NAME?</v>
      </c>
      <c r="K36" s="441" t="e">
        <f t="shared" ref="K36:K67" ca="1" si="4">D36</f>
        <v>#NAME?</v>
      </c>
      <c r="L36" s="429"/>
      <c r="M36" s="440" t="b">
        <f ca="1">IF(AND(NOT(I36),AND(I$4:I35)),TRUE,I36)</f>
        <v>0</v>
      </c>
      <c r="N36" s="439" t="e">
        <f ca="1">IF(AND(NOT(ISBLANK(Jumpoverwrite1)),AND(NOT(M36),AND(M$4:M35))),($J36*$G36-LN(1+Jumpoverwrite1*O$2))/$G36,_xll.qlInterpolationInterpolate(M$3,$F36,TRUE))</f>
        <v>#NAME?</v>
      </c>
      <c r="O36" s="439" t="str">
        <f ca="1">IF(AND(NOT(M36),AND(M$4:M35)),MIN(EXP((N36-$J36)*$G36),1),"")</f>
        <v/>
      </c>
      <c r="P36" s="428"/>
      <c r="Q36" s="440" t="b">
        <f ca="1">IF(AND(NOT(M36),AND(M$4:M35)),TRUE,M36)</f>
        <v>0</v>
      </c>
      <c r="R36" s="439" t="e">
        <f ca="1">IF(AND(NOT(ISBLANK(Jumpoverwrite2)),AND(NOT(Q36),AND(Q$4:Q35))),($J36*$G36-LN(1+Jumpoverwrite2*S$2))/$G36,_xll.qlInterpolationInterpolate(Q$3,$F36,TRUE))</f>
        <v>#NAME?</v>
      </c>
      <c r="S36" s="439" t="str">
        <f ca="1">IF(AND(NOT(Q36),AND(Q$4:Q35)),MIN(EXP((R36-$J36)*$G36),1),"")</f>
        <v/>
      </c>
      <c r="T36" s="428"/>
      <c r="U36" s="440" t="b">
        <f ca="1">IF(AND(NOT(Q36),AND(Q$4:Q35)),TRUE,Q36)</f>
        <v>0</v>
      </c>
      <c r="V36" s="439" t="e">
        <f ca="1">IF(AND(NOT(ISBLANK(Jumpoverwrite3)),AND(NOT(U36),AND(U$4:U35))),($J36*$G36-LN(1+Jumpoverwrite3*W$2))/$G36,_xll.qlInterpolationInterpolate(U$3,$F36,TRUE))</f>
        <v>#NAME?</v>
      </c>
      <c r="W36" s="439" t="str">
        <f ca="1">IF(AND(NOT(U36),AND(U$4:U35)),MIN(EXP((V36-$J36)*$G36),1),"")</f>
        <v/>
      </c>
      <c r="X36" s="428"/>
      <c r="Y36" s="440" t="b">
        <f ca="1">IF(AND(NOT(U36),AND(U$4:U35)),TRUE,U36)</f>
        <v>0</v>
      </c>
      <c r="Z36" s="439" t="e">
        <f ca="1">IF(AND(NOT(ISBLANK(Jumpoverwrite4)),AND(NOT(Y36),AND(Y$4:Y35))),($J36*$G36-LN(1+Jumpoverwrite4*AA$2))/$G36,_xll.qlInterpolationInterpolate(Y$3,$F36,TRUE))</f>
        <v>#NAME?</v>
      </c>
      <c r="AA36" s="439" t="str">
        <f ca="1">IF(AND(NOT(Y36),AND(Y$4:Y35)),MIN(EXP((Z36-$J36)*$G36),1),"")</f>
        <v/>
      </c>
      <c r="AB36" s="428"/>
      <c r="AC36" s="440" t="b">
        <f ca="1">IF(AND(NOT(Y36),AND(Y$4:Y35)),TRUE,Y36)</f>
        <v>0</v>
      </c>
      <c r="AD36" s="439" t="e">
        <f ca="1">IF(AND(NOT(ISBLANK(Jumpoverwrite5)),AND(NOT(AC36),AND(AC$4:AC35))),($J36*$G36-LN(1+Jumpoverwrite5*AE$2))/$G36,_xll.qlInterpolationInterpolate(AC$3,$F36,TRUE))</f>
        <v>#NAME?</v>
      </c>
      <c r="AE36" s="439" t="str">
        <f ca="1">IF(AND(NOT(AC36),AND(AC$4:AC35)),MIN(EXP((AD36-$J36)*$G36),1),"")</f>
        <v/>
      </c>
      <c r="AF36" s="428"/>
      <c r="AG36" s="440" t="b">
        <f ca="1">IF(AND(NOT(AC36),AND(AC$4:AC35)),TRUE,AC36)</f>
        <v>0</v>
      </c>
      <c r="AH36" s="439" t="e">
        <f ca="1">IF(AND(NOT(ISBLANK(Jumpoverwrite6)),AND(NOT(AG36),AND(AG$4:AG35))),($J36*$G36-LN(1+Jumpoverwrite6*AI$2))/$G36,_xll.qlInterpolationInterpolate(AG$3,$F36,TRUE))</f>
        <v>#NAME?</v>
      </c>
      <c r="AI36" s="439" t="str">
        <f ca="1">IF(AND(NOT(AG36),AND(AG$4:AG35)),MIN(EXP((AH36-$J36)*$G36),1),"")</f>
        <v/>
      </c>
      <c r="AJ36" s="428"/>
      <c r="AK36" s="440" t="b">
        <f ca="1">IF(AND(NOT(AG36),AND(AG$4:AG35)),TRUE,AG36)</f>
        <v>0</v>
      </c>
      <c r="AL36" s="439" t="e">
        <f ca="1">IF(AND(NOT(ISBLANK(Jumpoverwrite7)),AND(NOT(AK36),AND(AK$4:AK35))),($J36*$G36-LN(1+Jumpoverwrite7*AM$2))/$G36,_xll.qlInterpolationInterpolate(AK$3,$F36,TRUE))</f>
        <v>#NAME?</v>
      </c>
      <c r="AM36" s="439" t="str">
        <f ca="1">IF(AND(NOT(AK36),AND(AK$4:AK35)),MIN(EXP((AL36-$J36)*$G36),1),"")</f>
        <v/>
      </c>
      <c r="AO36" s="440" t="b">
        <f ca="1">IF(AND(NOT(AK36),AND(AK$4:AK35)),TRUE,AK36)</f>
        <v>0</v>
      </c>
      <c r="AP36" s="439" t="e">
        <f ca="1">IF(AND(NOT(ISBLANK(Jumpoverwrite8)),AND(NOT(AO36),AND(AO$4:AO35))),($J36*$G36-LN(1+Jumpoverwrite8*AQ$2))/$G36,_xll.qlInterpolationInterpolate(AO$3,$F36,TRUE))</f>
        <v>#NAME?</v>
      </c>
      <c r="AQ36" s="439" t="str">
        <f ca="1">IF(AND(NOT(AO36),AND(AO$4:AO35)),MIN(EXP((AP36-$J36)*$G36),1),"")</f>
        <v/>
      </c>
      <c r="AS36" s="440" t="b">
        <f ca="1">IF(AND(NOT(AO36),AND(AO$4:AO35)),TRUE,AO36)</f>
        <v>0</v>
      </c>
      <c r="AT36" s="439" t="e">
        <f ca="1">IF(AND(NOT(ISBLANK(Jumpoverwrite9)),AND(NOT(AS36),AND(AS$4:AS35))),($J36*$G36-LN(1+Jumpoverwrite9*AU$2))/$G36,_xll.qlInterpolationInterpolate(AS$3,$F36,TRUE))</f>
        <v>#NAME?</v>
      </c>
      <c r="AU36" s="439" t="str">
        <f ca="1">IF(AND(NOT(AS36),AND(AS$4:AS35)),MIN(EXP((AT36-$J36)*$G36),1),"")</f>
        <v/>
      </c>
      <c r="AW36" s="440" t="b">
        <f ca="1">IF(AND(NOT(AS36),AND(AS$4:AS35)),TRUE,AS36)</f>
        <v>0</v>
      </c>
      <c r="AX36" s="439" t="e">
        <f ca="1">IF(AND(NOT(ISBLANK(Jumpoverwrite10)),AND(NOT(AW36),AND(AW$4:AW35))),($J36*$G36-LN(1+Jumpoverwrite10*AY$2))/$G36,_xll.qlInterpolationInterpolate(AW$3,$F36,TRUE))</f>
        <v>#NAME?</v>
      </c>
      <c r="AY36" s="439" t="str">
        <f ca="1">IF(AND(NOT(AW36),AND(AW$4:AW35)),MIN(EXP((AX36-$J36)*$G36),1),"")</f>
        <v/>
      </c>
      <c r="BA36" s="440" t="b">
        <f ca="1">IF(AND(NOT(AW36),AND(AW$4:AW35)),TRUE,AW36)</f>
        <v>0</v>
      </c>
      <c r="BB36" s="439" t="e">
        <f ca="1">IF(AND(NOT(ISBLANK(Jumpoverwrite11)),AND(NOT(BA36),AND(BA$4:BA35))),($J36*$G36-LN(1+Jumpoverwrite11*BC$2))/$G36,_xll.qlInterpolationInterpolate(BA$3,$F36,TRUE))</f>
        <v>#NAME?</v>
      </c>
      <c r="BC36" s="439" t="str">
        <f ca="1">IF(AND(NOT(BA36),AND(BA$4:BA35)),MIN(EXP((BB36-$J36)*$G36),1),"")</f>
        <v/>
      </c>
      <c r="BE36" s="440" t="b">
        <f ca="1">IF(AND(NOT(BA36),AND(BA$4:BA35)),TRUE,BA36)</f>
        <v>0</v>
      </c>
      <c r="BF36" s="439" t="e">
        <f ca="1">IF(AND(NOT(ISBLANK(Jumpoverwrite12)),AND(NOT(BE36),AND(BE$4:BE35))),($J36*$G36-LN(1+Jumpoverwrite12*BG$2))/$G36,_xll.qlInterpolationInterpolate(BE$3,$F36,TRUE))</f>
        <v>#NAME?</v>
      </c>
      <c r="BG36" s="439" t="str">
        <f ca="1">IF(AND(NOT(BE36),AND(BE$4:BE35)),MIN(EXP((BF36-$J36)*$G36),1),"")</f>
        <v/>
      </c>
      <c r="BI36" s="440" t="b">
        <f t="shared" ca="1" si="3"/>
        <v>0</v>
      </c>
      <c r="BJ36" s="439" t="e">
        <f ca="1">IF(AND(NOT(ISBLANK(jumpoverwrite13)),AND(NOT(BI36),AND(BI$4:BI35))),($J36*$G36-LN(1+jumpoverwrite13*BK$2))/$G36,_xll.qlInterpolationInterpolate(BI$3,$F36,TRUE))</f>
        <v>#NAME?</v>
      </c>
      <c r="BK36" s="439" t="str">
        <f ca="1">IF(AND(NOT(BI36),AND(BI$4:BI35)),MIN(EXP((BJ36-$J36)*$G36),1),"")</f>
        <v/>
      </c>
    </row>
    <row r="37" spans="1:63" x14ac:dyDescent="0.2">
      <c r="A37" s="438" t="e">
        <f ca="1"/>
        <v>#NAME?</v>
      </c>
      <c r="B37" s="437" t="e">
        <f ca="1">_xll.qlRateHelperRate($A37,InterestRatesTrigger)</f>
        <v>#NAME?</v>
      </c>
      <c r="C37" s="436" t="e">
        <f ca="1">_xll.qlRateHelperEarliestDate($A37)</f>
        <v>#NAME?</v>
      </c>
      <c r="D37" s="435" t="e">
        <f ca="1">_xll.qlRateHelperPillarDate($A37)</f>
        <v>#NAME?</v>
      </c>
      <c r="F37" s="445" t="e">
        <f t="shared" ref="F37:F68" ca="1" si="5">IF(ISERROR(D37),NA(),(D37-D36)/2+D36)</f>
        <v>#N/A</v>
      </c>
      <c r="G37" s="444" t="e">
        <f ca="1">_xll.qlDayCounterYearFraction(DayCounter,D36,D37)</f>
        <v>#NAME?</v>
      </c>
      <c r="I37" s="443" t="b">
        <f t="shared" ref="I37:I68" ca="1" si="6">IF(ISERROR(K37),FALSE,IF(OR(MONTH(K37)-MONTH(K36)=1,YEAR(K37)-YEAR(K36)=1),FALSE,TRUE))</f>
        <v>0</v>
      </c>
      <c r="J37" s="442" t="e">
        <f ca="1"/>
        <v>#NAME?</v>
      </c>
      <c r="K37" s="441" t="e">
        <f t="shared" ca="1" si="4"/>
        <v>#NAME?</v>
      </c>
      <c r="L37" s="429"/>
      <c r="M37" s="440" t="b">
        <f ca="1">IF(AND(NOT(I37),AND(I$4:I36)),TRUE,I37)</f>
        <v>0</v>
      </c>
      <c r="N37" s="439" t="e">
        <f ca="1">IF(AND(NOT(ISBLANK(Jumpoverwrite1)),AND(NOT(M37),AND(M$4:M36))),($J37*$G37-LN(1+Jumpoverwrite1*O$2))/$G37,_xll.qlInterpolationInterpolate(M$3,$F37,TRUE))</f>
        <v>#NAME?</v>
      </c>
      <c r="O37" s="439" t="str">
        <f ca="1">IF(AND(NOT(M37),AND(M$4:M36)),MIN(EXP((N37-$J37)*$G37),1),"")</f>
        <v/>
      </c>
      <c r="P37" s="428"/>
      <c r="Q37" s="440" t="b">
        <f ca="1">IF(AND(NOT(M37),AND(M$4:M36)),TRUE,M37)</f>
        <v>0</v>
      </c>
      <c r="R37" s="439" t="e">
        <f ca="1">IF(AND(NOT(ISBLANK(Jumpoverwrite2)),AND(NOT(Q37),AND(Q$4:Q36))),($J37*$G37-LN(1+Jumpoverwrite2*S$2))/$G37,_xll.qlInterpolationInterpolate(Q$3,$F37,TRUE))</f>
        <v>#NAME?</v>
      </c>
      <c r="S37" s="439" t="str">
        <f ca="1">IF(AND(NOT(Q37),AND(Q$4:Q36)),MIN(EXP((R37-$J37)*$G37),1),"")</f>
        <v/>
      </c>
      <c r="T37" s="428"/>
      <c r="U37" s="440" t="b">
        <f ca="1">IF(AND(NOT(Q37),AND(Q$4:Q36)),TRUE,Q37)</f>
        <v>0</v>
      </c>
      <c r="V37" s="439" t="e">
        <f ca="1">IF(AND(NOT(ISBLANK(Jumpoverwrite3)),AND(NOT(U37),AND(U$4:U36))),($J37*$G37-LN(1+Jumpoverwrite3*W$2))/$G37,_xll.qlInterpolationInterpolate(U$3,$F37,TRUE))</f>
        <v>#NAME?</v>
      </c>
      <c r="W37" s="439" t="str">
        <f ca="1">IF(AND(NOT(U37),AND(U$4:U36)),MIN(EXP((V37-$J37)*$G37),1),"")</f>
        <v/>
      </c>
      <c r="X37" s="428"/>
      <c r="Y37" s="440" t="b">
        <f ca="1">IF(AND(NOT(U37),AND(U$4:U36)),TRUE,U37)</f>
        <v>0</v>
      </c>
      <c r="Z37" s="439" t="e">
        <f ca="1">IF(AND(NOT(ISBLANK(Jumpoverwrite4)),AND(NOT(Y37),AND(Y$4:Y36))),($J37*$G37-LN(1+Jumpoverwrite4*AA$2))/$G37,_xll.qlInterpolationInterpolate(Y$3,$F37,TRUE))</f>
        <v>#NAME?</v>
      </c>
      <c r="AA37" s="439" t="str">
        <f ca="1">IF(AND(NOT(Y37),AND(Y$4:Y36)),MIN(EXP((Z37-$J37)*$G37),1),"")</f>
        <v/>
      </c>
      <c r="AB37" s="428"/>
      <c r="AC37" s="440" t="b">
        <f ca="1">IF(AND(NOT(Y37),AND(Y$4:Y36)),TRUE,Y37)</f>
        <v>0</v>
      </c>
      <c r="AD37" s="439" t="e">
        <f ca="1">IF(AND(NOT(ISBLANK(Jumpoverwrite5)),AND(NOT(AC37),AND(AC$4:AC36))),($J37*$G37-LN(1+Jumpoverwrite5*AE$2))/$G37,_xll.qlInterpolationInterpolate(AC$3,$F37,TRUE))</f>
        <v>#NAME?</v>
      </c>
      <c r="AE37" s="439" t="str">
        <f ca="1">IF(AND(NOT(AC37),AND(AC$4:AC36)),MIN(EXP((AD37-$J37)*$G37),1),"")</f>
        <v/>
      </c>
      <c r="AF37" s="428"/>
      <c r="AG37" s="440" t="b">
        <f ca="1">IF(AND(NOT(AC37),AND(AC$4:AC36)),TRUE,AC37)</f>
        <v>0</v>
      </c>
      <c r="AH37" s="439" t="e">
        <f ca="1">IF(AND(NOT(ISBLANK(Jumpoverwrite6)),AND(NOT(AG37),AND(AG$4:AG36))),($J37*$G37-LN(1+Jumpoverwrite6*AI$2))/$G37,_xll.qlInterpolationInterpolate(AG$3,$F37,TRUE))</f>
        <v>#NAME?</v>
      </c>
      <c r="AI37" s="439" t="str">
        <f ca="1">IF(AND(NOT(AG37),AND(AG$4:AG36)),MIN(EXP((AH37-$J37)*$G37),1),"")</f>
        <v/>
      </c>
      <c r="AJ37" s="428"/>
      <c r="AK37" s="440" t="b">
        <f ca="1">IF(AND(NOT(AG37),AND(AG$4:AG36)),TRUE,AG37)</f>
        <v>0</v>
      </c>
      <c r="AL37" s="439" t="e">
        <f ca="1">IF(AND(NOT(ISBLANK(Jumpoverwrite7)),AND(NOT(AK37),AND(AK$4:AK36))),($J37*$G37-LN(1+Jumpoverwrite7*AM$2))/$G37,_xll.qlInterpolationInterpolate(AK$3,$F37,TRUE))</f>
        <v>#NAME?</v>
      </c>
      <c r="AM37" s="439" t="str">
        <f ca="1">IF(AND(NOT(AK37),AND(AK$4:AK36)),MIN(EXP((AL37-$J37)*$G37),1),"")</f>
        <v/>
      </c>
      <c r="AO37" s="440" t="b">
        <f ca="1">IF(AND(NOT(AK37),AND(AK$4:AK36)),TRUE,AK37)</f>
        <v>0</v>
      </c>
      <c r="AP37" s="439" t="e">
        <f ca="1">IF(AND(NOT(ISBLANK(Jumpoverwrite8)),AND(NOT(AO37),AND(AO$4:AO36))),($J37*$G37-LN(1+Jumpoverwrite8*AQ$2))/$G37,_xll.qlInterpolationInterpolate(AO$3,$F37,TRUE))</f>
        <v>#NAME?</v>
      </c>
      <c r="AQ37" s="439" t="str">
        <f ca="1">IF(AND(NOT(AO37),AND(AO$4:AO36)),MIN(EXP((AP37-$J37)*$G37),1),"")</f>
        <v/>
      </c>
      <c r="AS37" s="440" t="b">
        <f ca="1">IF(AND(NOT(AO37),AND(AO$4:AO36)),TRUE,AO37)</f>
        <v>0</v>
      </c>
      <c r="AT37" s="439" t="e">
        <f ca="1">IF(AND(NOT(ISBLANK(Jumpoverwrite9)),AND(NOT(AS37),AND(AS$4:AS36))),($J37*$G37-LN(1+Jumpoverwrite9*AU$2))/$G37,_xll.qlInterpolationInterpolate(AS$3,$F37,TRUE))</f>
        <v>#NAME?</v>
      </c>
      <c r="AU37" s="439" t="str">
        <f ca="1">IF(AND(NOT(AS37),AND(AS$4:AS36)),MIN(EXP((AT37-$J37)*$G37),1),"")</f>
        <v/>
      </c>
      <c r="AW37" s="440" t="b">
        <f ca="1">IF(AND(NOT(AS37),AND(AS$4:AS36)),TRUE,AS37)</f>
        <v>0</v>
      </c>
      <c r="AX37" s="439" t="e">
        <f ca="1">IF(AND(NOT(ISBLANK(Jumpoverwrite10)),AND(NOT(AW37),AND(AW$4:AW36))),($J37*$G37-LN(1+Jumpoverwrite10*AY$2))/$G37,_xll.qlInterpolationInterpolate(AW$3,$F37,TRUE))</f>
        <v>#NAME?</v>
      </c>
      <c r="AY37" s="439" t="str">
        <f ca="1">IF(AND(NOT(AW37),AND(AW$4:AW36)),MIN(EXP((AX37-$J37)*$G37),1),"")</f>
        <v/>
      </c>
      <c r="BA37" s="440" t="b">
        <f ca="1">IF(AND(NOT(AW37),AND(AW$4:AW36)),TRUE,AW37)</f>
        <v>0</v>
      </c>
      <c r="BB37" s="439" t="e">
        <f ca="1">IF(AND(NOT(ISBLANK(Jumpoverwrite11)),AND(NOT(BA37),AND(BA$4:BA36))),($J37*$G37-LN(1+Jumpoverwrite11*BC$2))/$G37,_xll.qlInterpolationInterpolate(BA$3,$F37,TRUE))</f>
        <v>#NAME?</v>
      </c>
      <c r="BC37" s="439" t="str">
        <f ca="1">IF(AND(NOT(BA37),AND(BA$4:BA36)),MIN(EXP((BB37-$J37)*$G37),1),"")</f>
        <v/>
      </c>
      <c r="BE37" s="440" t="b">
        <f ca="1">IF(AND(NOT(BA37),AND(BA$4:BA36)),TRUE,BA37)</f>
        <v>0</v>
      </c>
      <c r="BF37" s="439" t="e">
        <f ca="1">IF(AND(NOT(ISBLANK(Jumpoverwrite12)),AND(NOT(BE37),AND(BE$4:BE36))),($J37*$G37-LN(1+Jumpoverwrite12*BG$2))/$G37,_xll.qlInterpolationInterpolate(BE$3,$F37,TRUE))</f>
        <v>#NAME?</v>
      </c>
      <c r="BG37" s="439" t="str">
        <f ca="1">IF(AND(NOT(BE37),AND(BE$4:BE36)),MIN(EXP((BF37-$J37)*$G37),1),"")</f>
        <v/>
      </c>
      <c r="BI37" s="440" t="b">
        <f t="shared" ref="BI37:BI68" ca="1" si="7">IF(ISERROR(K37),FALSE,IF(YEAR(K37)-YEAR(SettlementDate)=2,FALSE,TRUE))</f>
        <v>0</v>
      </c>
      <c r="BJ37" s="439" t="e">
        <f ca="1">IF(AND(NOT(ISBLANK(jumpoverwrite13)),AND(NOT(BI37),AND(BI$4:BI36))),($J37*$G37-LN(1+jumpoverwrite13*BK$2))/$G37,_xll.qlInterpolationInterpolate(BI$3,$F37,TRUE))</f>
        <v>#NAME?</v>
      </c>
      <c r="BK37" s="439" t="str">
        <f ca="1">IF(AND(NOT(BI37),AND(BI$4:BI36)),MIN(EXP((BJ37-$J37)*$G37),1),"")</f>
        <v/>
      </c>
    </row>
    <row r="38" spans="1:63" x14ac:dyDescent="0.2">
      <c r="A38" s="438" t="e">
        <f ca="1"/>
        <v>#NAME?</v>
      </c>
      <c r="B38" s="437" t="e">
        <f ca="1">_xll.qlRateHelperRate($A38,InterestRatesTrigger)</f>
        <v>#NAME?</v>
      </c>
      <c r="C38" s="436" t="e">
        <f ca="1">_xll.qlRateHelperEarliestDate($A38)</f>
        <v>#NAME?</v>
      </c>
      <c r="D38" s="435" t="e">
        <f ca="1">_xll.qlRateHelperPillarDate($A38)</f>
        <v>#NAME?</v>
      </c>
      <c r="F38" s="445" t="e">
        <f t="shared" ca="1" si="5"/>
        <v>#N/A</v>
      </c>
      <c r="G38" s="444" t="e">
        <f ca="1">_xll.qlDayCounterYearFraction(DayCounter,D37,D38)</f>
        <v>#NAME?</v>
      </c>
      <c r="I38" s="443" t="b">
        <f t="shared" ca="1" si="6"/>
        <v>0</v>
      </c>
      <c r="J38" s="442" t="e">
        <f ca="1"/>
        <v>#NAME?</v>
      </c>
      <c r="K38" s="441" t="e">
        <f t="shared" ca="1" si="4"/>
        <v>#NAME?</v>
      </c>
      <c r="L38" s="429"/>
      <c r="M38" s="440" t="b">
        <f ca="1">IF(AND(NOT(I38),AND(I$4:I37)),TRUE,I38)</f>
        <v>0</v>
      </c>
      <c r="N38" s="439" t="e">
        <f ca="1">IF(AND(NOT(ISBLANK(Jumpoverwrite1)),AND(NOT(M38),AND(M$4:M37))),($J38*$G38-LN(1+Jumpoverwrite1*O$2))/$G38,_xll.qlInterpolationInterpolate(M$3,$F38,TRUE))</f>
        <v>#NAME?</v>
      </c>
      <c r="O38" s="439" t="str">
        <f ca="1">IF(AND(NOT(M38),AND(M$4:M37)),MIN(EXP((N38-$J38)*$G38),1),"")</f>
        <v/>
      </c>
      <c r="P38" s="428"/>
      <c r="Q38" s="440" t="b">
        <f ca="1">IF(AND(NOT(M38),AND(M$4:M37)),TRUE,M38)</f>
        <v>0</v>
      </c>
      <c r="R38" s="439" t="e">
        <f ca="1">IF(AND(NOT(ISBLANK(Jumpoverwrite2)),AND(NOT(Q38),AND(Q$4:Q37))),($J38*$G38-LN(1+Jumpoverwrite2*S$2))/$G38,_xll.qlInterpolationInterpolate(Q$3,$F38,TRUE))</f>
        <v>#NAME?</v>
      </c>
      <c r="S38" s="439" t="str">
        <f ca="1">IF(AND(NOT(Q38),AND(Q$4:Q37)),MIN(EXP((R38-$J38)*$G38),1),"")</f>
        <v/>
      </c>
      <c r="T38" s="428"/>
      <c r="U38" s="440" t="b">
        <f ca="1">IF(AND(NOT(Q38),AND(Q$4:Q37)),TRUE,Q38)</f>
        <v>0</v>
      </c>
      <c r="V38" s="439" t="e">
        <f ca="1">IF(AND(NOT(ISBLANK(Jumpoverwrite3)),AND(NOT(U38),AND(U$4:U37))),($J38*$G38-LN(1+Jumpoverwrite3*W$2))/$G38,_xll.qlInterpolationInterpolate(U$3,$F38,TRUE))</f>
        <v>#NAME?</v>
      </c>
      <c r="W38" s="439" t="str">
        <f ca="1">IF(AND(NOT(U38),AND(U$4:U37)),MIN(EXP((V38-$J38)*$G38),1),"")</f>
        <v/>
      </c>
      <c r="X38" s="428"/>
      <c r="Y38" s="440" t="b">
        <f ca="1">IF(AND(NOT(U38),AND(U$4:U37)),TRUE,U38)</f>
        <v>0</v>
      </c>
      <c r="Z38" s="439" t="e">
        <f ca="1">IF(AND(NOT(ISBLANK(Jumpoverwrite4)),AND(NOT(Y38),AND(Y$4:Y37))),($J38*$G38-LN(1+Jumpoverwrite4*AA$2))/$G38,_xll.qlInterpolationInterpolate(Y$3,$F38,TRUE))</f>
        <v>#NAME?</v>
      </c>
      <c r="AA38" s="439" t="str">
        <f ca="1">IF(AND(NOT(Y38),AND(Y$4:Y37)),MIN(EXP((Z38-$J38)*$G38),1),"")</f>
        <v/>
      </c>
      <c r="AB38" s="428"/>
      <c r="AC38" s="440" t="b">
        <f ca="1">IF(AND(NOT(Y38),AND(Y$4:Y37)),TRUE,Y38)</f>
        <v>0</v>
      </c>
      <c r="AD38" s="439" t="e">
        <f ca="1">IF(AND(NOT(ISBLANK(Jumpoverwrite5)),AND(NOT(AC38),AND(AC$4:AC37))),($J38*$G38-LN(1+Jumpoverwrite5*AE$2))/$G38,_xll.qlInterpolationInterpolate(AC$3,$F38,TRUE))</f>
        <v>#NAME?</v>
      </c>
      <c r="AE38" s="439" t="str">
        <f ca="1">IF(AND(NOT(AC38),AND(AC$4:AC37)),MIN(EXP((AD38-$J38)*$G38),1),"")</f>
        <v/>
      </c>
      <c r="AF38" s="428"/>
      <c r="AG38" s="440" t="b">
        <f ca="1">IF(AND(NOT(AC38),AND(AC$4:AC37)),TRUE,AC38)</f>
        <v>0</v>
      </c>
      <c r="AH38" s="439" t="e">
        <f ca="1">IF(AND(NOT(ISBLANK(Jumpoverwrite6)),AND(NOT(AG38),AND(AG$4:AG37))),($J38*$G38-LN(1+Jumpoverwrite6*AI$2))/$G38,_xll.qlInterpolationInterpolate(AG$3,$F38,TRUE))</f>
        <v>#NAME?</v>
      </c>
      <c r="AI38" s="439" t="str">
        <f ca="1">IF(AND(NOT(AG38),AND(AG$4:AG37)),MIN(EXP((AH38-$J38)*$G38),1),"")</f>
        <v/>
      </c>
      <c r="AJ38" s="428"/>
      <c r="AK38" s="440" t="b">
        <f ca="1">IF(AND(NOT(AG38),AND(AG$4:AG37)),TRUE,AG38)</f>
        <v>0</v>
      </c>
      <c r="AL38" s="439" t="e">
        <f ca="1">IF(AND(NOT(ISBLANK(Jumpoverwrite7)),AND(NOT(AK38),AND(AK$4:AK37))),($J38*$G38-LN(1+Jumpoverwrite7*AM$2))/$G38,_xll.qlInterpolationInterpolate(AK$3,$F38,TRUE))</f>
        <v>#NAME?</v>
      </c>
      <c r="AM38" s="439" t="str">
        <f ca="1">IF(AND(NOT(AK38),AND(AK$4:AK37)),MIN(EXP((AL38-$J38)*$G38),1),"")</f>
        <v/>
      </c>
      <c r="AO38" s="440" t="b">
        <f ca="1">IF(AND(NOT(AK38),AND(AK$4:AK37)),TRUE,AK38)</f>
        <v>0</v>
      </c>
      <c r="AP38" s="439" t="e">
        <f ca="1">IF(AND(NOT(ISBLANK(Jumpoverwrite8)),AND(NOT(AO38),AND(AO$4:AO37))),($J38*$G38-LN(1+Jumpoverwrite8*AQ$2))/$G38,_xll.qlInterpolationInterpolate(AO$3,$F38,TRUE))</f>
        <v>#NAME?</v>
      </c>
      <c r="AQ38" s="439" t="str">
        <f ca="1">IF(AND(NOT(AO38),AND(AO$4:AO37)),MIN(EXP((AP38-$J38)*$G38),1),"")</f>
        <v/>
      </c>
      <c r="AS38" s="440" t="b">
        <f ca="1">IF(AND(NOT(AO38),AND(AO$4:AO37)),TRUE,AO38)</f>
        <v>0</v>
      </c>
      <c r="AT38" s="439" t="e">
        <f ca="1">IF(AND(NOT(ISBLANK(Jumpoverwrite9)),AND(NOT(AS38),AND(AS$4:AS37))),($J38*$G38-LN(1+Jumpoverwrite9*AU$2))/$G38,_xll.qlInterpolationInterpolate(AS$3,$F38,TRUE))</f>
        <v>#NAME?</v>
      </c>
      <c r="AU38" s="439" t="str">
        <f ca="1">IF(AND(NOT(AS38),AND(AS$4:AS37)),MIN(EXP((AT38-$J38)*$G38),1),"")</f>
        <v/>
      </c>
      <c r="AW38" s="440" t="b">
        <f ca="1">IF(AND(NOT(AS38),AND(AS$4:AS37)),TRUE,AS38)</f>
        <v>0</v>
      </c>
      <c r="AX38" s="439" t="e">
        <f ca="1">IF(AND(NOT(ISBLANK(Jumpoverwrite10)),AND(NOT(AW38),AND(AW$4:AW37))),($J38*$G38-LN(1+Jumpoverwrite10*AY$2))/$G38,_xll.qlInterpolationInterpolate(AW$3,$F38,TRUE))</f>
        <v>#NAME?</v>
      </c>
      <c r="AY38" s="439" t="str">
        <f ca="1">IF(AND(NOT(AW38),AND(AW$4:AW37)),MIN(EXP((AX38-$J38)*$G38),1),"")</f>
        <v/>
      </c>
      <c r="BA38" s="440" t="b">
        <f ca="1">IF(AND(NOT(AW38),AND(AW$4:AW37)),TRUE,AW38)</f>
        <v>0</v>
      </c>
      <c r="BB38" s="439" t="e">
        <f ca="1">IF(AND(NOT(ISBLANK(Jumpoverwrite11)),AND(NOT(BA38),AND(BA$4:BA37))),($J38*$G38-LN(1+Jumpoverwrite11*BC$2))/$G38,_xll.qlInterpolationInterpolate(BA$3,$F38,TRUE))</f>
        <v>#NAME?</v>
      </c>
      <c r="BC38" s="439" t="str">
        <f ca="1">IF(AND(NOT(BA38),AND(BA$4:BA37)),MIN(EXP((BB38-$J38)*$G38),1),"")</f>
        <v/>
      </c>
      <c r="BE38" s="440" t="b">
        <f ca="1">IF(AND(NOT(BA38),AND(BA$4:BA37)),TRUE,BA38)</f>
        <v>0</v>
      </c>
      <c r="BF38" s="439" t="e">
        <f ca="1">IF(AND(NOT(ISBLANK(Jumpoverwrite12)),AND(NOT(BE38),AND(BE$4:BE37))),($J38*$G38-LN(1+Jumpoverwrite12*BG$2))/$G38,_xll.qlInterpolationInterpolate(BE$3,$F38,TRUE))</f>
        <v>#NAME?</v>
      </c>
      <c r="BG38" s="439" t="str">
        <f ca="1">IF(AND(NOT(BE38),AND(BE$4:BE37)),MIN(EXP((BF38-$J38)*$G38),1),"")</f>
        <v/>
      </c>
      <c r="BI38" s="440" t="b">
        <f t="shared" ca="1" si="7"/>
        <v>0</v>
      </c>
      <c r="BJ38" s="439" t="e">
        <f ca="1">IF(AND(NOT(ISBLANK(jumpoverwrite13)),AND(NOT(BI38),AND(BI$4:BI37))),($J38*$G38-LN(1+jumpoverwrite13*BK$2))/$G38,_xll.qlInterpolationInterpolate(BI$3,$F38,TRUE))</f>
        <v>#NAME?</v>
      </c>
      <c r="BK38" s="439" t="str">
        <f ca="1">IF(AND(NOT(BI38),AND(BI$4:BI37)),MIN(EXP((BJ38-$J38)*$G38),1),"")</f>
        <v/>
      </c>
    </row>
    <row r="39" spans="1:63" x14ac:dyDescent="0.2">
      <c r="A39" s="438" t="e">
        <f ca="1"/>
        <v>#NAME?</v>
      </c>
      <c r="B39" s="437" t="e">
        <f ca="1">_xll.qlRateHelperRate($A39,InterestRatesTrigger)</f>
        <v>#NAME?</v>
      </c>
      <c r="C39" s="436" t="e">
        <f ca="1">_xll.qlRateHelperEarliestDate($A39)</f>
        <v>#NAME?</v>
      </c>
      <c r="D39" s="435" t="e">
        <f ca="1">_xll.qlRateHelperPillarDate($A39)</f>
        <v>#NAME?</v>
      </c>
      <c r="F39" s="445" t="e">
        <f t="shared" ca="1" si="5"/>
        <v>#N/A</v>
      </c>
      <c r="G39" s="444" t="e">
        <f ca="1">_xll.qlDayCounterYearFraction(DayCounter,D38,D39)</f>
        <v>#NAME?</v>
      </c>
      <c r="I39" s="443" t="b">
        <f t="shared" ca="1" si="6"/>
        <v>0</v>
      </c>
      <c r="J39" s="442" t="e">
        <f ca="1"/>
        <v>#NAME?</v>
      </c>
      <c r="K39" s="441" t="e">
        <f t="shared" ca="1" si="4"/>
        <v>#NAME?</v>
      </c>
      <c r="L39" s="429"/>
      <c r="M39" s="440" t="b">
        <f ca="1">IF(AND(NOT(I39),AND(I$4:I38)),TRUE,I39)</f>
        <v>0</v>
      </c>
      <c r="N39" s="439" t="e">
        <f ca="1">IF(AND(NOT(ISBLANK(Jumpoverwrite1)),AND(NOT(M39),AND(M$4:M38))),($J39*$G39-LN(1+Jumpoverwrite1*O$2))/$G39,_xll.qlInterpolationInterpolate(M$3,$F39,TRUE))</f>
        <v>#NAME?</v>
      </c>
      <c r="O39" s="439" t="str">
        <f ca="1">IF(AND(NOT(M39),AND(M$4:M38)),MIN(EXP((N39-$J39)*$G39),1),"")</f>
        <v/>
      </c>
      <c r="P39" s="428"/>
      <c r="Q39" s="440" t="b">
        <f ca="1">IF(AND(NOT(M39),AND(M$4:M38)),TRUE,M39)</f>
        <v>0</v>
      </c>
      <c r="R39" s="439" t="e">
        <f ca="1">IF(AND(NOT(ISBLANK(Jumpoverwrite2)),AND(NOT(Q39),AND(Q$4:Q38))),($J39*$G39-LN(1+Jumpoverwrite2*S$2))/$G39,_xll.qlInterpolationInterpolate(Q$3,$F39,TRUE))</f>
        <v>#NAME?</v>
      </c>
      <c r="S39" s="439" t="str">
        <f ca="1">IF(AND(NOT(Q39),AND(Q$4:Q38)),MIN(EXP((R39-$J39)*$G39),1),"")</f>
        <v/>
      </c>
      <c r="T39" s="428"/>
      <c r="U39" s="440" t="b">
        <f ca="1">IF(AND(NOT(Q39),AND(Q$4:Q38)),TRUE,Q39)</f>
        <v>0</v>
      </c>
      <c r="V39" s="439" t="e">
        <f ca="1">IF(AND(NOT(ISBLANK(Jumpoverwrite3)),AND(NOT(U39),AND(U$4:U38))),($J39*$G39-LN(1+Jumpoverwrite3*W$2))/$G39,_xll.qlInterpolationInterpolate(U$3,$F39,TRUE))</f>
        <v>#NAME?</v>
      </c>
      <c r="W39" s="439" t="str">
        <f ca="1">IF(AND(NOT(U39),AND(U$4:U38)),MIN(EXP((V39-$J39)*$G39),1),"")</f>
        <v/>
      </c>
      <c r="X39" s="428"/>
      <c r="Y39" s="440" t="b">
        <f ca="1">IF(AND(NOT(U39),AND(U$4:U38)),TRUE,U39)</f>
        <v>0</v>
      </c>
      <c r="Z39" s="439" t="e">
        <f ca="1">IF(AND(NOT(ISBLANK(Jumpoverwrite4)),AND(NOT(Y39),AND(Y$4:Y38))),($J39*$G39-LN(1+Jumpoverwrite4*AA$2))/$G39,_xll.qlInterpolationInterpolate(Y$3,$F39,TRUE))</f>
        <v>#NAME?</v>
      </c>
      <c r="AA39" s="439" t="str">
        <f ca="1">IF(AND(NOT(Y39),AND(Y$4:Y38)),MIN(EXP((Z39-$J39)*$G39),1),"")</f>
        <v/>
      </c>
      <c r="AB39" s="428"/>
      <c r="AC39" s="440" t="b">
        <f ca="1">IF(AND(NOT(Y39),AND(Y$4:Y38)),TRUE,Y39)</f>
        <v>0</v>
      </c>
      <c r="AD39" s="439" t="e">
        <f ca="1">IF(AND(NOT(ISBLANK(Jumpoverwrite5)),AND(NOT(AC39),AND(AC$4:AC38))),($J39*$G39-LN(1+Jumpoverwrite5*AE$2))/$G39,_xll.qlInterpolationInterpolate(AC$3,$F39,TRUE))</f>
        <v>#NAME?</v>
      </c>
      <c r="AE39" s="439" t="str">
        <f ca="1">IF(AND(NOT(AC39),AND(AC$4:AC38)),MIN(EXP((AD39-$J39)*$G39),1),"")</f>
        <v/>
      </c>
      <c r="AF39" s="428"/>
      <c r="AG39" s="440" t="b">
        <f ca="1">IF(AND(NOT(AC39),AND(AC$4:AC38)),TRUE,AC39)</f>
        <v>0</v>
      </c>
      <c r="AH39" s="439" t="e">
        <f ca="1">IF(AND(NOT(ISBLANK(Jumpoverwrite6)),AND(NOT(AG39),AND(AG$4:AG38))),($J39*$G39-LN(1+Jumpoverwrite6*AI$2))/$G39,_xll.qlInterpolationInterpolate(AG$3,$F39,TRUE))</f>
        <v>#NAME?</v>
      </c>
      <c r="AI39" s="439" t="str">
        <f ca="1">IF(AND(NOT(AG39),AND(AG$4:AG38)),MIN(EXP((AH39-$J39)*$G39),1),"")</f>
        <v/>
      </c>
      <c r="AJ39" s="428"/>
      <c r="AK39" s="440" t="b">
        <f ca="1">IF(AND(NOT(AG39),AND(AG$4:AG38)),TRUE,AG39)</f>
        <v>0</v>
      </c>
      <c r="AL39" s="439" t="e">
        <f ca="1">IF(AND(NOT(ISBLANK(Jumpoverwrite7)),AND(NOT(AK39),AND(AK$4:AK38))),($J39*$G39-LN(1+Jumpoverwrite7*AM$2))/$G39,_xll.qlInterpolationInterpolate(AK$3,$F39,TRUE))</f>
        <v>#NAME?</v>
      </c>
      <c r="AM39" s="439" t="str">
        <f ca="1">IF(AND(NOT(AK39),AND(AK$4:AK38)),MIN(EXP((AL39-$J39)*$G39),1),"")</f>
        <v/>
      </c>
      <c r="AO39" s="440" t="b">
        <f ca="1">IF(AND(NOT(AK39),AND(AK$4:AK38)),TRUE,AK39)</f>
        <v>0</v>
      </c>
      <c r="AP39" s="439" t="e">
        <f ca="1">IF(AND(NOT(ISBLANK(Jumpoverwrite8)),AND(NOT(AO39),AND(AO$4:AO38))),($J39*$G39-LN(1+Jumpoverwrite8*AQ$2))/$G39,_xll.qlInterpolationInterpolate(AO$3,$F39,TRUE))</f>
        <v>#NAME?</v>
      </c>
      <c r="AQ39" s="439" t="str">
        <f ca="1">IF(AND(NOT(AO39),AND(AO$4:AO38)),MIN(EXP((AP39-$J39)*$G39),1),"")</f>
        <v/>
      </c>
      <c r="AS39" s="440" t="b">
        <f ca="1">IF(AND(NOT(AO39),AND(AO$4:AO38)),TRUE,AO39)</f>
        <v>0</v>
      </c>
      <c r="AT39" s="439" t="e">
        <f ca="1">IF(AND(NOT(ISBLANK(Jumpoverwrite9)),AND(NOT(AS39),AND(AS$4:AS38))),($J39*$G39-LN(1+Jumpoverwrite9*AU$2))/$G39,_xll.qlInterpolationInterpolate(AS$3,$F39,TRUE))</f>
        <v>#NAME?</v>
      </c>
      <c r="AU39" s="439" t="str">
        <f ca="1">IF(AND(NOT(AS39),AND(AS$4:AS38)),MIN(EXP((AT39-$J39)*$G39),1),"")</f>
        <v/>
      </c>
      <c r="AW39" s="440" t="b">
        <f ca="1">IF(AND(NOT(AS39),AND(AS$4:AS38)),TRUE,AS39)</f>
        <v>0</v>
      </c>
      <c r="AX39" s="439" t="e">
        <f ca="1">IF(AND(NOT(ISBLANK(Jumpoverwrite10)),AND(NOT(AW39),AND(AW$4:AW38))),($J39*$G39-LN(1+Jumpoverwrite10*AY$2))/$G39,_xll.qlInterpolationInterpolate(AW$3,$F39,TRUE))</f>
        <v>#NAME?</v>
      </c>
      <c r="AY39" s="439" t="str">
        <f ca="1">IF(AND(NOT(AW39),AND(AW$4:AW38)),MIN(EXP((AX39-$J39)*$G39),1),"")</f>
        <v/>
      </c>
      <c r="BA39" s="440" t="b">
        <f ca="1">IF(AND(NOT(AW39),AND(AW$4:AW38)),TRUE,AW39)</f>
        <v>0</v>
      </c>
      <c r="BB39" s="439" t="e">
        <f ca="1">IF(AND(NOT(ISBLANK(Jumpoverwrite11)),AND(NOT(BA39),AND(BA$4:BA38))),($J39*$G39-LN(1+Jumpoverwrite11*BC$2))/$G39,_xll.qlInterpolationInterpolate(BA$3,$F39,TRUE))</f>
        <v>#NAME?</v>
      </c>
      <c r="BC39" s="439" t="str">
        <f ca="1">IF(AND(NOT(BA39),AND(BA$4:BA38)),MIN(EXP((BB39-$J39)*$G39),1),"")</f>
        <v/>
      </c>
      <c r="BE39" s="440" t="b">
        <f ca="1">IF(AND(NOT(BA39),AND(BA$4:BA38)),TRUE,BA39)</f>
        <v>0</v>
      </c>
      <c r="BF39" s="439" t="e">
        <f ca="1">IF(AND(NOT(ISBLANK(Jumpoverwrite12)),AND(NOT(BE39),AND(BE$4:BE38))),($J39*$G39-LN(1+Jumpoverwrite12*BG$2))/$G39,_xll.qlInterpolationInterpolate(BE$3,$F39,TRUE))</f>
        <v>#NAME?</v>
      </c>
      <c r="BG39" s="439" t="str">
        <f ca="1">IF(AND(NOT(BE39),AND(BE$4:BE38)),MIN(EXP((BF39-$J39)*$G39),1),"")</f>
        <v/>
      </c>
      <c r="BI39" s="440" t="b">
        <f t="shared" ca="1" si="7"/>
        <v>0</v>
      </c>
      <c r="BJ39" s="439" t="e">
        <f ca="1">IF(AND(NOT(ISBLANK(jumpoverwrite13)),AND(NOT(BI39),AND(BI$4:BI38))),($J39*$G39-LN(1+jumpoverwrite13*BK$2))/$G39,_xll.qlInterpolationInterpolate(BI$3,$F39,TRUE))</f>
        <v>#NAME?</v>
      </c>
      <c r="BK39" s="439" t="str">
        <f ca="1">IF(AND(NOT(BI39),AND(BI$4:BI38)),MIN(EXP((BJ39-$J39)*$G39),1),"")</f>
        <v/>
      </c>
    </row>
    <row r="40" spans="1:63" x14ac:dyDescent="0.2">
      <c r="A40" s="438" t="e">
        <f ca="1"/>
        <v>#NAME?</v>
      </c>
      <c r="B40" s="437" t="e">
        <f ca="1">_xll.qlRateHelperRate($A40,InterestRatesTrigger)</f>
        <v>#NAME?</v>
      </c>
      <c r="C40" s="436" t="e">
        <f ca="1">_xll.qlRateHelperEarliestDate($A40)</f>
        <v>#NAME?</v>
      </c>
      <c r="D40" s="435" t="e">
        <f ca="1">_xll.qlRateHelperPillarDate($A40)</f>
        <v>#NAME?</v>
      </c>
      <c r="F40" s="445" t="e">
        <f t="shared" ca="1" si="5"/>
        <v>#N/A</v>
      </c>
      <c r="G40" s="444" t="e">
        <f ca="1">_xll.qlDayCounterYearFraction(DayCounter,D39,D40)</f>
        <v>#NAME?</v>
      </c>
      <c r="I40" s="443" t="b">
        <f t="shared" ca="1" si="6"/>
        <v>0</v>
      </c>
      <c r="J40" s="442" t="e">
        <f ca="1"/>
        <v>#NAME?</v>
      </c>
      <c r="K40" s="441" t="e">
        <f t="shared" ca="1" si="4"/>
        <v>#NAME?</v>
      </c>
      <c r="L40" s="429"/>
      <c r="M40" s="440" t="b">
        <f ca="1">IF(AND(NOT(I40),AND(I$4:I39)),TRUE,I40)</f>
        <v>0</v>
      </c>
      <c r="N40" s="439" t="e">
        <f ca="1">IF(AND(NOT(ISBLANK(Jumpoverwrite1)),AND(NOT(M40),AND(M$4:M39))),($J40*$G40-LN(1+Jumpoverwrite1*O$2))/$G40,_xll.qlInterpolationInterpolate(M$3,$F40,TRUE))</f>
        <v>#NAME?</v>
      </c>
      <c r="O40" s="439" t="str">
        <f ca="1">IF(AND(NOT(M40),AND(M$4:M39)),MIN(EXP((N40-$J40)*$G40),1),"")</f>
        <v/>
      </c>
      <c r="P40" s="428"/>
      <c r="Q40" s="440" t="b">
        <f ca="1">IF(AND(NOT(M40),AND(M$4:M39)),TRUE,M40)</f>
        <v>0</v>
      </c>
      <c r="R40" s="439" t="e">
        <f ca="1">IF(AND(NOT(ISBLANK(Jumpoverwrite2)),AND(NOT(Q40),AND(Q$4:Q39))),($J40*$G40-LN(1+Jumpoverwrite2*S$2))/$G40,_xll.qlInterpolationInterpolate(Q$3,$F40,TRUE))</f>
        <v>#NAME?</v>
      </c>
      <c r="S40" s="439" t="str">
        <f ca="1">IF(AND(NOT(Q40),AND(Q$4:Q39)),MIN(EXP((R40-$J40)*$G40),1),"")</f>
        <v/>
      </c>
      <c r="T40" s="428"/>
      <c r="U40" s="440" t="b">
        <f ca="1">IF(AND(NOT(Q40),AND(Q$4:Q39)),TRUE,Q40)</f>
        <v>0</v>
      </c>
      <c r="V40" s="439" t="e">
        <f ca="1">IF(AND(NOT(ISBLANK(Jumpoverwrite3)),AND(NOT(U40),AND(U$4:U39))),($J40*$G40-LN(1+Jumpoverwrite3*W$2))/$G40,_xll.qlInterpolationInterpolate(U$3,$F40,TRUE))</f>
        <v>#NAME?</v>
      </c>
      <c r="W40" s="439" t="str">
        <f ca="1">IF(AND(NOT(U40),AND(U$4:U39)),MIN(EXP((V40-$J40)*$G40),1),"")</f>
        <v/>
      </c>
      <c r="X40" s="428"/>
      <c r="Y40" s="440" t="b">
        <f ca="1">IF(AND(NOT(U40),AND(U$4:U39)),TRUE,U40)</f>
        <v>0</v>
      </c>
      <c r="Z40" s="439" t="e">
        <f ca="1">IF(AND(NOT(ISBLANK(Jumpoverwrite4)),AND(NOT(Y40),AND(Y$4:Y39))),($J40*$G40-LN(1+Jumpoverwrite4*AA$2))/$G40,_xll.qlInterpolationInterpolate(Y$3,$F40,TRUE))</f>
        <v>#NAME?</v>
      </c>
      <c r="AA40" s="439" t="str">
        <f ca="1">IF(AND(NOT(Y40),AND(Y$4:Y39)),MIN(EXP((Z40-$J40)*$G40),1),"")</f>
        <v/>
      </c>
      <c r="AB40" s="428"/>
      <c r="AC40" s="440" t="b">
        <f ca="1">IF(AND(NOT(Y40),AND(Y$4:Y39)),TRUE,Y40)</f>
        <v>0</v>
      </c>
      <c r="AD40" s="439" t="e">
        <f ca="1">IF(AND(NOT(ISBLANK(Jumpoverwrite5)),AND(NOT(AC40),AND(AC$4:AC39))),($J40*$G40-LN(1+Jumpoverwrite5*AE$2))/$G40,_xll.qlInterpolationInterpolate(AC$3,$F40,TRUE))</f>
        <v>#NAME?</v>
      </c>
      <c r="AE40" s="439" t="str">
        <f ca="1">IF(AND(NOT(AC40),AND(AC$4:AC39)),MIN(EXP((AD40-$J40)*$G40),1),"")</f>
        <v/>
      </c>
      <c r="AF40" s="428"/>
      <c r="AG40" s="440" t="b">
        <f ca="1">IF(AND(NOT(AC40),AND(AC$4:AC39)),TRUE,AC40)</f>
        <v>0</v>
      </c>
      <c r="AH40" s="439" t="e">
        <f ca="1">IF(AND(NOT(ISBLANK(Jumpoverwrite6)),AND(NOT(AG40),AND(AG$4:AG39))),($J40*$G40-LN(1+Jumpoverwrite6*AI$2))/$G40,_xll.qlInterpolationInterpolate(AG$3,$F40,TRUE))</f>
        <v>#NAME?</v>
      </c>
      <c r="AI40" s="439" t="str">
        <f ca="1">IF(AND(NOT(AG40),AND(AG$4:AG39)),MIN(EXP((AH40-$J40)*$G40),1),"")</f>
        <v/>
      </c>
      <c r="AJ40" s="428"/>
      <c r="AK40" s="440" t="b">
        <f ca="1">IF(AND(NOT(AG40),AND(AG$4:AG39)),TRUE,AG40)</f>
        <v>0</v>
      </c>
      <c r="AL40" s="439" t="e">
        <f ca="1">IF(AND(NOT(ISBLANK(Jumpoverwrite7)),AND(NOT(AK40),AND(AK$4:AK39))),($J40*$G40-LN(1+Jumpoverwrite7*AM$2))/$G40,_xll.qlInterpolationInterpolate(AK$3,$F40,TRUE))</f>
        <v>#NAME?</v>
      </c>
      <c r="AM40" s="439" t="str">
        <f ca="1">IF(AND(NOT(AK40),AND(AK$4:AK39)),MIN(EXP((AL40-$J40)*$G40),1),"")</f>
        <v/>
      </c>
      <c r="AO40" s="440" t="b">
        <f ca="1">IF(AND(NOT(AK40),AND(AK$4:AK39)),TRUE,AK40)</f>
        <v>0</v>
      </c>
      <c r="AP40" s="439" t="e">
        <f ca="1">IF(AND(NOT(ISBLANK(Jumpoverwrite8)),AND(NOT(AO40),AND(AO$4:AO39))),($J40*$G40-LN(1+Jumpoverwrite8*AQ$2))/$G40,_xll.qlInterpolationInterpolate(AO$3,$F40,TRUE))</f>
        <v>#NAME?</v>
      </c>
      <c r="AQ40" s="439" t="str">
        <f ca="1">IF(AND(NOT(AO40),AND(AO$4:AO39)),MIN(EXP((AP40-$J40)*$G40),1),"")</f>
        <v/>
      </c>
      <c r="AS40" s="440" t="b">
        <f ca="1">IF(AND(NOT(AO40),AND(AO$4:AO39)),TRUE,AO40)</f>
        <v>0</v>
      </c>
      <c r="AT40" s="439" t="e">
        <f ca="1">IF(AND(NOT(ISBLANK(Jumpoverwrite9)),AND(NOT(AS40),AND(AS$4:AS39))),($J40*$G40-LN(1+Jumpoverwrite9*AU$2))/$G40,_xll.qlInterpolationInterpolate(AS$3,$F40,TRUE))</f>
        <v>#NAME?</v>
      </c>
      <c r="AU40" s="439" t="str">
        <f ca="1">IF(AND(NOT(AS40),AND(AS$4:AS39)),MIN(EXP((AT40-$J40)*$G40),1),"")</f>
        <v/>
      </c>
      <c r="AW40" s="440" t="b">
        <f ca="1">IF(AND(NOT(AS40),AND(AS$4:AS39)),TRUE,AS40)</f>
        <v>0</v>
      </c>
      <c r="AX40" s="439" t="e">
        <f ca="1">IF(AND(NOT(ISBLANK(Jumpoverwrite10)),AND(NOT(AW40),AND(AW$4:AW39))),($J40*$G40-LN(1+Jumpoverwrite10*AY$2))/$G40,_xll.qlInterpolationInterpolate(AW$3,$F40,TRUE))</f>
        <v>#NAME?</v>
      </c>
      <c r="AY40" s="439" t="str">
        <f ca="1">IF(AND(NOT(AW40),AND(AW$4:AW39)),MIN(EXP((AX40-$J40)*$G40),1),"")</f>
        <v/>
      </c>
      <c r="BA40" s="440" t="b">
        <f ca="1">IF(AND(NOT(AW40),AND(AW$4:AW39)),TRUE,AW40)</f>
        <v>0</v>
      </c>
      <c r="BB40" s="439" t="e">
        <f ca="1">IF(AND(NOT(ISBLANK(Jumpoverwrite11)),AND(NOT(BA40),AND(BA$4:BA39))),($J40*$G40-LN(1+Jumpoverwrite11*BC$2))/$G40,_xll.qlInterpolationInterpolate(BA$3,$F40,TRUE))</f>
        <v>#NAME?</v>
      </c>
      <c r="BC40" s="439" t="str">
        <f ca="1">IF(AND(NOT(BA40),AND(BA$4:BA39)),MIN(EXP((BB40-$J40)*$G40),1),"")</f>
        <v/>
      </c>
      <c r="BE40" s="440" t="b">
        <f ca="1">IF(AND(NOT(BA40),AND(BA$4:BA39)),TRUE,BA40)</f>
        <v>0</v>
      </c>
      <c r="BF40" s="439" t="e">
        <f ca="1">IF(AND(NOT(ISBLANK(Jumpoverwrite12)),AND(NOT(BE40),AND(BE$4:BE39))),($J40*$G40-LN(1+Jumpoverwrite12*BG$2))/$G40,_xll.qlInterpolationInterpolate(BE$3,$F40,TRUE))</f>
        <v>#NAME?</v>
      </c>
      <c r="BG40" s="439" t="str">
        <f ca="1">IF(AND(NOT(BE40),AND(BE$4:BE39)),MIN(EXP((BF40-$J40)*$G40),1),"")</f>
        <v/>
      </c>
      <c r="BI40" s="440" t="b">
        <f t="shared" ca="1" si="7"/>
        <v>0</v>
      </c>
      <c r="BJ40" s="439" t="e">
        <f ca="1">IF(AND(NOT(ISBLANK(jumpoverwrite13)),AND(NOT(BI40),AND(BI$4:BI39))),($J40*$G40-LN(1+jumpoverwrite13*BK$2))/$G40,_xll.qlInterpolationInterpolate(BI$3,$F40,TRUE))</f>
        <v>#NAME?</v>
      </c>
      <c r="BK40" s="439" t="str">
        <f ca="1">IF(AND(NOT(BI40),AND(BI$4:BI39)),MIN(EXP((BJ40-$J40)*$G40),1),"")</f>
        <v/>
      </c>
    </row>
    <row r="41" spans="1:63" x14ac:dyDescent="0.2">
      <c r="A41" s="438" t="e">
        <f ca="1"/>
        <v>#NAME?</v>
      </c>
      <c r="B41" s="437" t="e">
        <f ca="1">_xll.qlRateHelperRate($A41,InterestRatesTrigger)</f>
        <v>#NAME?</v>
      </c>
      <c r="C41" s="436" t="e">
        <f ca="1">_xll.qlRateHelperEarliestDate($A41)</f>
        <v>#NAME?</v>
      </c>
      <c r="D41" s="435" t="e">
        <f ca="1">_xll.qlRateHelperPillarDate($A41)</f>
        <v>#NAME?</v>
      </c>
      <c r="F41" s="445" t="e">
        <f t="shared" ca="1" si="5"/>
        <v>#N/A</v>
      </c>
      <c r="G41" s="444" t="e">
        <f ca="1">_xll.qlDayCounterYearFraction(DayCounter,D40,D41)</f>
        <v>#NAME?</v>
      </c>
      <c r="I41" s="443" t="b">
        <f t="shared" ca="1" si="6"/>
        <v>0</v>
      </c>
      <c r="J41" s="442" t="e">
        <f ca="1"/>
        <v>#NAME?</v>
      </c>
      <c r="K41" s="441" t="e">
        <f t="shared" ca="1" si="4"/>
        <v>#NAME?</v>
      </c>
      <c r="L41" s="429"/>
      <c r="M41" s="440" t="b">
        <f ca="1">IF(AND(NOT(I41),AND(I$4:I40)),TRUE,I41)</f>
        <v>0</v>
      </c>
      <c r="N41" s="439" t="e">
        <f ca="1">IF(AND(NOT(ISBLANK(Jumpoverwrite1)),AND(NOT(M41),AND(M$4:M40))),($J41*$G41-LN(1+Jumpoverwrite1*O$2))/$G41,_xll.qlInterpolationInterpolate(M$3,$F41,TRUE))</f>
        <v>#NAME?</v>
      </c>
      <c r="O41" s="439" t="str">
        <f ca="1">IF(AND(NOT(M41),AND(M$4:M40)),MIN(EXP((N41-$J41)*$G41),1),"")</f>
        <v/>
      </c>
      <c r="P41" s="428"/>
      <c r="Q41" s="440" t="b">
        <f ca="1">IF(AND(NOT(M41),AND(M$4:M40)),TRUE,M41)</f>
        <v>0</v>
      </c>
      <c r="R41" s="439" t="e">
        <f ca="1">IF(AND(NOT(ISBLANK(Jumpoverwrite2)),AND(NOT(Q41),AND(Q$4:Q40))),($J41*$G41-LN(1+Jumpoverwrite2*S$2))/$G41,_xll.qlInterpolationInterpolate(Q$3,$F41,TRUE))</f>
        <v>#NAME?</v>
      </c>
      <c r="S41" s="439" t="str">
        <f ca="1">IF(AND(NOT(Q41),AND(Q$4:Q40)),MIN(EXP((R41-$J41)*$G41),1),"")</f>
        <v/>
      </c>
      <c r="T41" s="428"/>
      <c r="U41" s="440" t="b">
        <f ca="1">IF(AND(NOT(Q41),AND(Q$4:Q40)),TRUE,Q41)</f>
        <v>0</v>
      </c>
      <c r="V41" s="439" t="e">
        <f ca="1">IF(AND(NOT(ISBLANK(Jumpoverwrite3)),AND(NOT(U41),AND(U$4:U40))),($J41*$G41-LN(1+Jumpoverwrite3*W$2))/$G41,_xll.qlInterpolationInterpolate(U$3,$F41,TRUE))</f>
        <v>#NAME?</v>
      </c>
      <c r="W41" s="439" t="str">
        <f ca="1">IF(AND(NOT(U41),AND(U$4:U40)),MIN(EXP((V41-$J41)*$G41),1),"")</f>
        <v/>
      </c>
      <c r="X41" s="428"/>
      <c r="Y41" s="440" t="b">
        <f ca="1">IF(AND(NOT(U41),AND(U$4:U40)),TRUE,U41)</f>
        <v>0</v>
      </c>
      <c r="Z41" s="439" t="e">
        <f ca="1">IF(AND(NOT(ISBLANK(Jumpoverwrite4)),AND(NOT(Y41),AND(Y$4:Y40))),($J41*$G41-LN(1+Jumpoverwrite4*AA$2))/$G41,_xll.qlInterpolationInterpolate(Y$3,$F41,TRUE))</f>
        <v>#NAME?</v>
      </c>
      <c r="AA41" s="439" t="str">
        <f ca="1">IF(AND(NOT(Y41),AND(Y$4:Y40)),MIN(EXP((Z41-$J41)*$G41),1),"")</f>
        <v/>
      </c>
      <c r="AB41" s="428"/>
      <c r="AC41" s="440" t="b">
        <f ca="1">IF(AND(NOT(Y41),AND(Y$4:Y40)),TRUE,Y41)</f>
        <v>0</v>
      </c>
      <c r="AD41" s="439" t="e">
        <f ca="1">IF(AND(NOT(ISBLANK(Jumpoverwrite5)),AND(NOT(AC41),AND(AC$4:AC40))),($J41*$G41-LN(1+Jumpoverwrite5*AE$2))/$G41,_xll.qlInterpolationInterpolate(AC$3,$F41,TRUE))</f>
        <v>#NAME?</v>
      </c>
      <c r="AE41" s="439" t="str">
        <f ca="1">IF(AND(NOT(AC41),AND(AC$4:AC40)),MIN(EXP((AD41-$J41)*$G41),1),"")</f>
        <v/>
      </c>
      <c r="AF41" s="428"/>
      <c r="AG41" s="440" t="b">
        <f ca="1">IF(AND(NOT(AC41),AND(AC$4:AC40)),TRUE,AC41)</f>
        <v>0</v>
      </c>
      <c r="AH41" s="439" t="e">
        <f ca="1">IF(AND(NOT(ISBLANK(Jumpoverwrite6)),AND(NOT(AG41),AND(AG$4:AG40))),($J41*$G41-LN(1+Jumpoverwrite6*AI$2))/$G41,_xll.qlInterpolationInterpolate(AG$3,$F41,TRUE))</f>
        <v>#NAME?</v>
      </c>
      <c r="AI41" s="439" t="str">
        <f ca="1">IF(AND(NOT(AG41),AND(AG$4:AG40)),MIN(EXP((AH41-$J41)*$G41),1),"")</f>
        <v/>
      </c>
      <c r="AJ41" s="428"/>
      <c r="AK41" s="440" t="b">
        <f ca="1">IF(AND(NOT(AG41),AND(AG$4:AG40)),TRUE,AG41)</f>
        <v>0</v>
      </c>
      <c r="AL41" s="439" t="e">
        <f ca="1">IF(AND(NOT(ISBLANK(Jumpoverwrite7)),AND(NOT(AK41),AND(AK$4:AK40))),($J41*$G41-LN(1+Jumpoverwrite7*AM$2))/$G41,_xll.qlInterpolationInterpolate(AK$3,$F41,TRUE))</f>
        <v>#NAME?</v>
      </c>
      <c r="AM41" s="439" t="str">
        <f ca="1">IF(AND(NOT(AK41),AND(AK$4:AK40)),MIN(EXP((AL41-$J41)*$G41),1),"")</f>
        <v/>
      </c>
      <c r="AO41" s="440" t="b">
        <f ca="1">IF(AND(NOT(AK41),AND(AK$4:AK40)),TRUE,AK41)</f>
        <v>0</v>
      </c>
      <c r="AP41" s="439" t="e">
        <f ca="1">IF(AND(NOT(ISBLANK(Jumpoverwrite8)),AND(NOT(AO41),AND(AO$4:AO40))),($J41*$G41-LN(1+Jumpoverwrite8*AQ$2))/$G41,_xll.qlInterpolationInterpolate(AO$3,$F41,TRUE))</f>
        <v>#NAME?</v>
      </c>
      <c r="AQ41" s="439" t="str">
        <f ca="1">IF(AND(NOT(AO41),AND(AO$4:AO40)),MIN(EXP((AP41-$J41)*$G41),1),"")</f>
        <v/>
      </c>
      <c r="AS41" s="440" t="b">
        <f ca="1">IF(AND(NOT(AO41),AND(AO$4:AO40)),TRUE,AO41)</f>
        <v>0</v>
      </c>
      <c r="AT41" s="439" t="e">
        <f ca="1">IF(AND(NOT(ISBLANK(Jumpoverwrite9)),AND(NOT(AS41),AND(AS$4:AS40))),($J41*$G41-LN(1+Jumpoverwrite9*AU$2))/$G41,_xll.qlInterpolationInterpolate(AS$3,$F41,TRUE))</f>
        <v>#NAME?</v>
      </c>
      <c r="AU41" s="439" t="str">
        <f ca="1">IF(AND(NOT(AS41),AND(AS$4:AS40)),MIN(EXP((AT41-$J41)*$G41),1),"")</f>
        <v/>
      </c>
      <c r="AW41" s="440" t="b">
        <f ca="1">IF(AND(NOT(AS41),AND(AS$4:AS40)),TRUE,AS41)</f>
        <v>0</v>
      </c>
      <c r="AX41" s="439" t="e">
        <f ca="1">IF(AND(NOT(ISBLANK(Jumpoverwrite10)),AND(NOT(AW41),AND(AW$4:AW40))),($J41*$G41-LN(1+Jumpoverwrite10*AY$2))/$G41,_xll.qlInterpolationInterpolate(AW$3,$F41,TRUE))</f>
        <v>#NAME?</v>
      </c>
      <c r="AY41" s="439" t="str">
        <f ca="1">IF(AND(NOT(AW41),AND(AW$4:AW40)),MIN(EXP((AX41-$J41)*$G41),1),"")</f>
        <v/>
      </c>
      <c r="BA41" s="440" t="b">
        <f ca="1">IF(AND(NOT(AW41),AND(AW$4:AW40)),TRUE,AW41)</f>
        <v>0</v>
      </c>
      <c r="BB41" s="439" t="e">
        <f ca="1">IF(AND(NOT(ISBLANK(Jumpoverwrite11)),AND(NOT(BA41),AND(BA$4:BA40))),($J41*$G41-LN(1+Jumpoverwrite11*BC$2))/$G41,_xll.qlInterpolationInterpolate(BA$3,$F41,TRUE))</f>
        <v>#NAME?</v>
      </c>
      <c r="BC41" s="439" t="str">
        <f ca="1">IF(AND(NOT(BA41),AND(BA$4:BA40)),MIN(EXP((BB41-$J41)*$G41),1),"")</f>
        <v/>
      </c>
      <c r="BE41" s="440" t="b">
        <f ca="1">IF(AND(NOT(BA41),AND(BA$4:BA40)),TRUE,BA41)</f>
        <v>0</v>
      </c>
      <c r="BF41" s="439" t="e">
        <f ca="1">IF(AND(NOT(ISBLANK(Jumpoverwrite12)),AND(NOT(BE41),AND(BE$4:BE40))),($J41*$G41-LN(1+Jumpoverwrite12*BG$2))/$G41,_xll.qlInterpolationInterpolate(BE$3,$F41,TRUE))</f>
        <v>#NAME?</v>
      </c>
      <c r="BG41" s="439" t="str">
        <f ca="1">IF(AND(NOT(BE41),AND(BE$4:BE40)),MIN(EXP((BF41-$J41)*$G41),1),"")</f>
        <v/>
      </c>
      <c r="BI41" s="440" t="b">
        <f t="shared" ca="1" si="7"/>
        <v>0</v>
      </c>
      <c r="BJ41" s="439" t="e">
        <f ca="1">IF(AND(NOT(ISBLANK(jumpoverwrite13)),AND(NOT(BI41),AND(BI$4:BI40))),($J41*$G41-LN(1+jumpoverwrite13*BK$2))/$G41,_xll.qlInterpolationInterpolate(BI$3,$F41,TRUE))</f>
        <v>#NAME?</v>
      </c>
      <c r="BK41" s="439" t="str">
        <f ca="1">IF(AND(NOT(BI41),AND(BI$4:BI40)),MIN(EXP((BJ41-$J41)*$G41),1),"")</f>
        <v/>
      </c>
    </row>
    <row r="42" spans="1:63" x14ac:dyDescent="0.2">
      <c r="A42" s="438" t="e">
        <f ca="1"/>
        <v>#NAME?</v>
      </c>
      <c r="B42" s="437" t="e">
        <f ca="1">_xll.qlRateHelperRate($A42,InterestRatesTrigger)</f>
        <v>#NAME?</v>
      </c>
      <c r="C42" s="436" t="e">
        <f ca="1">_xll.qlRateHelperEarliestDate($A42)</f>
        <v>#NAME?</v>
      </c>
      <c r="D42" s="435" t="e">
        <f ca="1">_xll.qlRateHelperPillarDate($A42)</f>
        <v>#NAME?</v>
      </c>
      <c r="F42" s="445" t="e">
        <f t="shared" ca="1" si="5"/>
        <v>#N/A</v>
      </c>
      <c r="G42" s="444" t="e">
        <f ca="1">_xll.qlDayCounterYearFraction(DayCounter,D41,D42)</f>
        <v>#NAME?</v>
      </c>
      <c r="I42" s="443" t="b">
        <f t="shared" ca="1" si="6"/>
        <v>0</v>
      </c>
      <c r="J42" s="442" t="e">
        <f ca="1"/>
        <v>#NAME?</v>
      </c>
      <c r="K42" s="441" t="e">
        <f t="shared" ca="1" si="4"/>
        <v>#NAME?</v>
      </c>
      <c r="L42" s="429"/>
      <c r="M42" s="440" t="b">
        <f ca="1">IF(AND(NOT(I42),AND(I$4:I41)),TRUE,I42)</f>
        <v>0</v>
      </c>
      <c r="N42" s="439" t="e">
        <f ca="1">IF(AND(NOT(ISBLANK(Jumpoverwrite1)),AND(NOT(M42),AND(M$4:M41))),($J42*$G42-LN(1+Jumpoverwrite1*O$2))/$G42,_xll.qlInterpolationInterpolate(M$3,$F42,TRUE))</f>
        <v>#NAME?</v>
      </c>
      <c r="O42" s="439" t="str">
        <f ca="1">IF(AND(NOT(M42),AND(M$4:M41)),MIN(EXP((N42-$J42)*$G42),1),"")</f>
        <v/>
      </c>
      <c r="P42" s="428"/>
      <c r="Q42" s="440" t="b">
        <f ca="1">IF(AND(NOT(M42),AND(M$4:M41)),TRUE,M42)</f>
        <v>0</v>
      </c>
      <c r="R42" s="439" t="e">
        <f ca="1">IF(AND(NOT(ISBLANK(Jumpoverwrite2)),AND(NOT(Q42),AND(Q$4:Q41))),($J42*$G42-LN(1+Jumpoverwrite2*S$2))/$G42,_xll.qlInterpolationInterpolate(Q$3,$F42,TRUE))</f>
        <v>#NAME?</v>
      </c>
      <c r="S42" s="439" t="str">
        <f ca="1">IF(AND(NOT(Q42),AND(Q$4:Q41)),MIN(EXP((R42-$J42)*$G42),1),"")</f>
        <v/>
      </c>
      <c r="T42" s="428"/>
      <c r="U42" s="440" t="b">
        <f ca="1">IF(AND(NOT(Q42),AND(Q$4:Q41)),TRUE,Q42)</f>
        <v>0</v>
      </c>
      <c r="V42" s="439" t="e">
        <f ca="1">IF(AND(NOT(ISBLANK(Jumpoverwrite3)),AND(NOT(U42),AND(U$4:U41))),($J42*$G42-LN(1+Jumpoverwrite3*W$2))/$G42,_xll.qlInterpolationInterpolate(U$3,$F42,TRUE))</f>
        <v>#NAME?</v>
      </c>
      <c r="W42" s="439" t="str">
        <f ca="1">IF(AND(NOT(U42),AND(U$4:U41)),MIN(EXP((V42-$J42)*$G42),1),"")</f>
        <v/>
      </c>
      <c r="X42" s="428"/>
      <c r="Y42" s="440" t="b">
        <f ca="1">IF(AND(NOT(U42),AND(U$4:U41)),TRUE,U42)</f>
        <v>0</v>
      </c>
      <c r="Z42" s="439" t="e">
        <f ca="1">IF(AND(NOT(ISBLANK(Jumpoverwrite4)),AND(NOT(Y42),AND(Y$4:Y41))),($J42*$G42-LN(1+Jumpoverwrite4*AA$2))/$G42,_xll.qlInterpolationInterpolate(Y$3,$F42,TRUE))</f>
        <v>#NAME?</v>
      </c>
      <c r="AA42" s="439" t="str">
        <f ca="1">IF(AND(NOT(Y42),AND(Y$4:Y41)),MIN(EXP((Z42-$J42)*$G42),1),"")</f>
        <v/>
      </c>
      <c r="AB42" s="428"/>
      <c r="AC42" s="440" t="b">
        <f ca="1">IF(AND(NOT(Y42),AND(Y$4:Y41)),TRUE,Y42)</f>
        <v>0</v>
      </c>
      <c r="AD42" s="439" t="e">
        <f ca="1">IF(AND(NOT(ISBLANK(Jumpoverwrite5)),AND(NOT(AC42),AND(AC$4:AC41))),($J42*$G42-LN(1+Jumpoverwrite5*AE$2))/$G42,_xll.qlInterpolationInterpolate(AC$3,$F42,TRUE))</f>
        <v>#NAME?</v>
      </c>
      <c r="AE42" s="439" t="str">
        <f ca="1">IF(AND(NOT(AC42),AND(AC$4:AC41)),MIN(EXP((AD42-$J42)*$G42),1),"")</f>
        <v/>
      </c>
      <c r="AF42" s="428"/>
      <c r="AG42" s="440" t="b">
        <f ca="1">IF(AND(NOT(AC42),AND(AC$4:AC41)),TRUE,AC42)</f>
        <v>0</v>
      </c>
      <c r="AH42" s="439" t="e">
        <f ca="1">IF(AND(NOT(ISBLANK(Jumpoverwrite6)),AND(NOT(AG42),AND(AG$4:AG41))),($J42*$G42-LN(1+Jumpoverwrite6*AI$2))/$G42,_xll.qlInterpolationInterpolate(AG$3,$F42,TRUE))</f>
        <v>#NAME?</v>
      </c>
      <c r="AI42" s="439" t="str">
        <f ca="1">IF(AND(NOT(AG42),AND(AG$4:AG41)),MIN(EXP((AH42-$J42)*$G42),1),"")</f>
        <v/>
      </c>
      <c r="AJ42" s="428"/>
      <c r="AK42" s="440" t="b">
        <f ca="1">IF(AND(NOT(AG42),AND(AG$4:AG41)),TRUE,AG42)</f>
        <v>0</v>
      </c>
      <c r="AL42" s="439" t="e">
        <f ca="1">IF(AND(NOT(ISBLANK(Jumpoverwrite7)),AND(NOT(AK42),AND(AK$4:AK41))),($J42*$G42-LN(1+Jumpoverwrite7*AM$2))/$G42,_xll.qlInterpolationInterpolate(AK$3,$F42,TRUE))</f>
        <v>#NAME?</v>
      </c>
      <c r="AM42" s="439" t="str">
        <f ca="1">IF(AND(NOT(AK42),AND(AK$4:AK41)),MIN(EXP((AL42-$J42)*$G42),1),"")</f>
        <v/>
      </c>
      <c r="AO42" s="440" t="b">
        <f ca="1">IF(AND(NOT(AK42),AND(AK$4:AK41)),TRUE,AK42)</f>
        <v>0</v>
      </c>
      <c r="AP42" s="439" t="e">
        <f ca="1">IF(AND(NOT(ISBLANK(Jumpoverwrite8)),AND(NOT(AO42),AND(AO$4:AO41))),($J42*$G42-LN(1+Jumpoverwrite8*AQ$2))/$G42,_xll.qlInterpolationInterpolate(AO$3,$F42,TRUE))</f>
        <v>#NAME?</v>
      </c>
      <c r="AQ42" s="439" t="str">
        <f ca="1">IF(AND(NOT(AO42),AND(AO$4:AO41)),MIN(EXP((AP42-$J42)*$G42),1),"")</f>
        <v/>
      </c>
      <c r="AS42" s="440" t="b">
        <f ca="1">IF(AND(NOT(AO42),AND(AO$4:AO41)),TRUE,AO42)</f>
        <v>0</v>
      </c>
      <c r="AT42" s="439" t="e">
        <f ca="1">IF(AND(NOT(ISBLANK(Jumpoverwrite9)),AND(NOT(AS42),AND(AS$4:AS41))),($J42*$G42-LN(1+Jumpoverwrite9*AU$2))/$G42,_xll.qlInterpolationInterpolate(AS$3,$F42,TRUE))</f>
        <v>#NAME?</v>
      </c>
      <c r="AU42" s="439" t="str">
        <f ca="1">IF(AND(NOT(AS42),AND(AS$4:AS41)),MIN(EXP((AT42-$J42)*$G42),1),"")</f>
        <v/>
      </c>
      <c r="AW42" s="440" t="b">
        <f ca="1">IF(AND(NOT(AS42),AND(AS$4:AS41)),TRUE,AS42)</f>
        <v>0</v>
      </c>
      <c r="AX42" s="439" t="e">
        <f ca="1">IF(AND(NOT(ISBLANK(Jumpoverwrite10)),AND(NOT(AW42),AND(AW$4:AW41))),($J42*$G42-LN(1+Jumpoverwrite10*AY$2))/$G42,_xll.qlInterpolationInterpolate(AW$3,$F42,TRUE))</f>
        <v>#NAME?</v>
      </c>
      <c r="AY42" s="439" t="str">
        <f ca="1">IF(AND(NOT(AW42),AND(AW$4:AW41)),MIN(EXP((AX42-$J42)*$G42),1),"")</f>
        <v/>
      </c>
      <c r="BA42" s="440" t="b">
        <f ca="1">IF(AND(NOT(AW42),AND(AW$4:AW41)),TRUE,AW42)</f>
        <v>0</v>
      </c>
      <c r="BB42" s="439" t="e">
        <f ca="1">IF(AND(NOT(ISBLANK(Jumpoverwrite11)),AND(NOT(BA42),AND(BA$4:BA41))),($J42*$G42-LN(1+Jumpoverwrite11*BC$2))/$G42,_xll.qlInterpolationInterpolate(BA$3,$F42,TRUE))</f>
        <v>#NAME?</v>
      </c>
      <c r="BC42" s="439" t="str">
        <f ca="1">IF(AND(NOT(BA42),AND(BA$4:BA41)),MIN(EXP((BB42-$J42)*$G42),1),"")</f>
        <v/>
      </c>
      <c r="BE42" s="440" t="b">
        <f ca="1">IF(AND(NOT(BA42),AND(BA$4:BA41)),TRUE,BA42)</f>
        <v>0</v>
      </c>
      <c r="BF42" s="439" t="e">
        <f ca="1">IF(AND(NOT(ISBLANK(Jumpoverwrite12)),AND(NOT(BE42),AND(BE$4:BE41))),($J42*$G42-LN(1+Jumpoverwrite12*BG$2))/$G42,_xll.qlInterpolationInterpolate(BE$3,$F42,TRUE))</f>
        <v>#NAME?</v>
      </c>
      <c r="BG42" s="439" t="str">
        <f ca="1">IF(AND(NOT(BE42),AND(BE$4:BE41)),MIN(EXP((BF42-$J42)*$G42),1),"")</f>
        <v/>
      </c>
      <c r="BI42" s="440" t="b">
        <f t="shared" ca="1" si="7"/>
        <v>0</v>
      </c>
      <c r="BJ42" s="439" t="e">
        <f ca="1">IF(AND(NOT(ISBLANK(jumpoverwrite13)),AND(NOT(BI42),AND(BI$4:BI41))),($J42*$G42-LN(1+jumpoverwrite13*BK$2))/$G42,_xll.qlInterpolationInterpolate(BI$3,$F42,TRUE))</f>
        <v>#NAME?</v>
      </c>
      <c r="BK42" s="439" t="str">
        <f ca="1">IF(AND(NOT(BI42),AND(BI$4:BI41)),MIN(EXP((BJ42-$J42)*$G42),1),"")</f>
        <v/>
      </c>
    </row>
    <row r="43" spans="1:63" x14ac:dyDescent="0.2">
      <c r="A43" s="438" t="e">
        <f ca="1"/>
        <v>#NAME?</v>
      </c>
      <c r="B43" s="437" t="e">
        <f ca="1">_xll.qlRateHelperRate($A43,InterestRatesTrigger)</f>
        <v>#NAME?</v>
      </c>
      <c r="C43" s="436" t="e">
        <f ca="1">_xll.qlRateHelperEarliestDate($A43)</f>
        <v>#NAME?</v>
      </c>
      <c r="D43" s="435" t="e">
        <f ca="1">_xll.qlRateHelperPillarDate($A43)</f>
        <v>#NAME?</v>
      </c>
      <c r="F43" s="445" t="e">
        <f t="shared" ca="1" si="5"/>
        <v>#N/A</v>
      </c>
      <c r="G43" s="444" t="e">
        <f ca="1">_xll.qlDayCounterYearFraction(DayCounter,D42,D43)</f>
        <v>#NAME?</v>
      </c>
      <c r="I43" s="443" t="b">
        <f t="shared" ca="1" si="6"/>
        <v>0</v>
      </c>
      <c r="J43" s="442" t="e">
        <f ca="1"/>
        <v>#NAME?</v>
      </c>
      <c r="K43" s="441" t="e">
        <f t="shared" ca="1" si="4"/>
        <v>#NAME?</v>
      </c>
      <c r="L43" s="429"/>
      <c r="M43" s="440" t="b">
        <f ca="1">IF(AND(NOT(I43),AND(I$4:I42)),TRUE,I43)</f>
        <v>0</v>
      </c>
      <c r="N43" s="439" t="e">
        <f ca="1">IF(AND(NOT(ISBLANK(Jumpoverwrite1)),AND(NOT(M43),AND(M$4:M42))),($J43*$G43-LN(1+Jumpoverwrite1*O$2))/$G43,_xll.qlInterpolationInterpolate(M$3,$F43,TRUE))</f>
        <v>#NAME?</v>
      </c>
      <c r="O43" s="439" t="str">
        <f ca="1">IF(AND(NOT(M43),AND(M$4:M42)),MIN(EXP((N43-$J43)*$G43),1),"")</f>
        <v/>
      </c>
      <c r="P43" s="428"/>
      <c r="Q43" s="440" t="b">
        <f ca="1">IF(AND(NOT(M43),AND(M$4:M42)),TRUE,M43)</f>
        <v>0</v>
      </c>
      <c r="R43" s="439" t="e">
        <f ca="1">IF(AND(NOT(ISBLANK(Jumpoverwrite2)),AND(NOT(Q43),AND(Q$4:Q42))),($J43*$G43-LN(1+Jumpoverwrite2*S$2))/$G43,_xll.qlInterpolationInterpolate(Q$3,$F43,TRUE))</f>
        <v>#NAME?</v>
      </c>
      <c r="S43" s="439" t="str">
        <f ca="1">IF(AND(NOT(Q43),AND(Q$4:Q42)),MIN(EXP((R43-$J43)*$G43),1),"")</f>
        <v/>
      </c>
      <c r="T43" s="428"/>
      <c r="U43" s="440" t="b">
        <f ca="1">IF(AND(NOT(Q43),AND(Q$4:Q42)),TRUE,Q43)</f>
        <v>0</v>
      </c>
      <c r="V43" s="439" t="e">
        <f ca="1">IF(AND(NOT(ISBLANK(Jumpoverwrite3)),AND(NOT(U43),AND(U$4:U42))),($J43*$G43-LN(1+Jumpoverwrite3*W$2))/$G43,_xll.qlInterpolationInterpolate(U$3,$F43,TRUE))</f>
        <v>#NAME?</v>
      </c>
      <c r="W43" s="439" t="str">
        <f ca="1">IF(AND(NOT(U43),AND(U$4:U42)),MIN(EXP((V43-$J43)*$G43),1),"")</f>
        <v/>
      </c>
      <c r="X43" s="428"/>
      <c r="Y43" s="440" t="b">
        <f ca="1">IF(AND(NOT(U43),AND(U$4:U42)),TRUE,U43)</f>
        <v>0</v>
      </c>
      <c r="Z43" s="439" t="e">
        <f ca="1">IF(AND(NOT(ISBLANK(Jumpoverwrite4)),AND(NOT(Y43),AND(Y$4:Y42))),($J43*$G43-LN(1+Jumpoverwrite4*AA$2))/$G43,_xll.qlInterpolationInterpolate(Y$3,$F43,TRUE))</f>
        <v>#NAME?</v>
      </c>
      <c r="AA43" s="439" t="str">
        <f ca="1">IF(AND(NOT(Y43),AND(Y$4:Y42)),MIN(EXP((Z43-$J43)*$G43),1),"")</f>
        <v/>
      </c>
      <c r="AB43" s="428"/>
      <c r="AC43" s="440" t="b">
        <f ca="1">IF(AND(NOT(Y43),AND(Y$4:Y42)),TRUE,Y43)</f>
        <v>0</v>
      </c>
      <c r="AD43" s="439" t="e">
        <f ca="1">IF(AND(NOT(ISBLANK(Jumpoverwrite5)),AND(NOT(AC43),AND(AC$4:AC42))),($J43*$G43-LN(1+Jumpoverwrite5*AE$2))/$G43,_xll.qlInterpolationInterpolate(AC$3,$F43,TRUE))</f>
        <v>#NAME?</v>
      </c>
      <c r="AE43" s="439" t="str">
        <f ca="1">IF(AND(NOT(AC43),AND(AC$4:AC42)),MIN(EXP((AD43-$J43)*$G43),1),"")</f>
        <v/>
      </c>
      <c r="AF43" s="428"/>
      <c r="AG43" s="440" t="b">
        <f ca="1">IF(AND(NOT(AC43),AND(AC$4:AC42)),TRUE,AC43)</f>
        <v>0</v>
      </c>
      <c r="AH43" s="439" t="e">
        <f ca="1">IF(AND(NOT(ISBLANK(Jumpoverwrite6)),AND(NOT(AG43),AND(AG$4:AG42))),($J43*$G43-LN(1+Jumpoverwrite6*AI$2))/$G43,_xll.qlInterpolationInterpolate(AG$3,$F43,TRUE))</f>
        <v>#NAME?</v>
      </c>
      <c r="AI43" s="439" t="str">
        <f ca="1">IF(AND(NOT(AG43),AND(AG$4:AG42)),MIN(EXP((AH43-$J43)*$G43),1),"")</f>
        <v/>
      </c>
      <c r="AJ43" s="428"/>
      <c r="AK43" s="440" t="b">
        <f ca="1">IF(AND(NOT(AG43),AND(AG$4:AG42)),TRUE,AG43)</f>
        <v>0</v>
      </c>
      <c r="AL43" s="439" t="e">
        <f ca="1">IF(AND(NOT(ISBLANK(Jumpoverwrite7)),AND(NOT(AK43),AND(AK$4:AK42))),($J43*$G43-LN(1+Jumpoverwrite7*AM$2))/$G43,_xll.qlInterpolationInterpolate(AK$3,$F43,TRUE))</f>
        <v>#NAME?</v>
      </c>
      <c r="AM43" s="439" t="str">
        <f ca="1">IF(AND(NOT(AK43),AND(AK$4:AK42)),MIN(EXP((AL43-$J43)*$G43),1),"")</f>
        <v/>
      </c>
      <c r="AO43" s="440" t="b">
        <f ca="1">IF(AND(NOT(AK43),AND(AK$4:AK42)),TRUE,AK43)</f>
        <v>0</v>
      </c>
      <c r="AP43" s="439" t="e">
        <f ca="1">IF(AND(NOT(ISBLANK(Jumpoverwrite8)),AND(NOT(AO43),AND(AO$4:AO42))),($J43*$G43-LN(1+Jumpoverwrite8*AQ$2))/$G43,_xll.qlInterpolationInterpolate(AO$3,$F43,TRUE))</f>
        <v>#NAME?</v>
      </c>
      <c r="AQ43" s="439" t="str">
        <f ca="1">IF(AND(NOT(AO43),AND(AO$4:AO42)),MIN(EXP((AP43-$J43)*$G43),1),"")</f>
        <v/>
      </c>
      <c r="AS43" s="440" t="b">
        <f ca="1">IF(AND(NOT(AO43),AND(AO$4:AO42)),TRUE,AO43)</f>
        <v>0</v>
      </c>
      <c r="AT43" s="439" t="e">
        <f ca="1">IF(AND(NOT(ISBLANK(Jumpoverwrite9)),AND(NOT(AS43),AND(AS$4:AS42))),($J43*$G43-LN(1+Jumpoverwrite9*AU$2))/$G43,_xll.qlInterpolationInterpolate(AS$3,$F43,TRUE))</f>
        <v>#NAME?</v>
      </c>
      <c r="AU43" s="439" t="str">
        <f ca="1">IF(AND(NOT(AS43),AND(AS$4:AS42)),MIN(EXP((AT43-$J43)*$G43),1),"")</f>
        <v/>
      </c>
      <c r="AW43" s="440" t="b">
        <f ca="1">IF(AND(NOT(AS43),AND(AS$4:AS42)),TRUE,AS43)</f>
        <v>0</v>
      </c>
      <c r="AX43" s="439" t="e">
        <f ca="1">IF(AND(NOT(ISBLANK(Jumpoverwrite10)),AND(NOT(AW43),AND(AW$4:AW42))),($J43*$G43-LN(1+Jumpoverwrite10*AY$2))/$G43,_xll.qlInterpolationInterpolate(AW$3,$F43,TRUE))</f>
        <v>#NAME?</v>
      </c>
      <c r="AY43" s="439" t="str">
        <f ca="1">IF(AND(NOT(AW43),AND(AW$4:AW42)),MIN(EXP((AX43-$J43)*$G43),1),"")</f>
        <v/>
      </c>
      <c r="BA43" s="440" t="b">
        <f ca="1">IF(AND(NOT(AW43),AND(AW$4:AW42)),TRUE,AW43)</f>
        <v>0</v>
      </c>
      <c r="BB43" s="439" t="e">
        <f ca="1">IF(AND(NOT(ISBLANK(Jumpoverwrite11)),AND(NOT(BA43),AND(BA$4:BA42))),($J43*$G43-LN(1+Jumpoverwrite11*BC$2))/$G43,_xll.qlInterpolationInterpolate(BA$3,$F43,TRUE))</f>
        <v>#NAME?</v>
      </c>
      <c r="BC43" s="439" t="str">
        <f ca="1">IF(AND(NOT(BA43),AND(BA$4:BA42)),MIN(EXP((BB43-$J43)*$G43),1),"")</f>
        <v/>
      </c>
      <c r="BE43" s="440" t="b">
        <f ca="1">IF(AND(NOT(BA43),AND(BA$4:BA42)),TRUE,BA43)</f>
        <v>0</v>
      </c>
      <c r="BF43" s="439" t="e">
        <f ca="1">IF(AND(NOT(ISBLANK(Jumpoverwrite12)),AND(NOT(BE43),AND(BE$4:BE42))),($J43*$G43-LN(1+Jumpoverwrite12*BG$2))/$G43,_xll.qlInterpolationInterpolate(BE$3,$F43,TRUE))</f>
        <v>#NAME?</v>
      </c>
      <c r="BG43" s="439" t="str">
        <f ca="1">IF(AND(NOT(BE43),AND(BE$4:BE42)),MIN(EXP((BF43-$J43)*$G43),1),"")</f>
        <v/>
      </c>
      <c r="BI43" s="440" t="b">
        <f t="shared" ca="1" si="7"/>
        <v>0</v>
      </c>
      <c r="BJ43" s="439" t="e">
        <f ca="1">IF(AND(NOT(ISBLANK(jumpoverwrite13)),AND(NOT(BI43),AND(BI$4:BI42))),($J43*$G43-LN(1+jumpoverwrite13*BK$2))/$G43,_xll.qlInterpolationInterpolate(BI$3,$F43,TRUE))</f>
        <v>#NAME?</v>
      </c>
      <c r="BK43" s="439" t="str">
        <f ca="1">IF(AND(NOT(BI43),AND(BI$4:BI42)),MIN(EXP((BJ43-$J43)*$G43),1),"")</f>
        <v/>
      </c>
    </row>
    <row r="44" spans="1:63" x14ac:dyDescent="0.2">
      <c r="A44" s="438" t="e">
        <f ca="1"/>
        <v>#NAME?</v>
      </c>
      <c r="B44" s="437" t="e">
        <f ca="1">_xll.qlRateHelperRate($A44,InterestRatesTrigger)</f>
        <v>#NAME?</v>
      </c>
      <c r="C44" s="436" t="e">
        <f ca="1">_xll.qlRateHelperEarliestDate($A44)</f>
        <v>#NAME?</v>
      </c>
      <c r="D44" s="435" t="e">
        <f ca="1">_xll.qlRateHelperPillarDate($A44)</f>
        <v>#NAME?</v>
      </c>
      <c r="F44" s="445" t="e">
        <f t="shared" ca="1" si="5"/>
        <v>#N/A</v>
      </c>
      <c r="G44" s="444" t="e">
        <f ca="1">_xll.qlDayCounterYearFraction(DayCounter,D43,D44)</f>
        <v>#NAME?</v>
      </c>
      <c r="I44" s="443" t="b">
        <f t="shared" ca="1" si="6"/>
        <v>0</v>
      </c>
      <c r="J44" s="442" t="e">
        <f ca="1"/>
        <v>#NAME?</v>
      </c>
      <c r="K44" s="441" t="e">
        <f t="shared" ca="1" si="4"/>
        <v>#NAME?</v>
      </c>
      <c r="L44" s="429"/>
      <c r="M44" s="440" t="b">
        <f ca="1">IF(AND(NOT(I44),AND(I$4:I43)),TRUE,I44)</f>
        <v>0</v>
      </c>
      <c r="N44" s="439" t="e">
        <f ca="1">IF(AND(NOT(ISBLANK(Jumpoverwrite1)),AND(NOT(M44),AND(M$4:M43))),($J44*$G44-LN(1+Jumpoverwrite1*O$2))/$G44,_xll.qlInterpolationInterpolate(M$3,$F44,TRUE))</f>
        <v>#NAME?</v>
      </c>
      <c r="O44" s="439" t="str">
        <f ca="1">IF(AND(NOT(M44),AND(M$4:M43)),MIN(EXP((N44-$J44)*$G44),1),"")</f>
        <v/>
      </c>
      <c r="P44" s="428"/>
      <c r="Q44" s="440" t="b">
        <f ca="1">IF(AND(NOT(M44),AND(M$4:M43)),TRUE,M44)</f>
        <v>0</v>
      </c>
      <c r="R44" s="439" t="e">
        <f ca="1">IF(AND(NOT(ISBLANK(Jumpoverwrite2)),AND(NOT(Q44),AND(Q$4:Q43))),($J44*$G44-LN(1+Jumpoverwrite2*S$2))/$G44,_xll.qlInterpolationInterpolate(Q$3,$F44,TRUE))</f>
        <v>#NAME?</v>
      </c>
      <c r="S44" s="439" t="str">
        <f ca="1">IF(AND(NOT(Q44),AND(Q$4:Q43)),MIN(EXP((R44-$J44)*$G44),1),"")</f>
        <v/>
      </c>
      <c r="T44" s="428"/>
      <c r="U44" s="440" t="b">
        <f ca="1">IF(AND(NOT(Q44),AND(Q$4:Q43)),TRUE,Q44)</f>
        <v>0</v>
      </c>
      <c r="V44" s="439" t="e">
        <f ca="1">IF(AND(NOT(ISBLANK(Jumpoverwrite3)),AND(NOT(U44),AND(U$4:U43))),($J44*$G44-LN(1+Jumpoverwrite3*W$2))/$G44,_xll.qlInterpolationInterpolate(U$3,$F44,TRUE))</f>
        <v>#NAME?</v>
      </c>
      <c r="W44" s="439" t="str">
        <f ca="1">IF(AND(NOT(U44),AND(U$4:U43)),MIN(EXP((V44-$J44)*$G44),1),"")</f>
        <v/>
      </c>
      <c r="X44" s="428"/>
      <c r="Y44" s="440" t="b">
        <f ca="1">IF(AND(NOT(U44),AND(U$4:U43)),TRUE,U44)</f>
        <v>0</v>
      </c>
      <c r="Z44" s="439" t="e">
        <f ca="1">IF(AND(NOT(ISBLANK(Jumpoverwrite4)),AND(NOT(Y44),AND(Y$4:Y43))),($J44*$G44-LN(1+Jumpoverwrite4*AA$2))/$G44,_xll.qlInterpolationInterpolate(Y$3,$F44,TRUE))</f>
        <v>#NAME?</v>
      </c>
      <c r="AA44" s="439" t="str">
        <f ca="1">IF(AND(NOT(Y44),AND(Y$4:Y43)),MIN(EXP((Z44-$J44)*$G44),1),"")</f>
        <v/>
      </c>
      <c r="AB44" s="428"/>
      <c r="AC44" s="440" t="b">
        <f ca="1">IF(AND(NOT(Y44),AND(Y$4:Y43)),TRUE,Y44)</f>
        <v>0</v>
      </c>
      <c r="AD44" s="439" t="e">
        <f ca="1">IF(AND(NOT(ISBLANK(Jumpoverwrite5)),AND(NOT(AC44),AND(AC$4:AC43))),($J44*$G44-LN(1+Jumpoverwrite5*AE$2))/$G44,_xll.qlInterpolationInterpolate(AC$3,$F44,TRUE))</f>
        <v>#NAME?</v>
      </c>
      <c r="AE44" s="439" t="str">
        <f ca="1">IF(AND(NOT(AC44),AND(AC$4:AC43)),MIN(EXP((AD44-$J44)*$G44),1),"")</f>
        <v/>
      </c>
      <c r="AF44" s="428"/>
      <c r="AG44" s="440" t="b">
        <f ca="1">IF(AND(NOT(AC44),AND(AC$4:AC43)),TRUE,AC44)</f>
        <v>0</v>
      </c>
      <c r="AH44" s="439" t="e">
        <f ca="1">IF(AND(NOT(ISBLANK(Jumpoverwrite6)),AND(NOT(AG44),AND(AG$4:AG43))),($J44*$G44-LN(1+Jumpoverwrite6*AI$2))/$G44,_xll.qlInterpolationInterpolate(AG$3,$F44,TRUE))</f>
        <v>#NAME?</v>
      </c>
      <c r="AI44" s="439" t="str">
        <f ca="1">IF(AND(NOT(AG44),AND(AG$4:AG43)),MIN(EXP((AH44-$J44)*$G44),1),"")</f>
        <v/>
      </c>
      <c r="AJ44" s="428"/>
      <c r="AK44" s="440" t="b">
        <f ca="1">IF(AND(NOT(AG44),AND(AG$4:AG43)),TRUE,AG44)</f>
        <v>0</v>
      </c>
      <c r="AL44" s="439" t="e">
        <f ca="1">IF(AND(NOT(ISBLANK(Jumpoverwrite7)),AND(NOT(AK44),AND(AK$4:AK43))),($J44*$G44-LN(1+Jumpoverwrite7*AM$2))/$G44,_xll.qlInterpolationInterpolate(AK$3,$F44,TRUE))</f>
        <v>#NAME?</v>
      </c>
      <c r="AM44" s="439" t="str">
        <f ca="1">IF(AND(NOT(AK44),AND(AK$4:AK43)),MIN(EXP((AL44-$J44)*$G44),1),"")</f>
        <v/>
      </c>
      <c r="AO44" s="440" t="b">
        <f ca="1">IF(AND(NOT(AK44),AND(AK$4:AK43)),TRUE,AK44)</f>
        <v>0</v>
      </c>
      <c r="AP44" s="439" t="e">
        <f ca="1">IF(AND(NOT(ISBLANK(Jumpoverwrite8)),AND(NOT(AO44),AND(AO$4:AO43))),($J44*$G44-LN(1+Jumpoverwrite8*AQ$2))/$G44,_xll.qlInterpolationInterpolate(AO$3,$F44,TRUE))</f>
        <v>#NAME?</v>
      </c>
      <c r="AQ44" s="439" t="str">
        <f ca="1">IF(AND(NOT(AO44),AND(AO$4:AO43)),MIN(EXP((AP44-$J44)*$G44),1),"")</f>
        <v/>
      </c>
      <c r="AS44" s="440" t="b">
        <f ca="1">IF(AND(NOT(AO44),AND(AO$4:AO43)),TRUE,AO44)</f>
        <v>0</v>
      </c>
      <c r="AT44" s="439" t="e">
        <f ca="1">IF(AND(NOT(ISBLANK(Jumpoverwrite9)),AND(NOT(AS44),AND(AS$4:AS43))),($J44*$G44-LN(1+Jumpoverwrite9*AU$2))/$G44,_xll.qlInterpolationInterpolate(AS$3,$F44,TRUE))</f>
        <v>#NAME?</v>
      </c>
      <c r="AU44" s="439" t="str">
        <f ca="1">IF(AND(NOT(AS44),AND(AS$4:AS43)),MIN(EXP((AT44-$J44)*$G44),1),"")</f>
        <v/>
      </c>
      <c r="AW44" s="440" t="b">
        <f ca="1">IF(AND(NOT(AS44),AND(AS$4:AS43)),TRUE,AS44)</f>
        <v>0</v>
      </c>
      <c r="AX44" s="439" t="e">
        <f ca="1">IF(AND(NOT(ISBLANK(Jumpoverwrite10)),AND(NOT(AW44),AND(AW$4:AW43))),($J44*$G44-LN(1+Jumpoverwrite10*AY$2))/$G44,_xll.qlInterpolationInterpolate(AW$3,$F44,TRUE))</f>
        <v>#NAME?</v>
      </c>
      <c r="AY44" s="439" t="str">
        <f ca="1">IF(AND(NOT(AW44),AND(AW$4:AW43)),MIN(EXP((AX44-$J44)*$G44),1),"")</f>
        <v/>
      </c>
      <c r="BA44" s="440" t="b">
        <f ca="1">IF(AND(NOT(AW44),AND(AW$4:AW43)),TRUE,AW44)</f>
        <v>0</v>
      </c>
      <c r="BB44" s="439" t="e">
        <f ca="1">IF(AND(NOT(ISBLANK(Jumpoverwrite11)),AND(NOT(BA44),AND(BA$4:BA43))),($J44*$G44-LN(1+Jumpoverwrite11*BC$2))/$G44,_xll.qlInterpolationInterpolate(BA$3,$F44,TRUE))</f>
        <v>#NAME?</v>
      </c>
      <c r="BC44" s="439" t="str">
        <f ca="1">IF(AND(NOT(BA44),AND(BA$4:BA43)),MIN(EXP((BB44-$J44)*$G44),1),"")</f>
        <v/>
      </c>
      <c r="BE44" s="440" t="b">
        <f ca="1">IF(AND(NOT(BA44),AND(BA$4:BA43)),TRUE,BA44)</f>
        <v>0</v>
      </c>
      <c r="BF44" s="439" t="e">
        <f ca="1">IF(AND(NOT(ISBLANK(Jumpoverwrite12)),AND(NOT(BE44),AND(BE$4:BE43))),($J44*$G44-LN(1+Jumpoverwrite12*BG$2))/$G44,_xll.qlInterpolationInterpolate(BE$3,$F44,TRUE))</f>
        <v>#NAME?</v>
      </c>
      <c r="BG44" s="439" t="str">
        <f ca="1">IF(AND(NOT(BE44),AND(BE$4:BE43)),MIN(EXP((BF44-$J44)*$G44),1),"")</f>
        <v/>
      </c>
      <c r="BI44" s="440" t="b">
        <f t="shared" ca="1" si="7"/>
        <v>0</v>
      </c>
      <c r="BJ44" s="439" t="e">
        <f ca="1">IF(AND(NOT(ISBLANK(jumpoverwrite13)),AND(NOT(BI44),AND(BI$4:BI43))),($J44*$G44-LN(1+jumpoverwrite13*BK$2))/$G44,_xll.qlInterpolationInterpolate(BI$3,$F44,TRUE))</f>
        <v>#NAME?</v>
      </c>
      <c r="BK44" s="439" t="str">
        <f ca="1">IF(AND(NOT(BI44),AND(BI$4:BI43)),MIN(EXP((BJ44-$J44)*$G44),1),"")</f>
        <v/>
      </c>
    </row>
    <row r="45" spans="1:63" x14ac:dyDescent="0.2">
      <c r="A45" s="438" t="e">
        <f ca="1"/>
        <v>#NAME?</v>
      </c>
      <c r="B45" s="437" t="e">
        <f ca="1">_xll.qlRateHelperRate($A45,InterestRatesTrigger)</f>
        <v>#NAME?</v>
      </c>
      <c r="C45" s="436" t="e">
        <f ca="1">_xll.qlRateHelperEarliestDate($A45)</f>
        <v>#NAME?</v>
      </c>
      <c r="D45" s="435" t="e">
        <f ca="1">_xll.qlRateHelperPillarDate($A45)</f>
        <v>#NAME?</v>
      </c>
      <c r="F45" s="445" t="e">
        <f t="shared" ca="1" si="5"/>
        <v>#N/A</v>
      </c>
      <c r="G45" s="444" t="e">
        <f ca="1">_xll.qlDayCounterYearFraction(DayCounter,D44,D45)</f>
        <v>#NAME?</v>
      </c>
      <c r="I45" s="443" t="b">
        <f t="shared" ca="1" si="6"/>
        <v>0</v>
      </c>
      <c r="J45" s="442" t="e">
        <f ca="1"/>
        <v>#NAME?</v>
      </c>
      <c r="K45" s="441" t="e">
        <f t="shared" ca="1" si="4"/>
        <v>#NAME?</v>
      </c>
      <c r="L45" s="429"/>
      <c r="M45" s="440" t="b">
        <f ca="1">IF(AND(NOT(I45),AND(I$4:I44)),TRUE,I45)</f>
        <v>0</v>
      </c>
      <c r="N45" s="439" t="e">
        <f ca="1">IF(AND(NOT(ISBLANK(Jumpoverwrite1)),AND(NOT(M45),AND(M$4:M44))),($J45*$G45-LN(1+Jumpoverwrite1*O$2))/$G45,_xll.qlInterpolationInterpolate(M$3,$F45,TRUE))</f>
        <v>#NAME?</v>
      </c>
      <c r="O45" s="439" t="str">
        <f ca="1">IF(AND(NOT(M45),AND(M$4:M44)),MIN(EXP((N45-$J45)*$G45),1),"")</f>
        <v/>
      </c>
      <c r="P45" s="428"/>
      <c r="Q45" s="440" t="b">
        <f ca="1">IF(AND(NOT(M45),AND(M$4:M44)),TRUE,M45)</f>
        <v>0</v>
      </c>
      <c r="R45" s="439" t="e">
        <f ca="1">IF(AND(NOT(ISBLANK(Jumpoverwrite2)),AND(NOT(Q45),AND(Q$4:Q44))),($J45*$G45-LN(1+Jumpoverwrite2*S$2))/$G45,_xll.qlInterpolationInterpolate(Q$3,$F45,TRUE))</f>
        <v>#NAME?</v>
      </c>
      <c r="S45" s="439" t="str">
        <f ca="1">IF(AND(NOT(Q45),AND(Q$4:Q44)),MIN(EXP((R45-$J45)*$G45),1),"")</f>
        <v/>
      </c>
      <c r="T45" s="428"/>
      <c r="U45" s="440" t="b">
        <f ca="1">IF(AND(NOT(Q45),AND(Q$4:Q44)),TRUE,Q45)</f>
        <v>0</v>
      </c>
      <c r="V45" s="439" t="e">
        <f ca="1">IF(AND(NOT(ISBLANK(Jumpoverwrite3)),AND(NOT(U45),AND(U$4:U44))),($J45*$G45-LN(1+Jumpoverwrite3*W$2))/$G45,_xll.qlInterpolationInterpolate(U$3,$F45,TRUE))</f>
        <v>#NAME?</v>
      </c>
      <c r="W45" s="439" t="str">
        <f ca="1">IF(AND(NOT(U45),AND(U$4:U44)),MIN(EXP((V45-$J45)*$G45),1),"")</f>
        <v/>
      </c>
      <c r="X45" s="428"/>
      <c r="Y45" s="440" t="b">
        <f ca="1">IF(AND(NOT(U45),AND(U$4:U44)),TRUE,U45)</f>
        <v>0</v>
      </c>
      <c r="Z45" s="439" t="e">
        <f ca="1">IF(AND(NOT(ISBLANK(Jumpoverwrite4)),AND(NOT(Y45),AND(Y$4:Y44))),($J45*$G45-LN(1+Jumpoverwrite4*AA$2))/$G45,_xll.qlInterpolationInterpolate(Y$3,$F45,TRUE))</f>
        <v>#NAME?</v>
      </c>
      <c r="AA45" s="439" t="str">
        <f ca="1">IF(AND(NOT(Y45),AND(Y$4:Y44)),MIN(EXP((Z45-$J45)*$G45),1),"")</f>
        <v/>
      </c>
      <c r="AB45" s="428"/>
      <c r="AC45" s="440" t="b">
        <f ca="1">IF(AND(NOT(Y45),AND(Y$4:Y44)),TRUE,Y45)</f>
        <v>0</v>
      </c>
      <c r="AD45" s="439" t="e">
        <f ca="1">IF(AND(NOT(ISBLANK(Jumpoverwrite5)),AND(NOT(AC45),AND(AC$4:AC44))),($J45*$G45-LN(1+Jumpoverwrite5*AE$2))/$G45,_xll.qlInterpolationInterpolate(AC$3,$F45,TRUE))</f>
        <v>#NAME?</v>
      </c>
      <c r="AE45" s="439" t="str">
        <f ca="1">IF(AND(NOT(AC45),AND(AC$4:AC44)),MIN(EXP((AD45-$J45)*$G45),1),"")</f>
        <v/>
      </c>
      <c r="AF45" s="428"/>
      <c r="AG45" s="440" t="b">
        <f ca="1">IF(AND(NOT(AC45),AND(AC$4:AC44)),TRUE,AC45)</f>
        <v>0</v>
      </c>
      <c r="AH45" s="439" t="e">
        <f ca="1">IF(AND(NOT(ISBLANK(Jumpoverwrite6)),AND(NOT(AG45),AND(AG$4:AG44))),($J45*$G45-LN(1+Jumpoverwrite6*AI$2))/$G45,_xll.qlInterpolationInterpolate(AG$3,$F45,TRUE))</f>
        <v>#NAME?</v>
      </c>
      <c r="AI45" s="439" t="str">
        <f ca="1">IF(AND(NOT(AG45),AND(AG$4:AG44)),MIN(EXP((AH45-$J45)*$G45),1),"")</f>
        <v/>
      </c>
      <c r="AJ45" s="428"/>
      <c r="AK45" s="440" t="b">
        <f ca="1">IF(AND(NOT(AG45),AND(AG$4:AG44)),TRUE,AG45)</f>
        <v>0</v>
      </c>
      <c r="AL45" s="439" t="e">
        <f ca="1">IF(AND(NOT(ISBLANK(Jumpoverwrite7)),AND(NOT(AK45),AND(AK$4:AK44))),($J45*$G45-LN(1+Jumpoverwrite7*AM$2))/$G45,_xll.qlInterpolationInterpolate(AK$3,$F45,TRUE))</f>
        <v>#NAME?</v>
      </c>
      <c r="AM45" s="439" t="str">
        <f ca="1">IF(AND(NOT(AK45),AND(AK$4:AK44)),MIN(EXP((AL45-$J45)*$G45),1),"")</f>
        <v/>
      </c>
      <c r="AO45" s="440" t="b">
        <f ca="1">IF(AND(NOT(AK45),AND(AK$4:AK44)),TRUE,AK45)</f>
        <v>0</v>
      </c>
      <c r="AP45" s="439" t="e">
        <f ca="1">IF(AND(NOT(ISBLANK(Jumpoverwrite8)),AND(NOT(AO45),AND(AO$4:AO44))),($J45*$G45-LN(1+Jumpoverwrite8*AQ$2))/$G45,_xll.qlInterpolationInterpolate(AO$3,$F45,TRUE))</f>
        <v>#NAME?</v>
      </c>
      <c r="AQ45" s="439" t="str">
        <f ca="1">IF(AND(NOT(AO45),AND(AO$4:AO44)),MIN(EXP((AP45-$J45)*$G45),1),"")</f>
        <v/>
      </c>
      <c r="AS45" s="440" t="b">
        <f ca="1">IF(AND(NOT(AO45),AND(AO$4:AO44)),TRUE,AO45)</f>
        <v>0</v>
      </c>
      <c r="AT45" s="439" t="e">
        <f ca="1">IF(AND(NOT(ISBLANK(Jumpoverwrite9)),AND(NOT(AS45),AND(AS$4:AS44))),($J45*$G45-LN(1+Jumpoverwrite9*AU$2))/$G45,_xll.qlInterpolationInterpolate(AS$3,$F45,TRUE))</f>
        <v>#NAME?</v>
      </c>
      <c r="AU45" s="439" t="str">
        <f ca="1">IF(AND(NOT(AS45),AND(AS$4:AS44)),MIN(EXP((AT45-$J45)*$G45),1),"")</f>
        <v/>
      </c>
      <c r="AW45" s="440" t="b">
        <f ca="1">IF(AND(NOT(AS45),AND(AS$4:AS44)),TRUE,AS45)</f>
        <v>0</v>
      </c>
      <c r="AX45" s="439" t="e">
        <f ca="1">IF(AND(NOT(ISBLANK(Jumpoverwrite10)),AND(NOT(AW45),AND(AW$4:AW44))),($J45*$G45-LN(1+Jumpoverwrite10*AY$2))/$G45,_xll.qlInterpolationInterpolate(AW$3,$F45,TRUE))</f>
        <v>#NAME?</v>
      </c>
      <c r="AY45" s="439" t="str">
        <f ca="1">IF(AND(NOT(AW45),AND(AW$4:AW44)),MIN(EXP((AX45-$J45)*$G45),1),"")</f>
        <v/>
      </c>
      <c r="BA45" s="440" t="b">
        <f ca="1">IF(AND(NOT(AW45),AND(AW$4:AW44)),TRUE,AW45)</f>
        <v>0</v>
      </c>
      <c r="BB45" s="439" t="e">
        <f ca="1">IF(AND(NOT(ISBLANK(Jumpoverwrite11)),AND(NOT(BA45),AND(BA$4:BA44))),($J45*$G45-LN(1+Jumpoverwrite11*BC$2))/$G45,_xll.qlInterpolationInterpolate(BA$3,$F45,TRUE))</f>
        <v>#NAME?</v>
      </c>
      <c r="BC45" s="439" t="str">
        <f ca="1">IF(AND(NOT(BA45),AND(BA$4:BA44)),MIN(EXP((BB45-$J45)*$G45),1),"")</f>
        <v/>
      </c>
      <c r="BE45" s="440" t="b">
        <f ca="1">IF(AND(NOT(BA45),AND(BA$4:BA44)),TRUE,BA45)</f>
        <v>0</v>
      </c>
      <c r="BF45" s="439" t="e">
        <f ca="1">IF(AND(NOT(ISBLANK(Jumpoverwrite12)),AND(NOT(BE45),AND(BE$4:BE44))),($J45*$G45-LN(1+Jumpoverwrite12*BG$2))/$G45,_xll.qlInterpolationInterpolate(BE$3,$F45,TRUE))</f>
        <v>#NAME?</v>
      </c>
      <c r="BG45" s="439" t="str">
        <f ca="1">IF(AND(NOT(BE45),AND(BE$4:BE44)),MIN(EXP((BF45-$J45)*$G45),1),"")</f>
        <v/>
      </c>
      <c r="BI45" s="440" t="b">
        <f t="shared" ca="1" si="7"/>
        <v>0</v>
      </c>
      <c r="BJ45" s="439" t="e">
        <f ca="1">IF(AND(NOT(ISBLANK(jumpoverwrite13)),AND(NOT(BI45),AND(BI$4:BI44))),($J45*$G45-LN(1+jumpoverwrite13*BK$2))/$G45,_xll.qlInterpolationInterpolate(BI$3,$F45,TRUE))</f>
        <v>#NAME?</v>
      </c>
      <c r="BK45" s="439" t="str">
        <f ca="1">IF(AND(NOT(BI45),AND(BI$4:BI44)),MIN(EXP((BJ45-$J45)*$G45),1),"")</f>
        <v/>
      </c>
    </row>
    <row r="46" spans="1:63" x14ac:dyDescent="0.2">
      <c r="A46" s="438" t="e">
        <f ca="1"/>
        <v>#NAME?</v>
      </c>
      <c r="B46" s="437" t="e">
        <f ca="1">_xll.qlRateHelperRate($A46,InterestRatesTrigger)</f>
        <v>#NAME?</v>
      </c>
      <c r="C46" s="436" t="e">
        <f ca="1">_xll.qlRateHelperEarliestDate($A46)</f>
        <v>#NAME?</v>
      </c>
      <c r="D46" s="435" t="e">
        <f ca="1">_xll.qlRateHelperPillarDate($A46)</f>
        <v>#NAME?</v>
      </c>
      <c r="F46" s="445" t="e">
        <f t="shared" ca="1" si="5"/>
        <v>#N/A</v>
      </c>
      <c r="G46" s="444" t="e">
        <f ca="1">_xll.qlDayCounterYearFraction(DayCounter,D45,D46)</f>
        <v>#NAME?</v>
      </c>
      <c r="I46" s="443" t="b">
        <f t="shared" ca="1" si="6"/>
        <v>0</v>
      </c>
      <c r="J46" s="442" t="e">
        <f ca="1"/>
        <v>#NAME?</v>
      </c>
      <c r="K46" s="441" t="e">
        <f t="shared" ca="1" si="4"/>
        <v>#NAME?</v>
      </c>
      <c r="L46" s="429"/>
      <c r="M46" s="440" t="b">
        <f ca="1">IF(AND(NOT(I46),AND(I$4:I45)),TRUE,I46)</f>
        <v>0</v>
      </c>
      <c r="N46" s="439" t="e">
        <f ca="1">IF(AND(NOT(ISBLANK(Jumpoverwrite1)),AND(NOT(M46),AND(M$4:M45))),($J46*$G46-LN(1+Jumpoverwrite1*O$2))/$G46,_xll.qlInterpolationInterpolate(M$3,$F46,TRUE))</f>
        <v>#NAME?</v>
      </c>
      <c r="O46" s="439" t="str">
        <f ca="1">IF(AND(NOT(M46),AND(M$4:M45)),MIN(EXP((N46-$J46)*$G46),1),"")</f>
        <v/>
      </c>
      <c r="P46" s="428"/>
      <c r="Q46" s="440" t="b">
        <f ca="1">IF(AND(NOT(M46),AND(M$4:M45)),TRUE,M46)</f>
        <v>0</v>
      </c>
      <c r="R46" s="439" t="e">
        <f ca="1">IF(AND(NOT(ISBLANK(Jumpoverwrite2)),AND(NOT(Q46),AND(Q$4:Q45))),($J46*$G46-LN(1+Jumpoverwrite2*S$2))/$G46,_xll.qlInterpolationInterpolate(Q$3,$F46,TRUE))</f>
        <v>#NAME?</v>
      </c>
      <c r="S46" s="439" t="str">
        <f ca="1">IF(AND(NOT(Q46),AND(Q$4:Q45)),MIN(EXP((R46-$J46)*$G46),1),"")</f>
        <v/>
      </c>
      <c r="T46" s="428"/>
      <c r="U46" s="440" t="b">
        <f ca="1">IF(AND(NOT(Q46),AND(Q$4:Q45)),TRUE,Q46)</f>
        <v>0</v>
      </c>
      <c r="V46" s="439" t="e">
        <f ca="1">IF(AND(NOT(ISBLANK(Jumpoverwrite3)),AND(NOT(U46),AND(U$4:U45))),($J46*$G46-LN(1+Jumpoverwrite3*W$2))/$G46,_xll.qlInterpolationInterpolate(U$3,$F46,TRUE))</f>
        <v>#NAME?</v>
      </c>
      <c r="W46" s="439" t="str">
        <f ca="1">IF(AND(NOT(U46),AND(U$4:U45)),MIN(EXP((V46-$J46)*$G46),1),"")</f>
        <v/>
      </c>
      <c r="X46" s="428"/>
      <c r="Y46" s="440" t="b">
        <f ca="1">IF(AND(NOT(U46),AND(U$4:U45)),TRUE,U46)</f>
        <v>0</v>
      </c>
      <c r="Z46" s="439" t="e">
        <f ca="1">IF(AND(NOT(ISBLANK(Jumpoverwrite4)),AND(NOT(Y46),AND(Y$4:Y45))),($J46*$G46-LN(1+Jumpoverwrite4*AA$2))/$G46,_xll.qlInterpolationInterpolate(Y$3,$F46,TRUE))</f>
        <v>#NAME?</v>
      </c>
      <c r="AA46" s="439" t="str">
        <f ca="1">IF(AND(NOT(Y46),AND(Y$4:Y45)),MIN(EXP((Z46-$J46)*$G46),1),"")</f>
        <v/>
      </c>
      <c r="AB46" s="428"/>
      <c r="AC46" s="440" t="b">
        <f ca="1">IF(AND(NOT(Y46),AND(Y$4:Y45)),TRUE,Y46)</f>
        <v>0</v>
      </c>
      <c r="AD46" s="439" t="e">
        <f ca="1">IF(AND(NOT(ISBLANK(Jumpoverwrite5)),AND(NOT(AC46),AND(AC$4:AC45))),($J46*$G46-LN(1+Jumpoverwrite5*AE$2))/$G46,_xll.qlInterpolationInterpolate(AC$3,$F46,TRUE))</f>
        <v>#NAME?</v>
      </c>
      <c r="AE46" s="439" t="str">
        <f ca="1">IF(AND(NOT(AC46),AND(AC$4:AC45)),MIN(EXP((AD46-$J46)*$G46),1),"")</f>
        <v/>
      </c>
      <c r="AF46" s="428"/>
      <c r="AG46" s="440" t="b">
        <f ca="1">IF(AND(NOT(AC46),AND(AC$4:AC45)),TRUE,AC46)</f>
        <v>0</v>
      </c>
      <c r="AH46" s="439" t="e">
        <f ca="1">IF(AND(NOT(ISBLANK(Jumpoverwrite6)),AND(NOT(AG46),AND(AG$4:AG45))),($J46*$G46-LN(1+Jumpoverwrite6*AI$2))/$G46,_xll.qlInterpolationInterpolate(AG$3,$F46,TRUE))</f>
        <v>#NAME?</v>
      </c>
      <c r="AI46" s="439" t="str">
        <f ca="1">IF(AND(NOT(AG46),AND(AG$4:AG45)),MIN(EXP((AH46-$J46)*$G46),1),"")</f>
        <v/>
      </c>
      <c r="AJ46" s="428"/>
      <c r="AK46" s="440" t="b">
        <f ca="1">IF(AND(NOT(AG46),AND(AG$4:AG45)),TRUE,AG46)</f>
        <v>0</v>
      </c>
      <c r="AL46" s="439" t="e">
        <f ca="1">IF(AND(NOT(ISBLANK(Jumpoverwrite7)),AND(NOT(AK46),AND(AK$4:AK45))),($J46*$G46-LN(1+Jumpoverwrite7*AM$2))/$G46,_xll.qlInterpolationInterpolate(AK$3,$F46,TRUE))</f>
        <v>#NAME?</v>
      </c>
      <c r="AM46" s="439" t="str">
        <f ca="1">IF(AND(NOT(AK46),AND(AK$4:AK45)),MIN(EXP((AL46-$J46)*$G46),1),"")</f>
        <v/>
      </c>
      <c r="AO46" s="440" t="b">
        <f ca="1">IF(AND(NOT(AK46),AND(AK$4:AK45)),TRUE,AK46)</f>
        <v>0</v>
      </c>
      <c r="AP46" s="439" t="e">
        <f ca="1">IF(AND(NOT(ISBLANK(Jumpoverwrite8)),AND(NOT(AO46),AND(AO$4:AO45))),($J46*$G46-LN(1+Jumpoverwrite8*AQ$2))/$G46,_xll.qlInterpolationInterpolate(AO$3,$F46,TRUE))</f>
        <v>#NAME?</v>
      </c>
      <c r="AQ46" s="439" t="str">
        <f ca="1">IF(AND(NOT(AO46),AND(AO$4:AO45)),MIN(EXP((AP46-$J46)*$G46),1),"")</f>
        <v/>
      </c>
      <c r="AS46" s="440" t="b">
        <f ca="1">IF(AND(NOT(AO46),AND(AO$4:AO45)),TRUE,AO46)</f>
        <v>0</v>
      </c>
      <c r="AT46" s="439" t="e">
        <f ca="1">IF(AND(NOT(ISBLANK(Jumpoverwrite9)),AND(NOT(AS46),AND(AS$4:AS45))),($J46*$G46-LN(1+Jumpoverwrite9*AU$2))/$G46,_xll.qlInterpolationInterpolate(AS$3,$F46,TRUE))</f>
        <v>#NAME?</v>
      </c>
      <c r="AU46" s="439" t="str">
        <f ca="1">IF(AND(NOT(AS46),AND(AS$4:AS45)),MIN(EXP((AT46-$J46)*$G46),1),"")</f>
        <v/>
      </c>
      <c r="AW46" s="440" t="b">
        <f ca="1">IF(AND(NOT(AS46),AND(AS$4:AS45)),TRUE,AS46)</f>
        <v>0</v>
      </c>
      <c r="AX46" s="439" t="e">
        <f ca="1">IF(AND(NOT(ISBLANK(Jumpoverwrite10)),AND(NOT(AW46),AND(AW$4:AW45))),($J46*$G46-LN(1+Jumpoverwrite10*AY$2))/$G46,_xll.qlInterpolationInterpolate(AW$3,$F46,TRUE))</f>
        <v>#NAME?</v>
      </c>
      <c r="AY46" s="439" t="str">
        <f ca="1">IF(AND(NOT(AW46),AND(AW$4:AW45)),MIN(EXP((AX46-$J46)*$G46),1),"")</f>
        <v/>
      </c>
      <c r="BA46" s="440" t="b">
        <f ca="1">IF(AND(NOT(AW46),AND(AW$4:AW45)),TRUE,AW46)</f>
        <v>0</v>
      </c>
      <c r="BB46" s="439" t="e">
        <f ca="1">IF(AND(NOT(ISBLANK(Jumpoverwrite11)),AND(NOT(BA46),AND(BA$4:BA45))),($J46*$G46-LN(1+Jumpoverwrite11*BC$2))/$G46,_xll.qlInterpolationInterpolate(BA$3,$F46,TRUE))</f>
        <v>#NAME?</v>
      </c>
      <c r="BC46" s="439" t="str">
        <f ca="1">IF(AND(NOT(BA46),AND(BA$4:BA45)),MIN(EXP((BB46-$J46)*$G46),1),"")</f>
        <v/>
      </c>
      <c r="BE46" s="440" t="b">
        <f ca="1">IF(AND(NOT(BA46),AND(BA$4:BA45)),TRUE,BA46)</f>
        <v>0</v>
      </c>
      <c r="BF46" s="439" t="e">
        <f ca="1">IF(AND(NOT(ISBLANK(Jumpoverwrite12)),AND(NOT(BE46),AND(BE$4:BE45))),($J46*$G46-LN(1+Jumpoverwrite12*BG$2))/$G46,_xll.qlInterpolationInterpolate(BE$3,$F46,TRUE))</f>
        <v>#NAME?</v>
      </c>
      <c r="BG46" s="439" t="str">
        <f ca="1">IF(AND(NOT(BE46),AND(BE$4:BE45)),MIN(EXP((BF46-$J46)*$G46),1),"")</f>
        <v/>
      </c>
      <c r="BI46" s="440" t="b">
        <f t="shared" ca="1" si="7"/>
        <v>0</v>
      </c>
      <c r="BJ46" s="439" t="e">
        <f ca="1">IF(AND(NOT(ISBLANK(jumpoverwrite13)),AND(NOT(BI46),AND(BI$4:BI45))),($J46*$G46-LN(1+jumpoverwrite13*BK$2))/$G46,_xll.qlInterpolationInterpolate(BI$3,$F46,TRUE))</f>
        <v>#NAME?</v>
      </c>
      <c r="BK46" s="439" t="str">
        <f ca="1">IF(AND(NOT(BI46),AND(BI$4:BI45)),MIN(EXP((BJ46-$J46)*$G46),1),"")</f>
        <v/>
      </c>
    </row>
    <row r="47" spans="1:63" x14ac:dyDescent="0.2">
      <c r="A47" s="438" t="e">
        <f ca="1"/>
        <v>#NAME?</v>
      </c>
      <c r="B47" s="437" t="e">
        <f ca="1">_xll.qlRateHelperRate($A47,InterestRatesTrigger)</f>
        <v>#NAME?</v>
      </c>
      <c r="C47" s="436" t="e">
        <f ca="1">_xll.qlRateHelperEarliestDate($A47)</f>
        <v>#NAME?</v>
      </c>
      <c r="D47" s="435" t="e">
        <f ca="1">_xll.qlRateHelperPillarDate($A47)</f>
        <v>#NAME?</v>
      </c>
      <c r="F47" s="445" t="e">
        <f t="shared" ca="1" si="5"/>
        <v>#N/A</v>
      </c>
      <c r="G47" s="444" t="e">
        <f ca="1">_xll.qlDayCounterYearFraction(DayCounter,D46,D47)</f>
        <v>#NAME?</v>
      </c>
      <c r="I47" s="443" t="b">
        <f t="shared" ca="1" si="6"/>
        <v>0</v>
      </c>
      <c r="J47" s="442" t="e">
        <f ca="1"/>
        <v>#NAME?</v>
      </c>
      <c r="K47" s="441" t="e">
        <f t="shared" ca="1" si="4"/>
        <v>#NAME?</v>
      </c>
      <c r="L47" s="429"/>
      <c r="M47" s="440" t="b">
        <f ca="1">IF(AND(NOT(I47),AND(I$4:I46)),TRUE,I47)</f>
        <v>0</v>
      </c>
      <c r="N47" s="439" t="e">
        <f ca="1">IF(AND(NOT(ISBLANK(Jumpoverwrite1)),AND(NOT(M47),AND(M$4:M46))),($J47*$G47-LN(1+Jumpoverwrite1*O$2))/$G47,_xll.qlInterpolationInterpolate(M$3,$F47,TRUE))</f>
        <v>#NAME?</v>
      </c>
      <c r="O47" s="439" t="str">
        <f ca="1">IF(AND(NOT(M47),AND(M$4:M46)),MIN(EXP((N47-$J47)*$G47),1),"")</f>
        <v/>
      </c>
      <c r="P47" s="428"/>
      <c r="Q47" s="440" t="b">
        <f ca="1">IF(AND(NOT(M47),AND(M$4:M46)),TRUE,M47)</f>
        <v>0</v>
      </c>
      <c r="R47" s="439" t="e">
        <f ca="1">IF(AND(NOT(ISBLANK(Jumpoverwrite2)),AND(NOT(Q47),AND(Q$4:Q46))),($J47*$G47-LN(1+Jumpoverwrite2*S$2))/$G47,_xll.qlInterpolationInterpolate(Q$3,$F47,TRUE))</f>
        <v>#NAME?</v>
      </c>
      <c r="S47" s="439" t="str">
        <f ca="1">IF(AND(NOT(Q47),AND(Q$4:Q46)),MIN(EXP((R47-$J47)*$G47),1),"")</f>
        <v/>
      </c>
      <c r="T47" s="428"/>
      <c r="U47" s="440" t="b">
        <f ca="1">IF(AND(NOT(Q47),AND(Q$4:Q46)),TRUE,Q47)</f>
        <v>0</v>
      </c>
      <c r="V47" s="439" t="e">
        <f ca="1">IF(AND(NOT(ISBLANK(Jumpoverwrite3)),AND(NOT(U47),AND(U$4:U46))),($J47*$G47-LN(1+Jumpoverwrite3*W$2))/$G47,_xll.qlInterpolationInterpolate(U$3,$F47,TRUE))</f>
        <v>#NAME?</v>
      </c>
      <c r="W47" s="439" t="str">
        <f ca="1">IF(AND(NOT(U47),AND(U$4:U46)),MIN(EXP((V47-$J47)*$G47),1),"")</f>
        <v/>
      </c>
      <c r="X47" s="428"/>
      <c r="Y47" s="440" t="b">
        <f ca="1">IF(AND(NOT(U47),AND(U$4:U46)),TRUE,U47)</f>
        <v>0</v>
      </c>
      <c r="Z47" s="439" t="e">
        <f ca="1">IF(AND(NOT(ISBLANK(Jumpoverwrite4)),AND(NOT(Y47),AND(Y$4:Y46))),($J47*$G47-LN(1+Jumpoverwrite4*AA$2))/$G47,_xll.qlInterpolationInterpolate(Y$3,$F47,TRUE))</f>
        <v>#NAME?</v>
      </c>
      <c r="AA47" s="439" t="str">
        <f ca="1">IF(AND(NOT(Y47),AND(Y$4:Y46)),MIN(EXP((Z47-$J47)*$G47),1),"")</f>
        <v/>
      </c>
      <c r="AB47" s="428"/>
      <c r="AC47" s="440" t="b">
        <f ca="1">IF(AND(NOT(Y47),AND(Y$4:Y46)),TRUE,Y47)</f>
        <v>0</v>
      </c>
      <c r="AD47" s="439" t="e">
        <f ca="1">IF(AND(NOT(ISBLANK(Jumpoverwrite5)),AND(NOT(AC47),AND(AC$4:AC46))),($J47*$G47-LN(1+Jumpoverwrite5*AE$2))/$G47,_xll.qlInterpolationInterpolate(AC$3,$F47,TRUE))</f>
        <v>#NAME?</v>
      </c>
      <c r="AE47" s="439" t="str">
        <f ca="1">IF(AND(NOT(AC47),AND(AC$4:AC46)),MIN(EXP((AD47-$J47)*$G47),1),"")</f>
        <v/>
      </c>
      <c r="AF47" s="428"/>
      <c r="AG47" s="440" t="b">
        <f ca="1">IF(AND(NOT(AC47),AND(AC$4:AC46)),TRUE,AC47)</f>
        <v>0</v>
      </c>
      <c r="AH47" s="439" t="e">
        <f ca="1">IF(AND(NOT(ISBLANK(Jumpoverwrite6)),AND(NOT(AG47),AND(AG$4:AG46))),($J47*$G47-LN(1+Jumpoverwrite6*AI$2))/$G47,_xll.qlInterpolationInterpolate(AG$3,$F47,TRUE))</f>
        <v>#NAME?</v>
      </c>
      <c r="AI47" s="439" t="str">
        <f ca="1">IF(AND(NOT(AG47),AND(AG$4:AG46)),MIN(EXP((AH47-$J47)*$G47),1),"")</f>
        <v/>
      </c>
      <c r="AJ47" s="428"/>
      <c r="AK47" s="440" t="b">
        <f ca="1">IF(AND(NOT(AG47),AND(AG$4:AG46)),TRUE,AG47)</f>
        <v>0</v>
      </c>
      <c r="AL47" s="439" t="e">
        <f ca="1">IF(AND(NOT(ISBLANK(Jumpoverwrite7)),AND(NOT(AK47),AND(AK$4:AK46))),($J47*$G47-LN(1+Jumpoverwrite7*AM$2))/$G47,_xll.qlInterpolationInterpolate(AK$3,$F47,TRUE))</f>
        <v>#NAME?</v>
      </c>
      <c r="AM47" s="439" t="str">
        <f ca="1">IF(AND(NOT(AK47),AND(AK$4:AK46)),MIN(EXP((AL47-$J47)*$G47),1),"")</f>
        <v/>
      </c>
      <c r="AO47" s="440" t="b">
        <f ca="1">IF(AND(NOT(AK47),AND(AK$4:AK46)),TRUE,AK47)</f>
        <v>0</v>
      </c>
      <c r="AP47" s="439" t="e">
        <f ca="1">IF(AND(NOT(ISBLANK(Jumpoverwrite8)),AND(NOT(AO47),AND(AO$4:AO46))),($J47*$G47-LN(1+Jumpoverwrite8*AQ$2))/$G47,_xll.qlInterpolationInterpolate(AO$3,$F47,TRUE))</f>
        <v>#NAME?</v>
      </c>
      <c r="AQ47" s="439" t="str">
        <f ca="1">IF(AND(NOT(AO47),AND(AO$4:AO46)),MIN(EXP((AP47-$J47)*$G47),1),"")</f>
        <v/>
      </c>
      <c r="AS47" s="440" t="b">
        <f ca="1">IF(AND(NOT(AO47),AND(AO$4:AO46)),TRUE,AO47)</f>
        <v>0</v>
      </c>
      <c r="AT47" s="439" t="e">
        <f ca="1">IF(AND(NOT(ISBLANK(Jumpoverwrite9)),AND(NOT(AS47),AND(AS$4:AS46))),($J47*$G47-LN(1+Jumpoverwrite9*AU$2))/$G47,_xll.qlInterpolationInterpolate(AS$3,$F47,TRUE))</f>
        <v>#NAME?</v>
      </c>
      <c r="AU47" s="439" t="str">
        <f ca="1">IF(AND(NOT(AS47),AND(AS$4:AS46)),MIN(EXP((AT47-$J47)*$G47),1),"")</f>
        <v/>
      </c>
      <c r="AW47" s="440" t="b">
        <f ca="1">IF(AND(NOT(AS47),AND(AS$4:AS46)),TRUE,AS47)</f>
        <v>0</v>
      </c>
      <c r="AX47" s="439" t="e">
        <f ca="1">IF(AND(NOT(ISBLANK(Jumpoverwrite10)),AND(NOT(AW47),AND(AW$4:AW46))),($J47*$G47-LN(1+Jumpoverwrite10*AY$2))/$G47,_xll.qlInterpolationInterpolate(AW$3,$F47,TRUE))</f>
        <v>#NAME?</v>
      </c>
      <c r="AY47" s="439" t="str">
        <f ca="1">IF(AND(NOT(AW47),AND(AW$4:AW46)),MIN(EXP((AX47-$J47)*$G47),1),"")</f>
        <v/>
      </c>
      <c r="BA47" s="440" t="b">
        <f ca="1">IF(AND(NOT(AW47),AND(AW$4:AW46)),TRUE,AW47)</f>
        <v>0</v>
      </c>
      <c r="BB47" s="439" t="e">
        <f ca="1">IF(AND(NOT(ISBLANK(Jumpoverwrite11)),AND(NOT(BA47),AND(BA$4:BA46))),($J47*$G47-LN(1+Jumpoverwrite11*BC$2))/$G47,_xll.qlInterpolationInterpolate(BA$3,$F47,TRUE))</f>
        <v>#NAME?</v>
      </c>
      <c r="BC47" s="439" t="str">
        <f ca="1">IF(AND(NOT(BA47),AND(BA$4:BA46)),MIN(EXP((BB47-$J47)*$G47),1),"")</f>
        <v/>
      </c>
      <c r="BE47" s="440" t="b">
        <f ca="1">IF(AND(NOT(BA47),AND(BA$4:BA46)),TRUE,BA47)</f>
        <v>0</v>
      </c>
      <c r="BF47" s="439" t="e">
        <f ca="1">IF(AND(NOT(ISBLANK(Jumpoverwrite12)),AND(NOT(BE47),AND(BE$4:BE46))),($J47*$G47-LN(1+Jumpoverwrite12*BG$2))/$G47,_xll.qlInterpolationInterpolate(BE$3,$F47,TRUE))</f>
        <v>#NAME?</v>
      </c>
      <c r="BG47" s="439" t="str">
        <f ca="1">IF(AND(NOT(BE47),AND(BE$4:BE46)),MIN(EXP((BF47-$J47)*$G47),1),"")</f>
        <v/>
      </c>
      <c r="BI47" s="440" t="b">
        <f t="shared" ca="1" si="7"/>
        <v>0</v>
      </c>
      <c r="BJ47" s="439" t="e">
        <f ca="1">IF(AND(NOT(ISBLANK(jumpoverwrite13)),AND(NOT(BI47),AND(BI$4:BI46))),($J47*$G47-LN(1+jumpoverwrite13*BK$2))/$G47,_xll.qlInterpolationInterpolate(BI$3,$F47,TRUE))</f>
        <v>#NAME?</v>
      </c>
      <c r="BK47" s="439" t="str">
        <f ca="1">IF(AND(NOT(BI47),AND(BI$4:BI46)),MIN(EXP((BJ47-$J47)*$G47),1),"")</f>
        <v/>
      </c>
    </row>
    <row r="48" spans="1:63" x14ac:dyDescent="0.2">
      <c r="A48" s="438" t="e">
        <f ca="1"/>
        <v>#NAME?</v>
      </c>
      <c r="B48" s="437" t="e">
        <f ca="1">_xll.qlRateHelperRate($A48,InterestRatesTrigger)</f>
        <v>#NAME?</v>
      </c>
      <c r="C48" s="436" t="e">
        <f ca="1">_xll.qlRateHelperEarliestDate($A48)</f>
        <v>#NAME?</v>
      </c>
      <c r="D48" s="435" t="e">
        <f ca="1">_xll.qlRateHelperPillarDate($A48)</f>
        <v>#NAME?</v>
      </c>
      <c r="F48" s="445" t="e">
        <f t="shared" ca="1" si="5"/>
        <v>#N/A</v>
      </c>
      <c r="G48" s="444" t="e">
        <f ca="1">_xll.qlDayCounterYearFraction(DayCounter,D47,D48)</f>
        <v>#NAME?</v>
      </c>
      <c r="I48" s="443" t="b">
        <f t="shared" ca="1" si="6"/>
        <v>0</v>
      </c>
      <c r="J48" s="442" t="e">
        <f ca="1"/>
        <v>#NAME?</v>
      </c>
      <c r="K48" s="441" t="e">
        <f t="shared" ca="1" si="4"/>
        <v>#NAME?</v>
      </c>
      <c r="L48" s="429"/>
      <c r="M48" s="440" t="b">
        <f ca="1">IF(AND(NOT(I48),AND(I$4:I47)),TRUE,I48)</f>
        <v>0</v>
      </c>
      <c r="N48" s="439" t="e">
        <f ca="1">IF(AND(NOT(ISBLANK(Jumpoverwrite1)),AND(NOT(M48),AND(M$4:M47))),($J48*$G48-LN(1+Jumpoverwrite1*O$2))/$G48,_xll.qlInterpolationInterpolate(M$3,$F48,TRUE))</f>
        <v>#NAME?</v>
      </c>
      <c r="O48" s="439" t="str">
        <f ca="1">IF(AND(NOT(M48),AND(M$4:M47)),MIN(EXP((N48-$J48)*$G48),1),"")</f>
        <v/>
      </c>
      <c r="P48" s="428"/>
      <c r="Q48" s="440" t="b">
        <f ca="1">IF(AND(NOT(M48),AND(M$4:M47)),TRUE,M48)</f>
        <v>0</v>
      </c>
      <c r="R48" s="439" t="e">
        <f ca="1">IF(AND(NOT(ISBLANK(Jumpoverwrite2)),AND(NOT(Q48),AND(Q$4:Q47))),($J48*$G48-LN(1+Jumpoverwrite2*S$2))/$G48,_xll.qlInterpolationInterpolate(Q$3,$F48,TRUE))</f>
        <v>#NAME?</v>
      </c>
      <c r="S48" s="439" t="str">
        <f ca="1">IF(AND(NOT(Q48),AND(Q$4:Q47)),MIN(EXP((R48-$J48)*$G48),1),"")</f>
        <v/>
      </c>
      <c r="T48" s="428"/>
      <c r="U48" s="440" t="b">
        <f ca="1">IF(AND(NOT(Q48),AND(Q$4:Q47)),TRUE,Q48)</f>
        <v>0</v>
      </c>
      <c r="V48" s="439" t="e">
        <f ca="1">IF(AND(NOT(ISBLANK(Jumpoverwrite3)),AND(NOT(U48),AND(U$4:U47))),($J48*$G48-LN(1+Jumpoverwrite3*W$2))/$G48,_xll.qlInterpolationInterpolate(U$3,$F48,TRUE))</f>
        <v>#NAME?</v>
      </c>
      <c r="W48" s="439" t="str">
        <f ca="1">IF(AND(NOT(U48),AND(U$4:U47)),MIN(EXP((V48-$J48)*$G48),1),"")</f>
        <v/>
      </c>
      <c r="X48" s="428"/>
      <c r="Y48" s="440" t="b">
        <f ca="1">IF(AND(NOT(U48),AND(U$4:U47)),TRUE,U48)</f>
        <v>0</v>
      </c>
      <c r="Z48" s="439" t="e">
        <f ca="1">IF(AND(NOT(ISBLANK(Jumpoverwrite4)),AND(NOT(Y48),AND(Y$4:Y47))),($J48*$G48-LN(1+Jumpoverwrite4*AA$2))/$G48,_xll.qlInterpolationInterpolate(Y$3,$F48,TRUE))</f>
        <v>#NAME?</v>
      </c>
      <c r="AA48" s="439" t="str">
        <f ca="1">IF(AND(NOT(Y48),AND(Y$4:Y47)),MIN(EXP((Z48-$J48)*$G48),1),"")</f>
        <v/>
      </c>
      <c r="AB48" s="428"/>
      <c r="AC48" s="440" t="b">
        <f ca="1">IF(AND(NOT(Y48),AND(Y$4:Y47)),TRUE,Y48)</f>
        <v>0</v>
      </c>
      <c r="AD48" s="439" t="e">
        <f ca="1">IF(AND(NOT(ISBLANK(Jumpoverwrite5)),AND(NOT(AC48),AND(AC$4:AC47))),($J48*$G48-LN(1+Jumpoverwrite5*AE$2))/$G48,_xll.qlInterpolationInterpolate(AC$3,$F48,TRUE))</f>
        <v>#NAME?</v>
      </c>
      <c r="AE48" s="439" t="str">
        <f ca="1">IF(AND(NOT(AC48),AND(AC$4:AC47)),MIN(EXP((AD48-$J48)*$G48),1),"")</f>
        <v/>
      </c>
      <c r="AF48" s="428"/>
      <c r="AG48" s="440" t="b">
        <f ca="1">IF(AND(NOT(AC48),AND(AC$4:AC47)),TRUE,AC48)</f>
        <v>0</v>
      </c>
      <c r="AH48" s="439" t="e">
        <f ca="1">IF(AND(NOT(ISBLANK(Jumpoverwrite6)),AND(NOT(AG48),AND(AG$4:AG47))),($J48*$G48-LN(1+Jumpoverwrite6*AI$2))/$G48,_xll.qlInterpolationInterpolate(AG$3,$F48,TRUE))</f>
        <v>#NAME?</v>
      </c>
      <c r="AI48" s="439" t="str">
        <f ca="1">IF(AND(NOT(AG48),AND(AG$4:AG47)),MIN(EXP((AH48-$J48)*$G48),1),"")</f>
        <v/>
      </c>
      <c r="AJ48" s="428"/>
      <c r="AK48" s="440" t="b">
        <f ca="1">IF(AND(NOT(AG48),AND(AG$4:AG47)),TRUE,AG48)</f>
        <v>0</v>
      </c>
      <c r="AL48" s="439" t="e">
        <f ca="1">IF(AND(NOT(ISBLANK(Jumpoverwrite7)),AND(NOT(AK48),AND(AK$4:AK47))),($J48*$G48-LN(1+Jumpoverwrite7*AM$2))/$G48,_xll.qlInterpolationInterpolate(AK$3,$F48,TRUE))</f>
        <v>#NAME?</v>
      </c>
      <c r="AM48" s="439" t="str">
        <f ca="1">IF(AND(NOT(AK48),AND(AK$4:AK47)),MIN(EXP((AL48-$J48)*$G48),1),"")</f>
        <v/>
      </c>
      <c r="AO48" s="440" t="b">
        <f ca="1">IF(AND(NOT(AK48),AND(AK$4:AK47)),TRUE,AK48)</f>
        <v>0</v>
      </c>
      <c r="AP48" s="439" t="e">
        <f ca="1">IF(AND(NOT(ISBLANK(Jumpoverwrite8)),AND(NOT(AO48),AND(AO$4:AO47))),($J48*$G48-LN(1+Jumpoverwrite8*AQ$2))/$G48,_xll.qlInterpolationInterpolate(AO$3,$F48,TRUE))</f>
        <v>#NAME?</v>
      </c>
      <c r="AQ48" s="439" t="str">
        <f ca="1">IF(AND(NOT(AO48),AND(AO$4:AO47)),MIN(EXP((AP48-$J48)*$G48),1),"")</f>
        <v/>
      </c>
      <c r="AS48" s="440" t="b">
        <f ca="1">IF(AND(NOT(AO48),AND(AO$4:AO47)),TRUE,AO48)</f>
        <v>0</v>
      </c>
      <c r="AT48" s="439" t="e">
        <f ca="1">IF(AND(NOT(ISBLANK(Jumpoverwrite9)),AND(NOT(AS48),AND(AS$4:AS47))),($J48*$G48-LN(1+Jumpoverwrite9*AU$2))/$G48,_xll.qlInterpolationInterpolate(AS$3,$F48,TRUE))</f>
        <v>#NAME?</v>
      </c>
      <c r="AU48" s="439" t="str">
        <f ca="1">IF(AND(NOT(AS48),AND(AS$4:AS47)),MIN(EXP((AT48-$J48)*$G48),1),"")</f>
        <v/>
      </c>
      <c r="AW48" s="440" t="b">
        <f ca="1">IF(AND(NOT(AS48),AND(AS$4:AS47)),TRUE,AS48)</f>
        <v>0</v>
      </c>
      <c r="AX48" s="439" t="e">
        <f ca="1">IF(AND(NOT(ISBLANK(Jumpoverwrite10)),AND(NOT(AW48),AND(AW$4:AW47))),($J48*$G48-LN(1+Jumpoverwrite10*AY$2))/$G48,_xll.qlInterpolationInterpolate(AW$3,$F48,TRUE))</f>
        <v>#NAME?</v>
      </c>
      <c r="AY48" s="439" t="str">
        <f ca="1">IF(AND(NOT(AW48),AND(AW$4:AW47)),MIN(EXP((AX48-$J48)*$G48),1),"")</f>
        <v/>
      </c>
      <c r="BA48" s="440" t="b">
        <f ca="1">IF(AND(NOT(AW48),AND(AW$4:AW47)),TRUE,AW48)</f>
        <v>0</v>
      </c>
      <c r="BB48" s="439" t="e">
        <f ca="1">IF(AND(NOT(ISBLANK(Jumpoverwrite11)),AND(NOT(BA48),AND(BA$4:BA47))),($J48*$G48-LN(1+Jumpoverwrite11*BC$2))/$G48,_xll.qlInterpolationInterpolate(BA$3,$F48,TRUE))</f>
        <v>#NAME?</v>
      </c>
      <c r="BC48" s="439" t="str">
        <f ca="1">IF(AND(NOT(BA48),AND(BA$4:BA47)),MIN(EXP((BB48-$J48)*$G48),1),"")</f>
        <v/>
      </c>
      <c r="BE48" s="440" t="b">
        <f ca="1">IF(AND(NOT(BA48),AND(BA$4:BA47)),TRUE,BA48)</f>
        <v>0</v>
      </c>
      <c r="BF48" s="439" t="e">
        <f ca="1">IF(AND(NOT(ISBLANK(Jumpoverwrite12)),AND(NOT(BE48),AND(BE$4:BE47))),($J48*$G48-LN(1+Jumpoverwrite12*BG$2))/$G48,_xll.qlInterpolationInterpolate(BE$3,$F48,TRUE))</f>
        <v>#NAME?</v>
      </c>
      <c r="BG48" s="439" t="str">
        <f ca="1">IF(AND(NOT(BE48),AND(BE$4:BE47)),MIN(EXP((BF48-$J48)*$G48),1),"")</f>
        <v/>
      </c>
      <c r="BI48" s="440" t="b">
        <f t="shared" ca="1" si="7"/>
        <v>0</v>
      </c>
      <c r="BJ48" s="439" t="e">
        <f ca="1">IF(AND(NOT(ISBLANK(jumpoverwrite13)),AND(NOT(BI48),AND(BI$4:BI47))),($J48*$G48-LN(1+jumpoverwrite13*BK$2))/$G48,_xll.qlInterpolationInterpolate(BI$3,$F48,TRUE))</f>
        <v>#NAME?</v>
      </c>
      <c r="BK48" s="439" t="str">
        <f ca="1">IF(AND(NOT(BI48),AND(BI$4:BI47)),MIN(EXP((BJ48-$J48)*$G48),1),"")</f>
        <v/>
      </c>
    </row>
    <row r="49" spans="1:63" x14ac:dyDescent="0.2">
      <c r="A49" s="438" t="e">
        <f ca="1"/>
        <v>#NAME?</v>
      </c>
      <c r="B49" s="437" t="e">
        <f ca="1">_xll.qlRateHelperRate($A49,InterestRatesTrigger)</f>
        <v>#NAME?</v>
      </c>
      <c r="C49" s="436" t="e">
        <f ca="1">_xll.qlRateHelperEarliestDate($A49)</f>
        <v>#NAME?</v>
      </c>
      <c r="D49" s="435" t="e">
        <f ca="1">_xll.qlRateHelperPillarDate($A49)</f>
        <v>#NAME?</v>
      </c>
      <c r="F49" s="445" t="e">
        <f t="shared" ca="1" si="5"/>
        <v>#N/A</v>
      </c>
      <c r="G49" s="444" t="e">
        <f ca="1">_xll.qlDayCounterYearFraction(DayCounter,D48,D49)</f>
        <v>#NAME?</v>
      </c>
      <c r="I49" s="443" t="b">
        <f t="shared" ca="1" si="6"/>
        <v>0</v>
      </c>
      <c r="J49" s="442" t="e">
        <f ca="1"/>
        <v>#NAME?</v>
      </c>
      <c r="K49" s="441" t="e">
        <f t="shared" ca="1" si="4"/>
        <v>#NAME?</v>
      </c>
      <c r="L49" s="429"/>
      <c r="M49" s="440" t="b">
        <f ca="1">IF(AND(NOT(I49),AND(I$4:I48)),TRUE,I49)</f>
        <v>0</v>
      </c>
      <c r="N49" s="439" t="e">
        <f ca="1">IF(AND(NOT(ISBLANK(Jumpoverwrite1)),AND(NOT(M49),AND(M$4:M48))),($J49*$G49-LN(1+Jumpoverwrite1*O$2))/$G49,_xll.qlInterpolationInterpolate(M$3,$F49,TRUE))</f>
        <v>#NAME?</v>
      </c>
      <c r="O49" s="439" t="str">
        <f ca="1">IF(AND(NOT(M49),AND(M$4:M48)),MIN(EXP((N49-$J49)*$G49),1),"")</f>
        <v/>
      </c>
      <c r="P49" s="428"/>
      <c r="Q49" s="440" t="b">
        <f ca="1">IF(AND(NOT(M49),AND(M$4:M48)),TRUE,M49)</f>
        <v>0</v>
      </c>
      <c r="R49" s="439" t="e">
        <f ca="1">IF(AND(NOT(ISBLANK(Jumpoverwrite2)),AND(NOT(Q49),AND(Q$4:Q48))),($J49*$G49-LN(1+Jumpoverwrite2*S$2))/$G49,_xll.qlInterpolationInterpolate(Q$3,$F49,TRUE))</f>
        <v>#NAME?</v>
      </c>
      <c r="S49" s="439" t="str">
        <f ca="1">IF(AND(NOT(Q49),AND(Q$4:Q48)),MIN(EXP((R49-$J49)*$G49),1),"")</f>
        <v/>
      </c>
      <c r="T49" s="428"/>
      <c r="U49" s="440" t="b">
        <f ca="1">IF(AND(NOT(Q49),AND(Q$4:Q48)),TRUE,Q49)</f>
        <v>0</v>
      </c>
      <c r="V49" s="439" t="e">
        <f ca="1">IF(AND(NOT(ISBLANK(Jumpoverwrite3)),AND(NOT(U49),AND(U$4:U48))),($J49*$G49-LN(1+Jumpoverwrite3*W$2))/$G49,_xll.qlInterpolationInterpolate(U$3,$F49,TRUE))</f>
        <v>#NAME?</v>
      </c>
      <c r="W49" s="439" t="str">
        <f ca="1">IF(AND(NOT(U49),AND(U$4:U48)),MIN(EXP((V49-$J49)*$G49),1),"")</f>
        <v/>
      </c>
      <c r="X49" s="428"/>
      <c r="Y49" s="440" t="b">
        <f ca="1">IF(AND(NOT(U49),AND(U$4:U48)),TRUE,U49)</f>
        <v>0</v>
      </c>
      <c r="Z49" s="439" t="e">
        <f ca="1">IF(AND(NOT(ISBLANK(Jumpoverwrite4)),AND(NOT(Y49),AND(Y$4:Y48))),($J49*$G49-LN(1+Jumpoverwrite4*AA$2))/$G49,_xll.qlInterpolationInterpolate(Y$3,$F49,TRUE))</f>
        <v>#NAME?</v>
      </c>
      <c r="AA49" s="439" t="str">
        <f ca="1">IF(AND(NOT(Y49),AND(Y$4:Y48)),MIN(EXP((Z49-$J49)*$G49),1),"")</f>
        <v/>
      </c>
      <c r="AB49" s="428"/>
      <c r="AC49" s="440" t="b">
        <f ca="1">IF(AND(NOT(Y49),AND(Y$4:Y48)),TRUE,Y49)</f>
        <v>0</v>
      </c>
      <c r="AD49" s="439" t="e">
        <f ca="1">IF(AND(NOT(ISBLANK(Jumpoverwrite5)),AND(NOT(AC49),AND(AC$4:AC48))),($J49*$G49-LN(1+Jumpoverwrite5*AE$2))/$G49,_xll.qlInterpolationInterpolate(AC$3,$F49,TRUE))</f>
        <v>#NAME?</v>
      </c>
      <c r="AE49" s="439" t="str">
        <f ca="1">IF(AND(NOT(AC49),AND(AC$4:AC48)),MIN(EXP((AD49-$J49)*$G49),1),"")</f>
        <v/>
      </c>
      <c r="AF49" s="428"/>
      <c r="AG49" s="440" t="b">
        <f ca="1">IF(AND(NOT(AC49),AND(AC$4:AC48)),TRUE,AC49)</f>
        <v>0</v>
      </c>
      <c r="AH49" s="439" t="e">
        <f ca="1">IF(AND(NOT(ISBLANK(Jumpoverwrite6)),AND(NOT(AG49),AND(AG$4:AG48))),($J49*$G49-LN(1+Jumpoverwrite6*AI$2))/$G49,_xll.qlInterpolationInterpolate(AG$3,$F49,TRUE))</f>
        <v>#NAME?</v>
      </c>
      <c r="AI49" s="439" t="str">
        <f ca="1">IF(AND(NOT(AG49),AND(AG$4:AG48)),MIN(EXP((AH49-$J49)*$G49),1),"")</f>
        <v/>
      </c>
      <c r="AJ49" s="428"/>
      <c r="AK49" s="440" t="b">
        <f ca="1">IF(AND(NOT(AG49),AND(AG$4:AG48)),TRUE,AG49)</f>
        <v>0</v>
      </c>
      <c r="AL49" s="439" t="e">
        <f ca="1">IF(AND(NOT(ISBLANK(Jumpoverwrite7)),AND(NOT(AK49),AND(AK$4:AK48))),($J49*$G49-LN(1+Jumpoverwrite7*AM$2))/$G49,_xll.qlInterpolationInterpolate(AK$3,$F49,TRUE))</f>
        <v>#NAME?</v>
      </c>
      <c r="AM49" s="439" t="str">
        <f ca="1">IF(AND(NOT(AK49),AND(AK$4:AK48)),MIN(EXP((AL49-$J49)*$G49),1),"")</f>
        <v/>
      </c>
      <c r="AO49" s="440" t="b">
        <f ca="1">IF(AND(NOT(AK49),AND(AK$4:AK48)),TRUE,AK49)</f>
        <v>0</v>
      </c>
      <c r="AP49" s="439" t="e">
        <f ca="1">IF(AND(NOT(ISBLANK(Jumpoverwrite8)),AND(NOT(AO49),AND(AO$4:AO48))),($J49*$G49-LN(1+Jumpoverwrite8*AQ$2))/$G49,_xll.qlInterpolationInterpolate(AO$3,$F49,TRUE))</f>
        <v>#NAME?</v>
      </c>
      <c r="AQ49" s="439" t="str">
        <f ca="1">IF(AND(NOT(AO49),AND(AO$4:AO48)),MIN(EXP((AP49-$J49)*$G49),1),"")</f>
        <v/>
      </c>
      <c r="AS49" s="440" t="b">
        <f ca="1">IF(AND(NOT(AO49),AND(AO$4:AO48)),TRUE,AO49)</f>
        <v>0</v>
      </c>
      <c r="AT49" s="439" t="e">
        <f ca="1">IF(AND(NOT(ISBLANK(Jumpoverwrite9)),AND(NOT(AS49),AND(AS$4:AS48))),($J49*$G49-LN(1+Jumpoverwrite9*AU$2))/$G49,_xll.qlInterpolationInterpolate(AS$3,$F49,TRUE))</f>
        <v>#NAME?</v>
      </c>
      <c r="AU49" s="439" t="str">
        <f ca="1">IF(AND(NOT(AS49),AND(AS$4:AS48)),MIN(EXP((AT49-$J49)*$G49),1),"")</f>
        <v/>
      </c>
      <c r="AW49" s="440" t="b">
        <f ca="1">IF(AND(NOT(AS49),AND(AS$4:AS48)),TRUE,AS49)</f>
        <v>0</v>
      </c>
      <c r="AX49" s="439" t="e">
        <f ca="1">IF(AND(NOT(ISBLANK(Jumpoverwrite10)),AND(NOT(AW49),AND(AW$4:AW48))),($J49*$G49-LN(1+Jumpoverwrite10*AY$2))/$G49,_xll.qlInterpolationInterpolate(AW$3,$F49,TRUE))</f>
        <v>#NAME?</v>
      </c>
      <c r="AY49" s="439" t="str">
        <f ca="1">IF(AND(NOT(AW49),AND(AW$4:AW48)),MIN(EXP((AX49-$J49)*$G49),1),"")</f>
        <v/>
      </c>
      <c r="BA49" s="440" t="b">
        <f ca="1">IF(AND(NOT(AW49),AND(AW$4:AW48)),TRUE,AW49)</f>
        <v>0</v>
      </c>
      <c r="BB49" s="439" t="e">
        <f ca="1">IF(AND(NOT(ISBLANK(Jumpoverwrite11)),AND(NOT(BA49),AND(BA$4:BA48))),($J49*$G49-LN(1+Jumpoverwrite11*BC$2))/$G49,_xll.qlInterpolationInterpolate(BA$3,$F49,TRUE))</f>
        <v>#NAME?</v>
      </c>
      <c r="BC49" s="439" t="str">
        <f ca="1">IF(AND(NOT(BA49),AND(BA$4:BA48)),MIN(EXP((BB49-$J49)*$G49),1),"")</f>
        <v/>
      </c>
      <c r="BE49" s="440" t="b">
        <f ca="1">IF(AND(NOT(BA49),AND(BA$4:BA48)),TRUE,BA49)</f>
        <v>0</v>
      </c>
      <c r="BF49" s="439" t="e">
        <f ca="1">IF(AND(NOT(ISBLANK(Jumpoverwrite12)),AND(NOT(BE49),AND(BE$4:BE48))),($J49*$G49-LN(1+Jumpoverwrite12*BG$2))/$G49,_xll.qlInterpolationInterpolate(BE$3,$F49,TRUE))</f>
        <v>#NAME?</v>
      </c>
      <c r="BG49" s="439" t="str">
        <f ca="1">IF(AND(NOT(BE49),AND(BE$4:BE48)),MIN(EXP((BF49-$J49)*$G49),1),"")</f>
        <v/>
      </c>
      <c r="BI49" s="440" t="b">
        <f t="shared" ca="1" si="7"/>
        <v>0</v>
      </c>
      <c r="BJ49" s="439" t="e">
        <f ca="1">IF(AND(NOT(ISBLANK(jumpoverwrite13)),AND(NOT(BI49),AND(BI$4:BI48))),($J49*$G49-LN(1+jumpoverwrite13*BK$2))/$G49,_xll.qlInterpolationInterpolate(BI$3,$F49,TRUE))</f>
        <v>#NAME?</v>
      </c>
      <c r="BK49" s="439" t="str">
        <f ca="1">IF(AND(NOT(BI49),AND(BI$4:BI48)),MIN(EXP((BJ49-$J49)*$G49),1),"")</f>
        <v/>
      </c>
    </row>
    <row r="50" spans="1:63" x14ac:dyDescent="0.2">
      <c r="A50" s="438" t="e">
        <f ca="1"/>
        <v>#NAME?</v>
      </c>
      <c r="B50" s="437" t="e">
        <f ca="1">_xll.qlRateHelperRate($A50,InterestRatesTrigger)</f>
        <v>#NAME?</v>
      </c>
      <c r="C50" s="436" t="e">
        <f ca="1">_xll.qlRateHelperEarliestDate($A50)</f>
        <v>#NAME?</v>
      </c>
      <c r="D50" s="435" t="e">
        <f ca="1">_xll.qlRateHelperPillarDate($A50)</f>
        <v>#NAME?</v>
      </c>
      <c r="F50" s="445" t="e">
        <f t="shared" ca="1" si="5"/>
        <v>#N/A</v>
      </c>
      <c r="G50" s="444" t="e">
        <f ca="1">_xll.qlDayCounterYearFraction(DayCounter,D49,D50)</f>
        <v>#NAME?</v>
      </c>
      <c r="I50" s="443" t="b">
        <f t="shared" ca="1" si="6"/>
        <v>0</v>
      </c>
      <c r="J50" s="442" t="e">
        <f ca="1"/>
        <v>#NAME?</v>
      </c>
      <c r="K50" s="441" t="e">
        <f t="shared" ca="1" si="4"/>
        <v>#NAME?</v>
      </c>
      <c r="L50" s="429"/>
      <c r="M50" s="440" t="b">
        <f ca="1">IF(AND(NOT(I50),AND(I$4:I49)),TRUE,I50)</f>
        <v>0</v>
      </c>
      <c r="N50" s="439" t="e">
        <f ca="1">IF(AND(NOT(ISBLANK(Jumpoverwrite1)),AND(NOT(M50),AND(M$4:M49))),($J50*$G50-LN(1+Jumpoverwrite1*O$2))/$G50,_xll.qlInterpolationInterpolate(M$3,$F50,TRUE))</f>
        <v>#NAME?</v>
      </c>
      <c r="O50" s="439" t="str">
        <f ca="1">IF(AND(NOT(M50),AND(M$4:M49)),MIN(EXP((N50-$J50)*$G50),1),"")</f>
        <v/>
      </c>
      <c r="P50" s="428"/>
      <c r="Q50" s="440" t="b">
        <f ca="1">IF(AND(NOT(M50),AND(M$4:M49)),TRUE,M50)</f>
        <v>0</v>
      </c>
      <c r="R50" s="439" t="e">
        <f ca="1">IF(AND(NOT(ISBLANK(Jumpoverwrite2)),AND(NOT(Q50),AND(Q$4:Q49))),($J50*$G50-LN(1+Jumpoverwrite2*S$2))/$G50,_xll.qlInterpolationInterpolate(Q$3,$F50,TRUE))</f>
        <v>#NAME?</v>
      </c>
      <c r="S50" s="439" t="str">
        <f ca="1">IF(AND(NOT(Q50),AND(Q$4:Q49)),MIN(EXP((R50-$J50)*$G50),1),"")</f>
        <v/>
      </c>
      <c r="T50" s="428"/>
      <c r="U50" s="440" t="b">
        <f ca="1">IF(AND(NOT(Q50),AND(Q$4:Q49)),TRUE,Q50)</f>
        <v>0</v>
      </c>
      <c r="V50" s="439" t="e">
        <f ca="1">IF(AND(NOT(ISBLANK(Jumpoverwrite3)),AND(NOT(U50),AND(U$4:U49))),($J50*$G50-LN(1+Jumpoverwrite3*W$2))/$G50,_xll.qlInterpolationInterpolate(U$3,$F50,TRUE))</f>
        <v>#NAME?</v>
      </c>
      <c r="W50" s="439" t="str">
        <f ca="1">IF(AND(NOT(U50),AND(U$4:U49)),MIN(EXP((V50-$J50)*$G50),1),"")</f>
        <v/>
      </c>
      <c r="X50" s="428"/>
      <c r="Y50" s="440" t="b">
        <f ca="1">IF(AND(NOT(U50),AND(U$4:U49)),TRUE,U50)</f>
        <v>0</v>
      </c>
      <c r="Z50" s="439" t="e">
        <f ca="1">IF(AND(NOT(ISBLANK(Jumpoverwrite4)),AND(NOT(Y50),AND(Y$4:Y49))),($J50*$G50-LN(1+Jumpoverwrite4*AA$2))/$G50,_xll.qlInterpolationInterpolate(Y$3,$F50,TRUE))</f>
        <v>#NAME?</v>
      </c>
      <c r="AA50" s="439" t="str">
        <f ca="1">IF(AND(NOT(Y50),AND(Y$4:Y49)),MIN(EXP((Z50-$J50)*$G50),1),"")</f>
        <v/>
      </c>
      <c r="AB50" s="428"/>
      <c r="AC50" s="440" t="b">
        <f ca="1">IF(AND(NOT(Y50),AND(Y$4:Y49)),TRUE,Y50)</f>
        <v>0</v>
      </c>
      <c r="AD50" s="439" t="e">
        <f ca="1">IF(AND(NOT(ISBLANK(Jumpoverwrite5)),AND(NOT(AC50),AND(AC$4:AC49))),($J50*$G50-LN(1+Jumpoverwrite5*AE$2))/$G50,_xll.qlInterpolationInterpolate(AC$3,$F50,TRUE))</f>
        <v>#NAME?</v>
      </c>
      <c r="AE50" s="439" t="str">
        <f ca="1">IF(AND(NOT(AC50),AND(AC$4:AC49)),MIN(EXP((AD50-$J50)*$G50),1),"")</f>
        <v/>
      </c>
      <c r="AF50" s="428"/>
      <c r="AG50" s="440" t="b">
        <f ca="1">IF(AND(NOT(AC50),AND(AC$4:AC49)),TRUE,AC50)</f>
        <v>0</v>
      </c>
      <c r="AH50" s="439" t="e">
        <f ca="1">IF(AND(NOT(ISBLANK(Jumpoverwrite6)),AND(NOT(AG50),AND(AG$4:AG49))),($J50*$G50-LN(1+Jumpoverwrite6*AI$2))/$G50,_xll.qlInterpolationInterpolate(AG$3,$F50,TRUE))</f>
        <v>#NAME?</v>
      </c>
      <c r="AI50" s="439" t="str">
        <f ca="1">IF(AND(NOT(AG50),AND(AG$4:AG49)),MIN(EXP((AH50-$J50)*$G50),1),"")</f>
        <v/>
      </c>
      <c r="AJ50" s="428"/>
      <c r="AK50" s="440" t="b">
        <f ca="1">IF(AND(NOT(AG50),AND(AG$4:AG49)),TRUE,AG50)</f>
        <v>0</v>
      </c>
      <c r="AL50" s="439" t="e">
        <f ca="1">IF(AND(NOT(ISBLANK(Jumpoverwrite7)),AND(NOT(AK50),AND(AK$4:AK49))),($J50*$G50-LN(1+Jumpoverwrite7*AM$2))/$G50,_xll.qlInterpolationInterpolate(AK$3,$F50,TRUE))</f>
        <v>#NAME?</v>
      </c>
      <c r="AM50" s="439" t="str">
        <f ca="1">IF(AND(NOT(AK50),AND(AK$4:AK49)),MIN(EXP((AL50-$J50)*$G50),1),"")</f>
        <v/>
      </c>
      <c r="AO50" s="440" t="b">
        <f ca="1">IF(AND(NOT(AK50),AND(AK$4:AK49)),TRUE,AK50)</f>
        <v>0</v>
      </c>
      <c r="AP50" s="439" t="e">
        <f ca="1">IF(AND(NOT(ISBLANK(Jumpoverwrite8)),AND(NOT(AO50),AND(AO$4:AO49))),($J50*$G50-LN(1+Jumpoverwrite8*AQ$2))/$G50,_xll.qlInterpolationInterpolate(AO$3,$F50,TRUE))</f>
        <v>#NAME?</v>
      </c>
      <c r="AQ50" s="439" t="str">
        <f ca="1">IF(AND(NOT(AO50),AND(AO$4:AO49)),MIN(EXP((AP50-$J50)*$G50),1),"")</f>
        <v/>
      </c>
      <c r="AS50" s="440" t="b">
        <f ca="1">IF(AND(NOT(AO50),AND(AO$4:AO49)),TRUE,AO50)</f>
        <v>0</v>
      </c>
      <c r="AT50" s="439" t="e">
        <f ca="1">IF(AND(NOT(ISBLANK(Jumpoverwrite9)),AND(NOT(AS50),AND(AS$4:AS49))),($J50*$G50-LN(1+Jumpoverwrite9*AU$2))/$G50,_xll.qlInterpolationInterpolate(AS$3,$F50,TRUE))</f>
        <v>#NAME?</v>
      </c>
      <c r="AU50" s="439" t="str">
        <f ca="1">IF(AND(NOT(AS50),AND(AS$4:AS49)),MIN(EXP((AT50-$J50)*$G50),1),"")</f>
        <v/>
      </c>
      <c r="AW50" s="440" t="b">
        <f ca="1">IF(AND(NOT(AS50),AND(AS$4:AS49)),TRUE,AS50)</f>
        <v>0</v>
      </c>
      <c r="AX50" s="439" t="e">
        <f ca="1">IF(AND(NOT(ISBLANK(Jumpoverwrite10)),AND(NOT(AW50),AND(AW$4:AW49))),($J50*$G50-LN(1+Jumpoverwrite10*AY$2))/$G50,_xll.qlInterpolationInterpolate(AW$3,$F50,TRUE))</f>
        <v>#NAME?</v>
      </c>
      <c r="AY50" s="439" t="str">
        <f ca="1">IF(AND(NOT(AW50),AND(AW$4:AW49)),MIN(EXP((AX50-$J50)*$G50),1),"")</f>
        <v/>
      </c>
      <c r="BA50" s="440" t="b">
        <f ca="1">IF(AND(NOT(AW50),AND(AW$4:AW49)),TRUE,AW50)</f>
        <v>0</v>
      </c>
      <c r="BB50" s="439" t="e">
        <f ca="1">IF(AND(NOT(ISBLANK(Jumpoverwrite11)),AND(NOT(BA50),AND(BA$4:BA49))),($J50*$G50-LN(1+Jumpoverwrite11*BC$2))/$G50,_xll.qlInterpolationInterpolate(BA$3,$F50,TRUE))</f>
        <v>#NAME?</v>
      </c>
      <c r="BC50" s="439" t="str">
        <f ca="1">IF(AND(NOT(BA50),AND(BA$4:BA49)),MIN(EXP((BB50-$J50)*$G50),1),"")</f>
        <v/>
      </c>
      <c r="BE50" s="440" t="b">
        <f ca="1">IF(AND(NOT(BA50),AND(BA$4:BA49)),TRUE,BA50)</f>
        <v>0</v>
      </c>
      <c r="BF50" s="439" t="e">
        <f ca="1">IF(AND(NOT(ISBLANK(Jumpoverwrite12)),AND(NOT(BE50),AND(BE$4:BE49))),($J50*$G50-LN(1+Jumpoverwrite12*BG$2))/$G50,_xll.qlInterpolationInterpolate(BE$3,$F50,TRUE))</f>
        <v>#NAME?</v>
      </c>
      <c r="BG50" s="439" t="str">
        <f ca="1">IF(AND(NOT(BE50),AND(BE$4:BE49)),MIN(EXP((BF50-$J50)*$G50),1),"")</f>
        <v/>
      </c>
      <c r="BI50" s="440" t="b">
        <f t="shared" ca="1" si="7"/>
        <v>0</v>
      </c>
      <c r="BJ50" s="439" t="e">
        <f ca="1">IF(AND(NOT(ISBLANK(jumpoverwrite13)),AND(NOT(BI50),AND(BI$4:BI49))),($J50*$G50-LN(1+jumpoverwrite13*BK$2))/$G50,_xll.qlInterpolationInterpolate(BI$3,$F50,TRUE))</f>
        <v>#NAME?</v>
      </c>
      <c r="BK50" s="439" t="str">
        <f ca="1">IF(AND(NOT(BI50),AND(BI$4:BI49)),MIN(EXP((BJ50-$J50)*$G50),1),"")</f>
        <v/>
      </c>
    </row>
    <row r="51" spans="1:63" x14ac:dyDescent="0.2">
      <c r="A51" s="438" t="e">
        <f ca="1"/>
        <v>#NAME?</v>
      </c>
      <c r="B51" s="437" t="e">
        <f ca="1">_xll.qlRateHelperRate($A51,InterestRatesTrigger)</f>
        <v>#NAME?</v>
      </c>
      <c r="C51" s="436" t="e">
        <f ca="1">_xll.qlRateHelperEarliestDate($A51)</f>
        <v>#NAME?</v>
      </c>
      <c r="D51" s="435" t="e">
        <f ca="1">_xll.qlRateHelperPillarDate($A51)</f>
        <v>#NAME?</v>
      </c>
      <c r="F51" s="445" t="e">
        <f t="shared" ca="1" si="5"/>
        <v>#N/A</v>
      </c>
      <c r="G51" s="444" t="e">
        <f ca="1">_xll.qlDayCounterYearFraction(DayCounter,D50,D51)</f>
        <v>#NAME?</v>
      </c>
      <c r="I51" s="443" t="b">
        <f t="shared" ca="1" si="6"/>
        <v>0</v>
      </c>
      <c r="J51" s="442" t="e">
        <f ca="1"/>
        <v>#NAME?</v>
      </c>
      <c r="K51" s="441" t="e">
        <f t="shared" ca="1" si="4"/>
        <v>#NAME?</v>
      </c>
      <c r="L51" s="429"/>
      <c r="M51" s="440" t="b">
        <f ca="1">IF(AND(NOT(I51),AND(I$4:I50)),TRUE,I51)</f>
        <v>0</v>
      </c>
      <c r="N51" s="439" t="e">
        <f ca="1">IF(AND(NOT(ISBLANK(Jumpoverwrite1)),AND(NOT(M51),AND(M$4:M50))),($J51*$G51-LN(1+Jumpoverwrite1*O$2))/$G51,_xll.qlInterpolationInterpolate(M$3,$F51,TRUE))</f>
        <v>#NAME?</v>
      </c>
      <c r="O51" s="439" t="str">
        <f ca="1">IF(AND(NOT(M51),AND(M$4:M50)),MIN(EXP((N51-$J51)*$G51),1),"")</f>
        <v/>
      </c>
      <c r="P51" s="428"/>
      <c r="Q51" s="440" t="b">
        <f ca="1">IF(AND(NOT(M51),AND(M$4:M50)),TRUE,M51)</f>
        <v>0</v>
      </c>
      <c r="R51" s="439" t="e">
        <f ca="1">IF(AND(NOT(ISBLANK(Jumpoverwrite2)),AND(NOT(Q51),AND(Q$4:Q50))),($J51*$G51-LN(1+Jumpoverwrite2*S$2))/$G51,_xll.qlInterpolationInterpolate(Q$3,$F51,TRUE))</f>
        <v>#NAME?</v>
      </c>
      <c r="S51" s="439" t="str">
        <f ca="1">IF(AND(NOT(Q51),AND(Q$4:Q50)),MIN(EXP((R51-$J51)*$G51),1),"")</f>
        <v/>
      </c>
      <c r="T51" s="428"/>
      <c r="U51" s="440" t="b">
        <f ca="1">IF(AND(NOT(Q51),AND(Q$4:Q50)),TRUE,Q51)</f>
        <v>0</v>
      </c>
      <c r="V51" s="439" t="e">
        <f ca="1">IF(AND(NOT(ISBLANK(Jumpoverwrite3)),AND(NOT(U51),AND(U$4:U50))),($J51*$G51-LN(1+Jumpoverwrite3*W$2))/$G51,_xll.qlInterpolationInterpolate(U$3,$F51,TRUE))</f>
        <v>#NAME?</v>
      </c>
      <c r="W51" s="439" t="str">
        <f ca="1">IF(AND(NOT(U51),AND(U$4:U50)),MIN(EXP((V51-$J51)*$G51),1),"")</f>
        <v/>
      </c>
      <c r="X51" s="428"/>
      <c r="Y51" s="440" t="b">
        <f ca="1">IF(AND(NOT(U51),AND(U$4:U50)),TRUE,U51)</f>
        <v>0</v>
      </c>
      <c r="Z51" s="439" t="e">
        <f ca="1">IF(AND(NOT(ISBLANK(Jumpoverwrite4)),AND(NOT(Y51),AND(Y$4:Y50))),($J51*$G51-LN(1+Jumpoverwrite4*AA$2))/$G51,_xll.qlInterpolationInterpolate(Y$3,$F51,TRUE))</f>
        <v>#NAME?</v>
      </c>
      <c r="AA51" s="439" t="str">
        <f ca="1">IF(AND(NOT(Y51),AND(Y$4:Y50)),MIN(EXP((Z51-$J51)*$G51),1),"")</f>
        <v/>
      </c>
      <c r="AB51" s="428"/>
      <c r="AC51" s="440" t="b">
        <f ca="1">IF(AND(NOT(Y51),AND(Y$4:Y50)),TRUE,Y51)</f>
        <v>0</v>
      </c>
      <c r="AD51" s="439" t="e">
        <f ca="1">IF(AND(NOT(ISBLANK(Jumpoverwrite5)),AND(NOT(AC51),AND(AC$4:AC50))),($J51*$G51-LN(1+Jumpoverwrite5*AE$2))/$G51,_xll.qlInterpolationInterpolate(AC$3,$F51,TRUE))</f>
        <v>#NAME?</v>
      </c>
      <c r="AE51" s="439" t="str">
        <f ca="1">IF(AND(NOT(AC51),AND(AC$4:AC50)),MIN(EXP((AD51-$J51)*$G51),1),"")</f>
        <v/>
      </c>
      <c r="AF51" s="428"/>
      <c r="AG51" s="440" t="b">
        <f ca="1">IF(AND(NOT(AC51),AND(AC$4:AC50)),TRUE,AC51)</f>
        <v>0</v>
      </c>
      <c r="AH51" s="439" t="e">
        <f ca="1">IF(AND(NOT(ISBLANK(Jumpoverwrite6)),AND(NOT(AG51),AND(AG$4:AG50))),($J51*$G51-LN(1+Jumpoverwrite6*AI$2))/$G51,_xll.qlInterpolationInterpolate(AG$3,$F51,TRUE))</f>
        <v>#NAME?</v>
      </c>
      <c r="AI51" s="439" t="str">
        <f ca="1">IF(AND(NOT(AG51),AND(AG$4:AG50)),MIN(EXP((AH51-$J51)*$G51),1),"")</f>
        <v/>
      </c>
      <c r="AJ51" s="428"/>
      <c r="AK51" s="440" t="b">
        <f ca="1">IF(AND(NOT(AG51),AND(AG$4:AG50)),TRUE,AG51)</f>
        <v>0</v>
      </c>
      <c r="AL51" s="439" t="e">
        <f ca="1">IF(AND(NOT(ISBLANK(Jumpoverwrite7)),AND(NOT(AK51),AND(AK$4:AK50))),($J51*$G51-LN(1+Jumpoverwrite7*AM$2))/$G51,_xll.qlInterpolationInterpolate(AK$3,$F51,TRUE))</f>
        <v>#NAME?</v>
      </c>
      <c r="AM51" s="439" t="str">
        <f ca="1">IF(AND(NOT(AK51),AND(AK$4:AK50)),MIN(EXP((AL51-$J51)*$G51),1),"")</f>
        <v/>
      </c>
      <c r="AO51" s="440" t="b">
        <f ca="1">IF(AND(NOT(AK51),AND(AK$4:AK50)),TRUE,AK51)</f>
        <v>0</v>
      </c>
      <c r="AP51" s="439" t="e">
        <f ca="1">IF(AND(NOT(ISBLANK(Jumpoverwrite8)),AND(NOT(AO51),AND(AO$4:AO50))),($J51*$G51-LN(1+Jumpoverwrite8*AQ$2))/$G51,_xll.qlInterpolationInterpolate(AO$3,$F51,TRUE))</f>
        <v>#NAME?</v>
      </c>
      <c r="AQ51" s="439" t="str">
        <f ca="1">IF(AND(NOT(AO51),AND(AO$4:AO50)),MIN(EXP((AP51-$J51)*$G51),1),"")</f>
        <v/>
      </c>
      <c r="AS51" s="440" t="b">
        <f ca="1">IF(AND(NOT(AO51),AND(AO$4:AO50)),TRUE,AO51)</f>
        <v>0</v>
      </c>
      <c r="AT51" s="439" t="e">
        <f ca="1">IF(AND(NOT(ISBLANK(Jumpoverwrite9)),AND(NOT(AS51),AND(AS$4:AS50))),($J51*$G51-LN(1+Jumpoverwrite9*AU$2))/$G51,_xll.qlInterpolationInterpolate(AS$3,$F51,TRUE))</f>
        <v>#NAME?</v>
      </c>
      <c r="AU51" s="439" t="str">
        <f ca="1">IF(AND(NOT(AS51),AND(AS$4:AS50)),MIN(EXP((AT51-$J51)*$G51),1),"")</f>
        <v/>
      </c>
      <c r="AW51" s="440" t="b">
        <f ca="1">IF(AND(NOT(AS51),AND(AS$4:AS50)),TRUE,AS51)</f>
        <v>0</v>
      </c>
      <c r="AX51" s="439" t="e">
        <f ca="1">IF(AND(NOT(ISBLANK(Jumpoverwrite10)),AND(NOT(AW51),AND(AW$4:AW50))),($J51*$G51-LN(1+Jumpoverwrite10*AY$2))/$G51,_xll.qlInterpolationInterpolate(AW$3,$F51,TRUE))</f>
        <v>#NAME?</v>
      </c>
      <c r="AY51" s="439" t="str">
        <f ca="1">IF(AND(NOT(AW51),AND(AW$4:AW50)),MIN(EXP((AX51-$J51)*$G51),1),"")</f>
        <v/>
      </c>
      <c r="BA51" s="440" t="b">
        <f ca="1">IF(AND(NOT(AW51),AND(AW$4:AW50)),TRUE,AW51)</f>
        <v>0</v>
      </c>
      <c r="BB51" s="439" t="e">
        <f ca="1">IF(AND(NOT(ISBLANK(Jumpoverwrite11)),AND(NOT(BA51),AND(BA$4:BA50))),($J51*$G51-LN(1+Jumpoverwrite11*BC$2))/$G51,_xll.qlInterpolationInterpolate(BA$3,$F51,TRUE))</f>
        <v>#NAME?</v>
      </c>
      <c r="BC51" s="439" t="str">
        <f ca="1">IF(AND(NOT(BA51),AND(BA$4:BA50)),MIN(EXP((BB51-$J51)*$G51),1),"")</f>
        <v/>
      </c>
      <c r="BE51" s="440" t="b">
        <f ca="1">IF(AND(NOT(BA51),AND(BA$4:BA50)),TRUE,BA51)</f>
        <v>0</v>
      </c>
      <c r="BF51" s="439" t="e">
        <f ca="1">IF(AND(NOT(ISBLANK(Jumpoverwrite12)),AND(NOT(BE51),AND(BE$4:BE50))),($J51*$G51-LN(1+Jumpoverwrite12*BG$2))/$G51,_xll.qlInterpolationInterpolate(BE$3,$F51,TRUE))</f>
        <v>#NAME?</v>
      </c>
      <c r="BG51" s="439" t="str">
        <f ca="1">IF(AND(NOT(BE51),AND(BE$4:BE50)),MIN(EXP((BF51-$J51)*$G51),1),"")</f>
        <v/>
      </c>
      <c r="BI51" s="440" t="b">
        <f t="shared" ca="1" si="7"/>
        <v>0</v>
      </c>
      <c r="BJ51" s="439" t="e">
        <f ca="1">IF(AND(NOT(ISBLANK(jumpoverwrite13)),AND(NOT(BI51),AND(BI$4:BI50))),($J51*$G51-LN(1+jumpoverwrite13*BK$2))/$G51,_xll.qlInterpolationInterpolate(BI$3,$F51,TRUE))</f>
        <v>#NAME?</v>
      </c>
      <c r="BK51" s="439" t="str">
        <f ca="1">IF(AND(NOT(BI51),AND(BI$4:BI50)),MIN(EXP((BJ51-$J51)*$G51),1),"")</f>
        <v/>
      </c>
    </row>
    <row r="52" spans="1:63" x14ac:dyDescent="0.2">
      <c r="A52" s="438" t="e">
        <f ca="1"/>
        <v>#NAME?</v>
      </c>
      <c r="B52" s="437" t="e">
        <f ca="1">_xll.qlRateHelperRate($A52,InterestRatesTrigger)</f>
        <v>#NAME?</v>
      </c>
      <c r="C52" s="436" t="e">
        <f ca="1">_xll.qlRateHelperEarliestDate($A52)</f>
        <v>#NAME?</v>
      </c>
      <c r="D52" s="435" t="e">
        <f ca="1">_xll.qlRateHelperPillarDate($A52)</f>
        <v>#NAME?</v>
      </c>
      <c r="F52" s="445" t="e">
        <f t="shared" ca="1" si="5"/>
        <v>#N/A</v>
      </c>
      <c r="G52" s="444" t="e">
        <f ca="1">_xll.qlDayCounterYearFraction(DayCounter,D51,D52)</f>
        <v>#NAME?</v>
      </c>
      <c r="I52" s="443" t="b">
        <f t="shared" ca="1" si="6"/>
        <v>0</v>
      </c>
      <c r="J52" s="442" t="e">
        <f ca="1"/>
        <v>#NAME?</v>
      </c>
      <c r="K52" s="441" t="e">
        <f t="shared" ca="1" si="4"/>
        <v>#NAME?</v>
      </c>
      <c r="L52" s="429"/>
      <c r="M52" s="440" t="b">
        <f ca="1">IF(AND(NOT(I52),AND(I$4:I51)),TRUE,I52)</f>
        <v>0</v>
      </c>
      <c r="N52" s="439" t="e">
        <f ca="1">IF(AND(NOT(ISBLANK(Jumpoverwrite1)),AND(NOT(M52),AND(M$4:M51))),($J52*$G52-LN(1+Jumpoverwrite1*O$2))/$G52,_xll.qlInterpolationInterpolate(M$3,$F52,TRUE))</f>
        <v>#NAME?</v>
      </c>
      <c r="O52" s="439" t="str">
        <f ca="1">IF(AND(NOT(M52),AND(M$4:M51)),MIN(EXP((N52-$J52)*$G52),1),"")</f>
        <v/>
      </c>
      <c r="P52" s="428"/>
      <c r="Q52" s="440" t="b">
        <f ca="1">IF(AND(NOT(M52),AND(M$4:M51)),TRUE,M52)</f>
        <v>0</v>
      </c>
      <c r="R52" s="439" t="e">
        <f ca="1">IF(AND(NOT(ISBLANK(Jumpoverwrite2)),AND(NOT(Q52),AND(Q$4:Q51))),($J52*$G52-LN(1+Jumpoverwrite2*S$2))/$G52,_xll.qlInterpolationInterpolate(Q$3,$F52,TRUE))</f>
        <v>#NAME?</v>
      </c>
      <c r="S52" s="439" t="str">
        <f ca="1">IF(AND(NOT(Q52),AND(Q$4:Q51)),MIN(EXP((R52-$J52)*$G52),1),"")</f>
        <v/>
      </c>
      <c r="T52" s="428"/>
      <c r="U52" s="440" t="b">
        <f ca="1">IF(AND(NOT(Q52),AND(Q$4:Q51)),TRUE,Q52)</f>
        <v>0</v>
      </c>
      <c r="V52" s="439" t="e">
        <f ca="1">IF(AND(NOT(ISBLANK(Jumpoverwrite3)),AND(NOT(U52),AND(U$4:U51))),($J52*$G52-LN(1+Jumpoverwrite3*W$2))/$G52,_xll.qlInterpolationInterpolate(U$3,$F52,TRUE))</f>
        <v>#NAME?</v>
      </c>
      <c r="W52" s="439" t="str">
        <f ca="1">IF(AND(NOT(U52),AND(U$4:U51)),MIN(EXP((V52-$J52)*$G52),1),"")</f>
        <v/>
      </c>
      <c r="X52" s="428"/>
      <c r="Y52" s="440" t="b">
        <f ca="1">IF(AND(NOT(U52),AND(U$4:U51)),TRUE,U52)</f>
        <v>0</v>
      </c>
      <c r="Z52" s="439" t="e">
        <f ca="1">IF(AND(NOT(ISBLANK(Jumpoverwrite4)),AND(NOT(Y52),AND(Y$4:Y51))),($J52*$G52-LN(1+Jumpoverwrite4*AA$2))/$G52,_xll.qlInterpolationInterpolate(Y$3,$F52,TRUE))</f>
        <v>#NAME?</v>
      </c>
      <c r="AA52" s="439" t="str">
        <f ca="1">IF(AND(NOT(Y52),AND(Y$4:Y51)),MIN(EXP((Z52-$J52)*$G52),1),"")</f>
        <v/>
      </c>
      <c r="AB52" s="428"/>
      <c r="AC52" s="440" t="b">
        <f ca="1">IF(AND(NOT(Y52),AND(Y$4:Y51)),TRUE,Y52)</f>
        <v>0</v>
      </c>
      <c r="AD52" s="439" t="e">
        <f ca="1">IF(AND(NOT(ISBLANK(Jumpoverwrite5)),AND(NOT(AC52),AND(AC$4:AC51))),($J52*$G52-LN(1+Jumpoverwrite5*AE$2))/$G52,_xll.qlInterpolationInterpolate(AC$3,$F52,TRUE))</f>
        <v>#NAME?</v>
      </c>
      <c r="AE52" s="439" t="str">
        <f ca="1">IF(AND(NOT(AC52),AND(AC$4:AC51)),MIN(EXP((AD52-$J52)*$G52),1),"")</f>
        <v/>
      </c>
      <c r="AF52" s="428"/>
      <c r="AG52" s="440" t="b">
        <f ca="1">IF(AND(NOT(AC52),AND(AC$4:AC51)),TRUE,AC52)</f>
        <v>0</v>
      </c>
      <c r="AH52" s="439" t="e">
        <f ca="1">IF(AND(NOT(ISBLANK(Jumpoverwrite6)),AND(NOT(AG52),AND(AG$4:AG51))),($J52*$G52-LN(1+Jumpoverwrite6*AI$2))/$G52,_xll.qlInterpolationInterpolate(AG$3,$F52,TRUE))</f>
        <v>#NAME?</v>
      </c>
      <c r="AI52" s="439" t="str">
        <f ca="1">IF(AND(NOT(AG52),AND(AG$4:AG51)),MIN(EXP((AH52-$J52)*$G52),1),"")</f>
        <v/>
      </c>
      <c r="AJ52" s="428"/>
      <c r="AK52" s="440" t="b">
        <f ca="1">IF(AND(NOT(AG52),AND(AG$4:AG51)),TRUE,AG52)</f>
        <v>0</v>
      </c>
      <c r="AL52" s="439" t="e">
        <f ca="1">IF(AND(NOT(ISBLANK(Jumpoverwrite7)),AND(NOT(AK52),AND(AK$4:AK51))),($J52*$G52-LN(1+Jumpoverwrite7*AM$2))/$G52,_xll.qlInterpolationInterpolate(AK$3,$F52,TRUE))</f>
        <v>#NAME?</v>
      </c>
      <c r="AM52" s="439" t="str">
        <f ca="1">IF(AND(NOT(AK52),AND(AK$4:AK51)),MIN(EXP((AL52-$J52)*$G52),1),"")</f>
        <v/>
      </c>
      <c r="AO52" s="440" t="b">
        <f ca="1">IF(AND(NOT(AK52),AND(AK$4:AK51)),TRUE,AK52)</f>
        <v>0</v>
      </c>
      <c r="AP52" s="439" t="e">
        <f ca="1">IF(AND(NOT(ISBLANK(Jumpoverwrite8)),AND(NOT(AO52),AND(AO$4:AO51))),($J52*$G52-LN(1+Jumpoverwrite8*AQ$2))/$G52,_xll.qlInterpolationInterpolate(AO$3,$F52,TRUE))</f>
        <v>#NAME?</v>
      </c>
      <c r="AQ52" s="439" t="str">
        <f ca="1">IF(AND(NOT(AO52),AND(AO$4:AO51)),MIN(EXP((AP52-$J52)*$G52),1),"")</f>
        <v/>
      </c>
      <c r="AS52" s="440" t="b">
        <f ca="1">IF(AND(NOT(AO52),AND(AO$4:AO51)),TRUE,AO52)</f>
        <v>0</v>
      </c>
      <c r="AT52" s="439" t="e">
        <f ca="1">IF(AND(NOT(ISBLANK(Jumpoverwrite9)),AND(NOT(AS52),AND(AS$4:AS51))),($J52*$G52-LN(1+Jumpoverwrite9*AU$2))/$G52,_xll.qlInterpolationInterpolate(AS$3,$F52,TRUE))</f>
        <v>#NAME?</v>
      </c>
      <c r="AU52" s="439" t="str">
        <f ca="1">IF(AND(NOT(AS52),AND(AS$4:AS51)),MIN(EXP((AT52-$J52)*$G52),1),"")</f>
        <v/>
      </c>
      <c r="AW52" s="440" t="b">
        <f ca="1">IF(AND(NOT(AS52),AND(AS$4:AS51)),TRUE,AS52)</f>
        <v>0</v>
      </c>
      <c r="AX52" s="439" t="e">
        <f ca="1">IF(AND(NOT(ISBLANK(Jumpoverwrite10)),AND(NOT(AW52),AND(AW$4:AW51))),($J52*$G52-LN(1+Jumpoverwrite10*AY$2))/$G52,_xll.qlInterpolationInterpolate(AW$3,$F52,TRUE))</f>
        <v>#NAME?</v>
      </c>
      <c r="AY52" s="439" t="str">
        <f ca="1">IF(AND(NOT(AW52),AND(AW$4:AW51)),MIN(EXP((AX52-$J52)*$G52),1),"")</f>
        <v/>
      </c>
      <c r="BA52" s="440" t="b">
        <f ca="1">IF(AND(NOT(AW52),AND(AW$4:AW51)),TRUE,AW52)</f>
        <v>0</v>
      </c>
      <c r="BB52" s="439" t="e">
        <f ca="1">IF(AND(NOT(ISBLANK(Jumpoverwrite11)),AND(NOT(BA52),AND(BA$4:BA51))),($J52*$G52-LN(1+Jumpoverwrite11*BC$2))/$G52,_xll.qlInterpolationInterpolate(BA$3,$F52,TRUE))</f>
        <v>#NAME?</v>
      </c>
      <c r="BC52" s="439" t="str">
        <f ca="1">IF(AND(NOT(BA52),AND(BA$4:BA51)),MIN(EXP((BB52-$J52)*$G52),1),"")</f>
        <v/>
      </c>
      <c r="BE52" s="440" t="b">
        <f ca="1">IF(AND(NOT(BA52),AND(BA$4:BA51)),TRUE,BA52)</f>
        <v>0</v>
      </c>
      <c r="BF52" s="439" t="e">
        <f ca="1">IF(AND(NOT(ISBLANK(Jumpoverwrite12)),AND(NOT(BE52),AND(BE$4:BE51))),($J52*$G52-LN(1+Jumpoverwrite12*BG$2))/$G52,_xll.qlInterpolationInterpolate(BE$3,$F52,TRUE))</f>
        <v>#NAME?</v>
      </c>
      <c r="BG52" s="439" t="str">
        <f ca="1">IF(AND(NOT(BE52),AND(BE$4:BE51)),MIN(EXP((BF52-$J52)*$G52),1),"")</f>
        <v/>
      </c>
      <c r="BI52" s="440" t="b">
        <f t="shared" ca="1" si="7"/>
        <v>0</v>
      </c>
      <c r="BJ52" s="439" t="e">
        <f ca="1">IF(AND(NOT(ISBLANK(jumpoverwrite13)),AND(NOT(BI52),AND(BI$4:BI51))),($J52*$G52-LN(1+jumpoverwrite13*BK$2))/$G52,_xll.qlInterpolationInterpolate(BI$3,$F52,TRUE))</f>
        <v>#NAME?</v>
      </c>
      <c r="BK52" s="439" t="str">
        <f ca="1">IF(AND(NOT(BI52),AND(BI$4:BI51)),MIN(EXP((BJ52-$J52)*$G52),1),"")</f>
        <v/>
      </c>
    </row>
    <row r="53" spans="1:63" x14ac:dyDescent="0.2">
      <c r="A53" s="438" t="e">
        <f ca="1"/>
        <v>#NAME?</v>
      </c>
      <c r="B53" s="437" t="e">
        <f ca="1">_xll.qlRateHelperRate($A53,InterestRatesTrigger)</f>
        <v>#NAME?</v>
      </c>
      <c r="C53" s="436" t="e">
        <f ca="1">_xll.qlRateHelperEarliestDate($A53)</f>
        <v>#NAME?</v>
      </c>
      <c r="D53" s="435" t="e">
        <f ca="1">_xll.qlRateHelperPillarDate($A53)</f>
        <v>#NAME?</v>
      </c>
      <c r="F53" s="445" t="e">
        <f t="shared" ca="1" si="5"/>
        <v>#N/A</v>
      </c>
      <c r="G53" s="444" t="e">
        <f ca="1">_xll.qlDayCounterYearFraction(DayCounter,D52,D53)</f>
        <v>#NAME?</v>
      </c>
      <c r="I53" s="443" t="b">
        <f t="shared" ca="1" si="6"/>
        <v>0</v>
      </c>
      <c r="J53" s="442" t="e">
        <f ca="1"/>
        <v>#NAME?</v>
      </c>
      <c r="K53" s="441" t="e">
        <f t="shared" ca="1" si="4"/>
        <v>#NAME?</v>
      </c>
      <c r="L53" s="429"/>
      <c r="M53" s="440" t="b">
        <f ca="1">IF(AND(NOT(I53),AND(I$4:I52)),TRUE,I53)</f>
        <v>0</v>
      </c>
      <c r="N53" s="439" t="e">
        <f ca="1">IF(AND(NOT(ISBLANK(Jumpoverwrite1)),AND(NOT(M53),AND(M$4:M52))),($J53*$G53-LN(1+Jumpoverwrite1*O$2))/$G53,_xll.qlInterpolationInterpolate(M$3,$F53,TRUE))</f>
        <v>#NAME?</v>
      </c>
      <c r="O53" s="439" t="str">
        <f ca="1">IF(AND(NOT(M53),AND(M$4:M52)),MIN(EXP((N53-$J53)*$G53),1),"")</f>
        <v/>
      </c>
      <c r="P53" s="428"/>
      <c r="Q53" s="440" t="b">
        <f ca="1">IF(AND(NOT(M53),AND(M$4:M52)),TRUE,M53)</f>
        <v>0</v>
      </c>
      <c r="R53" s="439" t="e">
        <f ca="1">IF(AND(NOT(ISBLANK(Jumpoverwrite2)),AND(NOT(Q53),AND(Q$4:Q52))),($J53*$G53-LN(1+Jumpoverwrite2*S$2))/$G53,_xll.qlInterpolationInterpolate(Q$3,$F53,TRUE))</f>
        <v>#NAME?</v>
      </c>
      <c r="S53" s="439" t="str">
        <f ca="1">IF(AND(NOT(Q53),AND(Q$4:Q52)),MIN(EXP((R53-$J53)*$G53),1),"")</f>
        <v/>
      </c>
      <c r="T53" s="428"/>
      <c r="U53" s="440" t="b">
        <f ca="1">IF(AND(NOT(Q53),AND(Q$4:Q52)),TRUE,Q53)</f>
        <v>0</v>
      </c>
      <c r="V53" s="439" t="e">
        <f ca="1">IF(AND(NOT(ISBLANK(Jumpoverwrite3)),AND(NOT(U53),AND(U$4:U52))),($J53*$G53-LN(1+Jumpoverwrite3*W$2))/$G53,_xll.qlInterpolationInterpolate(U$3,$F53,TRUE))</f>
        <v>#NAME?</v>
      </c>
      <c r="W53" s="439" t="str">
        <f ca="1">IF(AND(NOT(U53),AND(U$4:U52)),MIN(EXP((V53-$J53)*$G53),1),"")</f>
        <v/>
      </c>
      <c r="X53" s="428"/>
      <c r="Y53" s="440" t="b">
        <f ca="1">IF(AND(NOT(U53),AND(U$4:U52)),TRUE,U53)</f>
        <v>0</v>
      </c>
      <c r="Z53" s="439" t="e">
        <f ca="1">IF(AND(NOT(ISBLANK(Jumpoverwrite4)),AND(NOT(Y53),AND(Y$4:Y52))),($J53*$G53-LN(1+Jumpoverwrite4*AA$2))/$G53,_xll.qlInterpolationInterpolate(Y$3,$F53,TRUE))</f>
        <v>#NAME?</v>
      </c>
      <c r="AA53" s="439" t="str">
        <f ca="1">IF(AND(NOT(Y53),AND(Y$4:Y52)),MIN(EXP((Z53-$J53)*$G53),1),"")</f>
        <v/>
      </c>
      <c r="AB53" s="428"/>
      <c r="AC53" s="440" t="b">
        <f ca="1">IF(AND(NOT(Y53),AND(Y$4:Y52)),TRUE,Y53)</f>
        <v>0</v>
      </c>
      <c r="AD53" s="439" t="e">
        <f ca="1">IF(AND(NOT(ISBLANK(Jumpoverwrite5)),AND(NOT(AC53),AND(AC$4:AC52))),($J53*$G53-LN(1+Jumpoverwrite5*AE$2))/$G53,_xll.qlInterpolationInterpolate(AC$3,$F53,TRUE))</f>
        <v>#NAME?</v>
      </c>
      <c r="AE53" s="439" t="str">
        <f ca="1">IF(AND(NOT(AC53),AND(AC$4:AC52)),MIN(EXP((AD53-$J53)*$G53),1),"")</f>
        <v/>
      </c>
      <c r="AF53" s="428"/>
      <c r="AG53" s="440" t="b">
        <f ca="1">IF(AND(NOT(AC53),AND(AC$4:AC52)),TRUE,AC53)</f>
        <v>0</v>
      </c>
      <c r="AH53" s="439" t="e">
        <f ca="1">IF(AND(NOT(ISBLANK(Jumpoverwrite6)),AND(NOT(AG53),AND(AG$4:AG52))),($J53*$G53-LN(1+Jumpoverwrite6*AI$2))/$G53,_xll.qlInterpolationInterpolate(AG$3,$F53,TRUE))</f>
        <v>#NAME?</v>
      </c>
      <c r="AI53" s="439" t="str">
        <f ca="1">IF(AND(NOT(AG53),AND(AG$4:AG52)),MIN(EXP((AH53-$J53)*$G53),1),"")</f>
        <v/>
      </c>
      <c r="AJ53" s="428"/>
      <c r="AK53" s="440" t="b">
        <f ca="1">IF(AND(NOT(AG53),AND(AG$4:AG52)),TRUE,AG53)</f>
        <v>0</v>
      </c>
      <c r="AL53" s="439" t="e">
        <f ca="1">IF(AND(NOT(ISBLANK(Jumpoverwrite7)),AND(NOT(AK53),AND(AK$4:AK52))),($J53*$G53-LN(1+Jumpoverwrite7*AM$2))/$G53,_xll.qlInterpolationInterpolate(AK$3,$F53,TRUE))</f>
        <v>#NAME?</v>
      </c>
      <c r="AM53" s="439" t="str">
        <f ca="1">IF(AND(NOT(AK53),AND(AK$4:AK52)),MIN(EXP((AL53-$J53)*$G53),1),"")</f>
        <v/>
      </c>
      <c r="AO53" s="440" t="b">
        <f ca="1">IF(AND(NOT(AK53),AND(AK$4:AK52)),TRUE,AK53)</f>
        <v>0</v>
      </c>
      <c r="AP53" s="439" t="e">
        <f ca="1">IF(AND(NOT(ISBLANK(Jumpoverwrite8)),AND(NOT(AO53),AND(AO$4:AO52))),($J53*$G53-LN(1+Jumpoverwrite8*AQ$2))/$G53,_xll.qlInterpolationInterpolate(AO$3,$F53,TRUE))</f>
        <v>#NAME?</v>
      </c>
      <c r="AQ53" s="439" t="str">
        <f ca="1">IF(AND(NOT(AO53),AND(AO$4:AO52)),MIN(EXP((AP53-$J53)*$G53),1),"")</f>
        <v/>
      </c>
      <c r="AS53" s="440" t="b">
        <f ca="1">IF(AND(NOT(AO53),AND(AO$4:AO52)),TRUE,AO53)</f>
        <v>0</v>
      </c>
      <c r="AT53" s="439" t="e">
        <f ca="1">IF(AND(NOT(ISBLANK(Jumpoverwrite9)),AND(NOT(AS53),AND(AS$4:AS52))),($J53*$G53-LN(1+Jumpoverwrite9*AU$2))/$G53,_xll.qlInterpolationInterpolate(AS$3,$F53,TRUE))</f>
        <v>#NAME?</v>
      </c>
      <c r="AU53" s="439" t="str">
        <f ca="1">IF(AND(NOT(AS53),AND(AS$4:AS52)),MIN(EXP((AT53-$J53)*$G53),1),"")</f>
        <v/>
      </c>
      <c r="AW53" s="440" t="b">
        <f ca="1">IF(AND(NOT(AS53),AND(AS$4:AS52)),TRUE,AS53)</f>
        <v>0</v>
      </c>
      <c r="AX53" s="439" t="e">
        <f ca="1">IF(AND(NOT(ISBLANK(Jumpoverwrite10)),AND(NOT(AW53),AND(AW$4:AW52))),($J53*$G53-LN(1+Jumpoverwrite10*AY$2))/$G53,_xll.qlInterpolationInterpolate(AW$3,$F53,TRUE))</f>
        <v>#NAME?</v>
      </c>
      <c r="AY53" s="439" t="str">
        <f ca="1">IF(AND(NOT(AW53),AND(AW$4:AW52)),MIN(EXP((AX53-$J53)*$G53),1),"")</f>
        <v/>
      </c>
      <c r="BA53" s="440" t="b">
        <f ca="1">IF(AND(NOT(AW53),AND(AW$4:AW52)),TRUE,AW53)</f>
        <v>0</v>
      </c>
      <c r="BB53" s="439" t="e">
        <f ca="1">IF(AND(NOT(ISBLANK(Jumpoverwrite11)),AND(NOT(BA53),AND(BA$4:BA52))),($J53*$G53-LN(1+Jumpoverwrite11*BC$2))/$G53,_xll.qlInterpolationInterpolate(BA$3,$F53,TRUE))</f>
        <v>#NAME?</v>
      </c>
      <c r="BC53" s="439" t="str">
        <f ca="1">IF(AND(NOT(BA53),AND(BA$4:BA52)),MIN(EXP((BB53-$J53)*$G53),1),"")</f>
        <v/>
      </c>
      <c r="BE53" s="440" t="b">
        <f ca="1">IF(AND(NOT(BA53),AND(BA$4:BA52)),TRUE,BA53)</f>
        <v>0</v>
      </c>
      <c r="BF53" s="439" t="e">
        <f ca="1">IF(AND(NOT(ISBLANK(Jumpoverwrite12)),AND(NOT(BE53),AND(BE$4:BE52))),($J53*$G53-LN(1+Jumpoverwrite12*BG$2))/$G53,_xll.qlInterpolationInterpolate(BE$3,$F53,TRUE))</f>
        <v>#NAME?</v>
      </c>
      <c r="BG53" s="439" t="str">
        <f ca="1">IF(AND(NOT(BE53),AND(BE$4:BE52)),MIN(EXP((BF53-$J53)*$G53),1),"")</f>
        <v/>
      </c>
      <c r="BI53" s="440" t="b">
        <f t="shared" ca="1" si="7"/>
        <v>0</v>
      </c>
      <c r="BJ53" s="439" t="e">
        <f ca="1">IF(AND(NOT(ISBLANK(jumpoverwrite13)),AND(NOT(BI53),AND(BI$4:BI52))),($J53*$G53-LN(1+jumpoverwrite13*BK$2))/$G53,_xll.qlInterpolationInterpolate(BI$3,$F53,TRUE))</f>
        <v>#NAME?</v>
      </c>
      <c r="BK53" s="439" t="str">
        <f ca="1">IF(AND(NOT(BI53),AND(BI$4:BI52)),MIN(EXP((BJ53-$J53)*$G53),1),"")</f>
        <v/>
      </c>
    </row>
    <row r="54" spans="1:63" x14ac:dyDescent="0.2">
      <c r="A54" s="438" t="e">
        <f ca="1"/>
        <v>#NAME?</v>
      </c>
      <c r="B54" s="437" t="e">
        <f ca="1">_xll.qlRateHelperRate($A54,InterestRatesTrigger)</f>
        <v>#NAME?</v>
      </c>
      <c r="C54" s="436" t="e">
        <f ca="1">_xll.qlRateHelperEarliestDate($A54)</f>
        <v>#NAME?</v>
      </c>
      <c r="D54" s="435" t="e">
        <f ca="1">_xll.qlRateHelperPillarDate($A54)</f>
        <v>#NAME?</v>
      </c>
      <c r="F54" s="445" t="e">
        <f t="shared" ca="1" si="5"/>
        <v>#N/A</v>
      </c>
      <c r="G54" s="444" t="e">
        <f ca="1">_xll.qlDayCounterYearFraction(DayCounter,D53,D54)</f>
        <v>#NAME?</v>
      </c>
      <c r="I54" s="443" t="b">
        <f t="shared" ca="1" si="6"/>
        <v>0</v>
      </c>
      <c r="J54" s="442" t="e">
        <f ca="1"/>
        <v>#NAME?</v>
      </c>
      <c r="K54" s="441" t="e">
        <f t="shared" ca="1" si="4"/>
        <v>#NAME?</v>
      </c>
      <c r="L54" s="429"/>
      <c r="M54" s="440" t="b">
        <f ca="1">IF(AND(NOT(I54),AND(I$4:I53)),TRUE,I54)</f>
        <v>0</v>
      </c>
      <c r="N54" s="439" t="e">
        <f ca="1">IF(AND(NOT(ISBLANK(Jumpoverwrite1)),AND(NOT(M54),AND(M$4:M53))),($J54*$G54-LN(1+Jumpoverwrite1*O$2))/$G54,_xll.qlInterpolationInterpolate(M$3,$F54,TRUE))</f>
        <v>#NAME?</v>
      </c>
      <c r="O54" s="439" t="str">
        <f ca="1">IF(AND(NOT(M54),AND(M$4:M53)),MIN(EXP((N54-$J54)*$G54),1),"")</f>
        <v/>
      </c>
      <c r="P54" s="428"/>
      <c r="Q54" s="440" t="b">
        <f ca="1">IF(AND(NOT(M54),AND(M$4:M53)),TRUE,M54)</f>
        <v>0</v>
      </c>
      <c r="R54" s="439" t="e">
        <f ca="1">IF(AND(NOT(ISBLANK(Jumpoverwrite2)),AND(NOT(Q54),AND(Q$4:Q53))),($J54*$G54-LN(1+Jumpoverwrite2*S$2))/$G54,_xll.qlInterpolationInterpolate(Q$3,$F54,TRUE))</f>
        <v>#NAME?</v>
      </c>
      <c r="S54" s="439" t="str">
        <f ca="1">IF(AND(NOT(Q54),AND(Q$4:Q53)),MIN(EXP((R54-$J54)*$G54),1),"")</f>
        <v/>
      </c>
      <c r="T54" s="428"/>
      <c r="U54" s="440" t="b">
        <f ca="1">IF(AND(NOT(Q54),AND(Q$4:Q53)),TRUE,Q54)</f>
        <v>0</v>
      </c>
      <c r="V54" s="439" t="e">
        <f ca="1">IF(AND(NOT(ISBLANK(Jumpoverwrite3)),AND(NOT(U54),AND(U$4:U53))),($J54*$G54-LN(1+Jumpoverwrite3*W$2))/$G54,_xll.qlInterpolationInterpolate(U$3,$F54,TRUE))</f>
        <v>#NAME?</v>
      </c>
      <c r="W54" s="439" t="str">
        <f ca="1">IF(AND(NOT(U54),AND(U$4:U53)),MIN(EXP((V54-$J54)*$G54),1),"")</f>
        <v/>
      </c>
      <c r="X54" s="428"/>
      <c r="Y54" s="440" t="b">
        <f ca="1">IF(AND(NOT(U54),AND(U$4:U53)),TRUE,U54)</f>
        <v>0</v>
      </c>
      <c r="Z54" s="439" t="e">
        <f ca="1">IF(AND(NOT(ISBLANK(Jumpoverwrite4)),AND(NOT(Y54),AND(Y$4:Y53))),($J54*$G54-LN(1+Jumpoverwrite4*AA$2))/$G54,_xll.qlInterpolationInterpolate(Y$3,$F54,TRUE))</f>
        <v>#NAME?</v>
      </c>
      <c r="AA54" s="439" t="str">
        <f ca="1">IF(AND(NOT(Y54),AND(Y$4:Y53)),MIN(EXP((Z54-$J54)*$G54),1),"")</f>
        <v/>
      </c>
      <c r="AB54" s="428"/>
      <c r="AC54" s="440" t="b">
        <f ca="1">IF(AND(NOT(Y54),AND(Y$4:Y53)),TRUE,Y54)</f>
        <v>0</v>
      </c>
      <c r="AD54" s="439" t="e">
        <f ca="1">IF(AND(NOT(ISBLANK(Jumpoverwrite5)),AND(NOT(AC54),AND(AC$4:AC53))),($J54*$G54-LN(1+Jumpoverwrite5*AE$2))/$G54,_xll.qlInterpolationInterpolate(AC$3,$F54,TRUE))</f>
        <v>#NAME?</v>
      </c>
      <c r="AE54" s="439" t="str">
        <f ca="1">IF(AND(NOT(AC54),AND(AC$4:AC53)),MIN(EXP((AD54-$J54)*$G54),1),"")</f>
        <v/>
      </c>
      <c r="AF54" s="428"/>
      <c r="AG54" s="440" t="b">
        <f ca="1">IF(AND(NOT(AC54),AND(AC$4:AC53)),TRUE,AC54)</f>
        <v>0</v>
      </c>
      <c r="AH54" s="439" t="e">
        <f ca="1">IF(AND(NOT(ISBLANK(Jumpoverwrite6)),AND(NOT(AG54),AND(AG$4:AG53))),($J54*$G54-LN(1+Jumpoverwrite6*AI$2))/$G54,_xll.qlInterpolationInterpolate(AG$3,$F54,TRUE))</f>
        <v>#NAME?</v>
      </c>
      <c r="AI54" s="439" t="str">
        <f ca="1">IF(AND(NOT(AG54),AND(AG$4:AG53)),MIN(EXP((AH54-$J54)*$G54),1),"")</f>
        <v/>
      </c>
      <c r="AJ54" s="428"/>
      <c r="AK54" s="440" t="b">
        <f ca="1">IF(AND(NOT(AG54),AND(AG$4:AG53)),TRUE,AG54)</f>
        <v>0</v>
      </c>
      <c r="AL54" s="439" t="e">
        <f ca="1">IF(AND(NOT(ISBLANK(Jumpoverwrite7)),AND(NOT(AK54),AND(AK$4:AK53))),($J54*$G54-LN(1+Jumpoverwrite7*AM$2))/$G54,_xll.qlInterpolationInterpolate(AK$3,$F54,TRUE))</f>
        <v>#NAME?</v>
      </c>
      <c r="AM54" s="439" t="str">
        <f ca="1">IF(AND(NOT(AK54),AND(AK$4:AK53)),MIN(EXP((AL54-$J54)*$G54),1),"")</f>
        <v/>
      </c>
      <c r="AO54" s="440" t="b">
        <f ca="1">IF(AND(NOT(AK54),AND(AK$4:AK53)),TRUE,AK54)</f>
        <v>0</v>
      </c>
      <c r="AP54" s="439" t="e">
        <f ca="1">IF(AND(NOT(ISBLANK(Jumpoverwrite8)),AND(NOT(AO54),AND(AO$4:AO53))),($J54*$G54-LN(1+Jumpoverwrite8*AQ$2))/$G54,_xll.qlInterpolationInterpolate(AO$3,$F54,TRUE))</f>
        <v>#NAME?</v>
      </c>
      <c r="AQ54" s="439" t="str">
        <f ca="1">IF(AND(NOT(AO54),AND(AO$4:AO53)),MIN(EXP((AP54-$J54)*$G54),1),"")</f>
        <v/>
      </c>
      <c r="AS54" s="440" t="b">
        <f ca="1">IF(AND(NOT(AO54),AND(AO$4:AO53)),TRUE,AO54)</f>
        <v>0</v>
      </c>
      <c r="AT54" s="439" t="e">
        <f ca="1">IF(AND(NOT(ISBLANK(Jumpoverwrite9)),AND(NOT(AS54),AND(AS$4:AS53))),($J54*$G54-LN(1+Jumpoverwrite9*AU$2))/$G54,_xll.qlInterpolationInterpolate(AS$3,$F54,TRUE))</f>
        <v>#NAME?</v>
      </c>
      <c r="AU54" s="439" t="str">
        <f ca="1">IF(AND(NOT(AS54),AND(AS$4:AS53)),MIN(EXP((AT54-$J54)*$G54),1),"")</f>
        <v/>
      </c>
      <c r="AW54" s="440" t="b">
        <f ca="1">IF(AND(NOT(AS54),AND(AS$4:AS53)),TRUE,AS54)</f>
        <v>0</v>
      </c>
      <c r="AX54" s="439" t="e">
        <f ca="1">IF(AND(NOT(ISBLANK(Jumpoverwrite10)),AND(NOT(AW54),AND(AW$4:AW53))),($J54*$G54-LN(1+Jumpoverwrite10*AY$2))/$G54,_xll.qlInterpolationInterpolate(AW$3,$F54,TRUE))</f>
        <v>#NAME?</v>
      </c>
      <c r="AY54" s="439" t="str">
        <f ca="1">IF(AND(NOT(AW54),AND(AW$4:AW53)),MIN(EXP((AX54-$J54)*$G54),1),"")</f>
        <v/>
      </c>
      <c r="BA54" s="440" t="b">
        <f ca="1">IF(AND(NOT(AW54),AND(AW$4:AW53)),TRUE,AW54)</f>
        <v>0</v>
      </c>
      <c r="BB54" s="439" t="e">
        <f ca="1">IF(AND(NOT(ISBLANK(Jumpoverwrite11)),AND(NOT(BA54),AND(BA$4:BA53))),($J54*$G54-LN(1+Jumpoverwrite11*BC$2))/$G54,_xll.qlInterpolationInterpolate(BA$3,$F54,TRUE))</f>
        <v>#NAME?</v>
      </c>
      <c r="BC54" s="439" t="str">
        <f ca="1">IF(AND(NOT(BA54),AND(BA$4:BA53)),MIN(EXP((BB54-$J54)*$G54),1),"")</f>
        <v/>
      </c>
      <c r="BE54" s="440" t="b">
        <f ca="1">IF(AND(NOT(BA54),AND(BA$4:BA53)),TRUE,BA54)</f>
        <v>0</v>
      </c>
      <c r="BF54" s="439" t="e">
        <f ca="1">IF(AND(NOT(ISBLANK(Jumpoverwrite12)),AND(NOT(BE54),AND(BE$4:BE53))),($J54*$G54-LN(1+Jumpoverwrite12*BG$2))/$G54,_xll.qlInterpolationInterpolate(BE$3,$F54,TRUE))</f>
        <v>#NAME?</v>
      </c>
      <c r="BG54" s="439" t="str">
        <f ca="1">IF(AND(NOT(BE54),AND(BE$4:BE53)),MIN(EXP((BF54-$J54)*$G54),1),"")</f>
        <v/>
      </c>
      <c r="BI54" s="440" t="b">
        <f t="shared" ca="1" si="7"/>
        <v>0</v>
      </c>
      <c r="BJ54" s="439" t="e">
        <f ca="1">IF(AND(NOT(ISBLANK(jumpoverwrite13)),AND(NOT(BI54),AND(BI$4:BI53))),($J54*$G54-LN(1+jumpoverwrite13*BK$2))/$G54,_xll.qlInterpolationInterpolate(BI$3,$F54,TRUE))</f>
        <v>#NAME?</v>
      </c>
      <c r="BK54" s="439" t="str">
        <f ca="1">IF(AND(NOT(BI54),AND(BI$4:BI53)),MIN(EXP((BJ54-$J54)*$G54),1),"")</f>
        <v/>
      </c>
    </row>
    <row r="55" spans="1:63" x14ac:dyDescent="0.2">
      <c r="A55" s="438" t="e">
        <f ca="1"/>
        <v>#NAME?</v>
      </c>
      <c r="B55" s="437" t="e">
        <f ca="1">_xll.qlRateHelperRate($A55,InterestRatesTrigger)</f>
        <v>#NAME?</v>
      </c>
      <c r="C55" s="436" t="e">
        <f ca="1">_xll.qlRateHelperEarliestDate($A55)</f>
        <v>#NAME?</v>
      </c>
      <c r="D55" s="435" t="e">
        <f ca="1">_xll.qlRateHelperPillarDate($A55)</f>
        <v>#NAME?</v>
      </c>
      <c r="F55" s="445" t="e">
        <f t="shared" ca="1" si="5"/>
        <v>#N/A</v>
      </c>
      <c r="G55" s="444" t="e">
        <f ca="1">_xll.qlDayCounterYearFraction(DayCounter,D54,D55)</f>
        <v>#NAME?</v>
      </c>
      <c r="I55" s="443" t="b">
        <f t="shared" ca="1" si="6"/>
        <v>0</v>
      </c>
      <c r="J55" s="442" t="e">
        <f ca="1"/>
        <v>#NAME?</v>
      </c>
      <c r="K55" s="441" t="e">
        <f t="shared" ca="1" si="4"/>
        <v>#NAME?</v>
      </c>
      <c r="L55" s="429"/>
      <c r="M55" s="440" t="b">
        <f ca="1">IF(AND(NOT(I55),AND(I$4:I54)),TRUE,I55)</f>
        <v>0</v>
      </c>
      <c r="N55" s="439" t="e">
        <f ca="1">IF(AND(NOT(ISBLANK(Jumpoverwrite1)),AND(NOT(M55),AND(M$4:M54))),($J55*$G55-LN(1+Jumpoverwrite1*O$2))/$G55,_xll.qlInterpolationInterpolate(M$3,$F55,TRUE))</f>
        <v>#NAME?</v>
      </c>
      <c r="O55" s="439" t="str">
        <f ca="1">IF(AND(NOT(M55),AND(M$4:M54)),MIN(EXP((N55-$J55)*$G55),1),"")</f>
        <v/>
      </c>
      <c r="P55" s="428"/>
      <c r="Q55" s="440" t="b">
        <f ca="1">IF(AND(NOT(M55),AND(M$4:M54)),TRUE,M55)</f>
        <v>0</v>
      </c>
      <c r="R55" s="439" t="e">
        <f ca="1">IF(AND(NOT(ISBLANK(Jumpoverwrite2)),AND(NOT(Q55),AND(Q$4:Q54))),($J55*$G55-LN(1+Jumpoverwrite2*S$2))/$G55,_xll.qlInterpolationInterpolate(Q$3,$F55,TRUE))</f>
        <v>#NAME?</v>
      </c>
      <c r="S55" s="439" t="str">
        <f ca="1">IF(AND(NOT(Q55),AND(Q$4:Q54)),MIN(EXP((R55-$J55)*$G55),1),"")</f>
        <v/>
      </c>
      <c r="T55" s="428"/>
      <c r="U55" s="440" t="b">
        <f ca="1">IF(AND(NOT(Q55),AND(Q$4:Q54)),TRUE,Q55)</f>
        <v>0</v>
      </c>
      <c r="V55" s="439" t="e">
        <f ca="1">IF(AND(NOT(ISBLANK(Jumpoverwrite3)),AND(NOT(U55),AND(U$4:U54))),($J55*$G55-LN(1+Jumpoverwrite3*W$2))/$G55,_xll.qlInterpolationInterpolate(U$3,$F55,TRUE))</f>
        <v>#NAME?</v>
      </c>
      <c r="W55" s="439" t="str">
        <f ca="1">IF(AND(NOT(U55),AND(U$4:U54)),MIN(EXP((V55-$J55)*$G55),1),"")</f>
        <v/>
      </c>
      <c r="X55" s="428"/>
      <c r="Y55" s="440" t="b">
        <f ca="1">IF(AND(NOT(U55),AND(U$4:U54)),TRUE,U55)</f>
        <v>0</v>
      </c>
      <c r="Z55" s="439" t="e">
        <f ca="1">IF(AND(NOT(ISBLANK(Jumpoverwrite4)),AND(NOT(Y55),AND(Y$4:Y54))),($J55*$G55-LN(1+Jumpoverwrite4*AA$2))/$G55,_xll.qlInterpolationInterpolate(Y$3,$F55,TRUE))</f>
        <v>#NAME?</v>
      </c>
      <c r="AA55" s="439" t="str">
        <f ca="1">IF(AND(NOT(Y55),AND(Y$4:Y54)),MIN(EXP((Z55-$J55)*$G55),1),"")</f>
        <v/>
      </c>
      <c r="AB55" s="428"/>
      <c r="AC55" s="440" t="b">
        <f ca="1">IF(AND(NOT(Y55),AND(Y$4:Y54)),TRUE,Y55)</f>
        <v>0</v>
      </c>
      <c r="AD55" s="439" t="e">
        <f ca="1">IF(AND(NOT(ISBLANK(Jumpoverwrite5)),AND(NOT(AC55),AND(AC$4:AC54))),($J55*$G55-LN(1+Jumpoverwrite5*AE$2))/$G55,_xll.qlInterpolationInterpolate(AC$3,$F55,TRUE))</f>
        <v>#NAME?</v>
      </c>
      <c r="AE55" s="439" t="str">
        <f ca="1">IF(AND(NOT(AC55),AND(AC$4:AC54)),MIN(EXP((AD55-$J55)*$G55),1),"")</f>
        <v/>
      </c>
      <c r="AF55" s="428"/>
      <c r="AG55" s="440" t="b">
        <f ca="1">IF(AND(NOT(AC55),AND(AC$4:AC54)),TRUE,AC55)</f>
        <v>0</v>
      </c>
      <c r="AH55" s="439" t="e">
        <f ca="1">IF(AND(NOT(ISBLANK(Jumpoverwrite6)),AND(NOT(AG55),AND(AG$4:AG54))),($J55*$G55-LN(1+Jumpoverwrite6*AI$2))/$G55,_xll.qlInterpolationInterpolate(AG$3,$F55,TRUE))</f>
        <v>#NAME?</v>
      </c>
      <c r="AI55" s="439" t="str">
        <f ca="1">IF(AND(NOT(AG55),AND(AG$4:AG54)),MIN(EXP((AH55-$J55)*$G55),1),"")</f>
        <v/>
      </c>
      <c r="AJ55" s="428"/>
      <c r="AK55" s="440" t="b">
        <f ca="1">IF(AND(NOT(AG55),AND(AG$4:AG54)),TRUE,AG55)</f>
        <v>0</v>
      </c>
      <c r="AL55" s="439" t="e">
        <f ca="1">IF(AND(NOT(ISBLANK(Jumpoverwrite7)),AND(NOT(AK55),AND(AK$4:AK54))),($J55*$G55-LN(1+Jumpoverwrite7*AM$2))/$G55,_xll.qlInterpolationInterpolate(AK$3,$F55,TRUE))</f>
        <v>#NAME?</v>
      </c>
      <c r="AM55" s="439" t="str">
        <f ca="1">IF(AND(NOT(AK55),AND(AK$4:AK54)),MIN(EXP((AL55-$J55)*$G55),1),"")</f>
        <v/>
      </c>
      <c r="AO55" s="440" t="b">
        <f ca="1">IF(AND(NOT(AK55),AND(AK$4:AK54)),TRUE,AK55)</f>
        <v>0</v>
      </c>
      <c r="AP55" s="439" t="e">
        <f ca="1">IF(AND(NOT(ISBLANK(Jumpoverwrite8)),AND(NOT(AO55),AND(AO$4:AO54))),($J55*$G55-LN(1+Jumpoverwrite8*AQ$2))/$G55,_xll.qlInterpolationInterpolate(AO$3,$F55,TRUE))</f>
        <v>#NAME?</v>
      </c>
      <c r="AQ55" s="439" t="str">
        <f ca="1">IF(AND(NOT(AO55),AND(AO$4:AO54)),MIN(EXP((AP55-$J55)*$G55),1),"")</f>
        <v/>
      </c>
      <c r="AS55" s="440" t="b">
        <f ca="1">IF(AND(NOT(AO55),AND(AO$4:AO54)),TRUE,AO55)</f>
        <v>0</v>
      </c>
      <c r="AT55" s="439" t="e">
        <f ca="1">IF(AND(NOT(ISBLANK(Jumpoverwrite9)),AND(NOT(AS55),AND(AS$4:AS54))),($J55*$G55-LN(1+Jumpoverwrite9*AU$2))/$G55,_xll.qlInterpolationInterpolate(AS$3,$F55,TRUE))</f>
        <v>#NAME?</v>
      </c>
      <c r="AU55" s="439" t="str">
        <f ca="1">IF(AND(NOT(AS55),AND(AS$4:AS54)),MIN(EXP((AT55-$J55)*$G55),1),"")</f>
        <v/>
      </c>
      <c r="AW55" s="440" t="b">
        <f ca="1">IF(AND(NOT(AS55),AND(AS$4:AS54)),TRUE,AS55)</f>
        <v>0</v>
      </c>
      <c r="AX55" s="439" t="e">
        <f ca="1">IF(AND(NOT(ISBLANK(Jumpoverwrite10)),AND(NOT(AW55),AND(AW$4:AW54))),($J55*$G55-LN(1+Jumpoverwrite10*AY$2))/$G55,_xll.qlInterpolationInterpolate(AW$3,$F55,TRUE))</f>
        <v>#NAME?</v>
      </c>
      <c r="AY55" s="439" t="str">
        <f ca="1">IF(AND(NOT(AW55),AND(AW$4:AW54)),MIN(EXP((AX55-$J55)*$G55),1),"")</f>
        <v/>
      </c>
      <c r="BA55" s="440" t="b">
        <f ca="1">IF(AND(NOT(AW55),AND(AW$4:AW54)),TRUE,AW55)</f>
        <v>0</v>
      </c>
      <c r="BB55" s="439" t="e">
        <f ca="1">IF(AND(NOT(ISBLANK(Jumpoverwrite11)),AND(NOT(BA55),AND(BA$4:BA54))),($J55*$G55-LN(1+Jumpoverwrite11*BC$2))/$G55,_xll.qlInterpolationInterpolate(BA$3,$F55,TRUE))</f>
        <v>#NAME?</v>
      </c>
      <c r="BC55" s="439" t="str">
        <f ca="1">IF(AND(NOT(BA55),AND(BA$4:BA54)),MIN(EXP((BB55-$J55)*$G55),1),"")</f>
        <v/>
      </c>
      <c r="BE55" s="440" t="b">
        <f ca="1">IF(AND(NOT(BA55),AND(BA$4:BA54)),TRUE,BA55)</f>
        <v>0</v>
      </c>
      <c r="BF55" s="439" t="e">
        <f ca="1">IF(AND(NOT(ISBLANK(Jumpoverwrite12)),AND(NOT(BE55),AND(BE$4:BE54))),($J55*$G55-LN(1+Jumpoverwrite12*BG$2))/$G55,_xll.qlInterpolationInterpolate(BE$3,$F55,TRUE))</f>
        <v>#NAME?</v>
      </c>
      <c r="BG55" s="439" t="str">
        <f ca="1">IF(AND(NOT(BE55),AND(BE$4:BE54)),MIN(EXP((BF55-$J55)*$G55),1),"")</f>
        <v/>
      </c>
      <c r="BI55" s="440" t="b">
        <f t="shared" ca="1" si="7"/>
        <v>0</v>
      </c>
      <c r="BJ55" s="439" t="e">
        <f ca="1">IF(AND(NOT(ISBLANK(jumpoverwrite13)),AND(NOT(BI55),AND(BI$4:BI54))),($J55*$G55-LN(1+jumpoverwrite13*BK$2))/$G55,_xll.qlInterpolationInterpolate(BI$3,$F55,TRUE))</f>
        <v>#NAME?</v>
      </c>
      <c r="BK55" s="439" t="str">
        <f ca="1">IF(AND(NOT(BI55),AND(BI$4:BI54)),MIN(EXP((BJ55-$J55)*$G55),1),"")</f>
        <v/>
      </c>
    </row>
    <row r="56" spans="1:63" x14ac:dyDescent="0.2">
      <c r="A56" s="438" t="e">
        <f ca="1"/>
        <v>#NAME?</v>
      </c>
      <c r="B56" s="437" t="e">
        <f ca="1">_xll.qlRateHelperRate($A56,InterestRatesTrigger)</f>
        <v>#NAME?</v>
      </c>
      <c r="C56" s="436" t="e">
        <f ca="1">_xll.qlRateHelperEarliestDate($A56)</f>
        <v>#NAME?</v>
      </c>
      <c r="D56" s="435" t="e">
        <f ca="1">_xll.qlRateHelperPillarDate($A56)</f>
        <v>#NAME?</v>
      </c>
      <c r="F56" s="445" t="e">
        <f t="shared" ca="1" si="5"/>
        <v>#N/A</v>
      </c>
      <c r="G56" s="444" t="e">
        <f ca="1">_xll.qlDayCounterYearFraction(DayCounter,D55,D56)</f>
        <v>#NAME?</v>
      </c>
      <c r="I56" s="443" t="b">
        <f t="shared" ca="1" si="6"/>
        <v>0</v>
      </c>
      <c r="J56" s="442" t="e">
        <f ca="1"/>
        <v>#NAME?</v>
      </c>
      <c r="K56" s="441" t="e">
        <f t="shared" ca="1" si="4"/>
        <v>#NAME?</v>
      </c>
      <c r="L56" s="429"/>
      <c r="M56" s="440" t="b">
        <f ca="1">IF(AND(NOT(I56),AND(I$4:I55)),TRUE,I56)</f>
        <v>0</v>
      </c>
      <c r="N56" s="439" t="e">
        <f ca="1">IF(AND(NOT(ISBLANK(Jumpoverwrite1)),AND(NOT(M56),AND(M$4:M55))),($J56*$G56-LN(1+Jumpoverwrite1*O$2))/$G56,_xll.qlInterpolationInterpolate(M$3,$F56,TRUE))</f>
        <v>#NAME?</v>
      </c>
      <c r="O56" s="439" t="str">
        <f ca="1">IF(AND(NOT(M56),AND(M$4:M55)),MIN(EXP((N56-$J56)*$G56),1),"")</f>
        <v/>
      </c>
      <c r="P56" s="428"/>
      <c r="Q56" s="440" t="b">
        <f ca="1">IF(AND(NOT(M56),AND(M$4:M55)),TRUE,M56)</f>
        <v>0</v>
      </c>
      <c r="R56" s="439" t="e">
        <f ca="1">IF(AND(NOT(ISBLANK(Jumpoverwrite2)),AND(NOT(Q56),AND(Q$4:Q55))),($J56*$G56-LN(1+Jumpoverwrite2*S$2))/$G56,_xll.qlInterpolationInterpolate(Q$3,$F56,TRUE))</f>
        <v>#NAME?</v>
      </c>
      <c r="S56" s="439" t="str">
        <f ca="1">IF(AND(NOT(Q56),AND(Q$4:Q55)),MIN(EXP((R56-$J56)*$G56),1),"")</f>
        <v/>
      </c>
      <c r="T56" s="428"/>
      <c r="U56" s="440" t="b">
        <f ca="1">IF(AND(NOT(Q56),AND(Q$4:Q55)),TRUE,Q56)</f>
        <v>0</v>
      </c>
      <c r="V56" s="439" t="e">
        <f ca="1">IF(AND(NOT(ISBLANK(Jumpoverwrite3)),AND(NOT(U56),AND(U$4:U55))),($J56*$G56-LN(1+Jumpoverwrite3*W$2))/$G56,_xll.qlInterpolationInterpolate(U$3,$F56,TRUE))</f>
        <v>#NAME?</v>
      </c>
      <c r="W56" s="439" t="str">
        <f ca="1">IF(AND(NOT(U56),AND(U$4:U55)),MIN(EXP((V56-$J56)*$G56),1),"")</f>
        <v/>
      </c>
      <c r="X56" s="428"/>
      <c r="Y56" s="440" t="b">
        <f ca="1">IF(AND(NOT(U56),AND(U$4:U55)),TRUE,U56)</f>
        <v>0</v>
      </c>
      <c r="Z56" s="439" t="e">
        <f ca="1">IF(AND(NOT(ISBLANK(Jumpoverwrite4)),AND(NOT(Y56),AND(Y$4:Y55))),($J56*$G56-LN(1+Jumpoverwrite4*AA$2))/$G56,_xll.qlInterpolationInterpolate(Y$3,$F56,TRUE))</f>
        <v>#NAME?</v>
      </c>
      <c r="AA56" s="439" t="str">
        <f ca="1">IF(AND(NOT(Y56),AND(Y$4:Y55)),MIN(EXP((Z56-$J56)*$G56),1),"")</f>
        <v/>
      </c>
      <c r="AB56" s="428"/>
      <c r="AC56" s="440" t="b">
        <f ca="1">IF(AND(NOT(Y56),AND(Y$4:Y55)),TRUE,Y56)</f>
        <v>0</v>
      </c>
      <c r="AD56" s="439" t="e">
        <f ca="1">IF(AND(NOT(ISBLANK(Jumpoverwrite5)),AND(NOT(AC56),AND(AC$4:AC55))),($J56*$G56-LN(1+Jumpoverwrite5*AE$2))/$G56,_xll.qlInterpolationInterpolate(AC$3,$F56,TRUE))</f>
        <v>#NAME?</v>
      </c>
      <c r="AE56" s="439" t="str">
        <f ca="1">IF(AND(NOT(AC56),AND(AC$4:AC55)),MIN(EXP((AD56-$J56)*$G56),1),"")</f>
        <v/>
      </c>
      <c r="AF56" s="428"/>
      <c r="AG56" s="440" t="b">
        <f ca="1">IF(AND(NOT(AC56),AND(AC$4:AC55)),TRUE,AC56)</f>
        <v>0</v>
      </c>
      <c r="AH56" s="439" t="e">
        <f ca="1">IF(AND(NOT(ISBLANK(Jumpoverwrite6)),AND(NOT(AG56),AND(AG$4:AG55))),($J56*$G56-LN(1+Jumpoverwrite6*AI$2))/$G56,_xll.qlInterpolationInterpolate(AG$3,$F56,TRUE))</f>
        <v>#NAME?</v>
      </c>
      <c r="AI56" s="439" t="str">
        <f ca="1">IF(AND(NOT(AG56),AND(AG$4:AG55)),MIN(EXP((AH56-$J56)*$G56),1),"")</f>
        <v/>
      </c>
      <c r="AJ56" s="428"/>
      <c r="AK56" s="440" t="b">
        <f ca="1">IF(AND(NOT(AG56),AND(AG$4:AG55)),TRUE,AG56)</f>
        <v>0</v>
      </c>
      <c r="AL56" s="439" t="e">
        <f ca="1">IF(AND(NOT(ISBLANK(Jumpoverwrite7)),AND(NOT(AK56),AND(AK$4:AK55))),($J56*$G56-LN(1+Jumpoverwrite7*AM$2))/$G56,_xll.qlInterpolationInterpolate(AK$3,$F56,TRUE))</f>
        <v>#NAME?</v>
      </c>
      <c r="AM56" s="439" t="str">
        <f ca="1">IF(AND(NOT(AK56),AND(AK$4:AK55)),MIN(EXP((AL56-$J56)*$G56),1),"")</f>
        <v/>
      </c>
      <c r="AO56" s="440" t="b">
        <f ca="1">IF(AND(NOT(AK56),AND(AK$4:AK55)),TRUE,AK56)</f>
        <v>0</v>
      </c>
      <c r="AP56" s="439" t="e">
        <f ca="1">IF(AND(NOT(ISBLANK(Jumpoverwrite8)),AND(NOT(AO56),AND(AO$4:AO55))),($J56*$G56-LN(1+Jumpoverwrite8*AQ$2))/$G56,_xll.qlInterpolationInterpolate(AO$3,$F56,TRUE))</f>
        <v>#NAME?</v>
      </c>
      <c r="AQ56" s="439" t="str">
        <f ca="1">IF(AND(NOT(AO56),AND(AO$4:AO55)),MIN(EXP((AP56-$J56)*$G56),1),"")</f>
        <v/>
      </c>
      <c r="AS56" s="440" t="b">
        <f ca="1">IF(AND(NOT(AO56),AND(AO$4:AO55)),TRUE,AO56)</f>
        <v>0</v>
      </c>
      <c r="AT56" s="439" t="e">
        <f ca="1">IF(AND(NOT(ISBLANK(Jumpoverwrite9)),AND(NOT(AS56),AND(AS$4:AS55))),($J56*$G56-LN(1+Jumpoverwrite9*AU$2))/$G56,_xll.qlInterpolationInterpolate(AS$3,$F56,TRUE))</f>
        <v>#NAME?</v>
      </c>
      <c r="AU56" s="439" t="str">
        <f ca="1">IF(AND(NOT(AS56),AND(AS$4:AS55)),MIN(EXP((AT56-$J56)*$G56),1),"")</f>
        <v/>
      </c>
      <c r="AW56" s="440" t="b">
        <f ca="1">IF(AND(NOT(AS56),AND(AS$4:AS55)),TRUE,AS56)</f>
        <v>0</v>
      </c>
      <c r="AX56" s="439" t="e">
        <f ca="1">IF(AND(NOT(ISBLANK(Jumpoverwrite10)),AND(NOT(AW56),AND(AW$4:AW55))),($J56*$G56-LN(1+Jumpoverwrite10*AY$2))/$G56,_xll.qlInterpolationInterpolate(AW$3,$F56,TRUE))</f>
        <v>#NAME?</v>
      </c>
      <c r="AY56" s="439" t="str">
        <f ca="1">IF(AND(NOT(AW56),AND(AW$4:AW55)),MIN(EXP((AX56-$J56)*$G56),1),"")</f>
        <v/>
      </c>
      <c r="BA56" s="440" t="b">
        <f ca="1">IF(AND(NOT(AW56),AND(AW$4:AW55)),TRUE,AW56)</f>
        <v>0</v>
      </c>
      <c r="BB56" s="439" t="e">
        <f ca="1">IF(AND(NOT(ISBLANK(Jumpoverwrite11)),AND(NOT(BA56),AND(BA$4:BA55))),($J56*$G56-LN(1+Jumpoverwrite11*BC$2))/$G56,_xll.qlInterpolationInterpolate(BA$3,$F56,TRUE))</f>
        <v>#NAME?</v>
      </c>
      <c r="BC56" s="439" t="str">
        <f ca="1">IF(AND(NOT(BA56),AND(BA$4:BA55)),MIN(EXP((BB56-$J56)*$G56),1),"")</f>
        <v/>
      </c>
      <c r="BE56" s="440" t="b">
        <f ca="1">IF(AND(NOT(BA56),AND(BA$4:BA55)),TRUE,BA56)</f>
        <v>0</v>
      </c>
      <c r="BF56" s="439" t="e">
        <f ca="1">IF(AND(NOT(ISBLANK(Jumpoverwrite12)),AND(NOT(BE56),AND(BE$4:BE55))),($J56*$G56-LN(1+Jumpoverwrite12*BG$2))/$G56,_xll.qlInterpolationInterpolate(BE$3,$F56,TRUE))</f>
        <v>#NAME?</v>
      </c>
      <c r="BG56" s="439" t="str">
        <f ca="1">IF(AND(NOT(BE56),AND(BE$4:BE55)),MIN(EXP((BF56-$J56)*$G56),1),"")</f>
        <v/>
      </c>
      <c r="BI56" s="440" t="b">
        <f t="shared" ca="1" si="7"/>
        <v>0</v>
      </c>
      <c r="BJ56" s="439" t="e">
        <f ca="1">IF(AND(NOT(ISBLANK(jumpoverwrite13)),AND(NOT(BI56),AND(BI$4:BI55))),($J56*$G56-LN(1+jumpoverwrite13*BK$2))/$G56,_xll.qlInterpolationInterpolate(BI$3,$F56,TRUE))</f>
        <v>#NAME?</v>
      </c>
      <c r="BK56" s="439" t="str">
        <f ca="1">IF(AND(NOT(BI56),AND(BI$4:BI55)),MIN(EXP((BJ56-$J56)*$G56),1),"")</f>
        <v/>
      </c>
    </row>
    <row r="57" spans="1:63" x14ac:dyDescent="0.2">
      <c r="A57" s="438" t="e">
        <f ca="1"/>
        <v>#NAME?</v>
      </c>
      <c r="B57" s="437" t="e">
        <f ca="1">_xll.qlRateHelperRate($A57,InterestRatesTrigger)</f>
        <v>#NAME?</v>
      </c>
      <c r="C57" s="436" t="e">
        <f ca="1">_xll.qlRateHelperEarliestDate($A57)</f>
        <v>#NAME?</v>
      </c>
      <c r="D57" s="435" t="e">
        <f ca="1">_xll.qlRateHelperPillarDate($A57)</f>
        <v>#NAME?</v>
      </c>
      <c r="F57" s="445" t="e">
        <f t="shared" ca="1" si="5"/>
        <v>#N/A</v>
      </c>
      <c r="G57" s="444" t="e">
        <f ca="1">_xll.qlDayCounterYearFraction(DayCounter,D56,D57)</f>
        <v>#NAME?</v>
      </c>
      <c r="I57" s="443" t="b">
        <f t="shared" ca="1" si="6"/>
        <v>0</v>
      </c>
      <c r="J57" s="442" t="e">
        <f ca="1"/>
        <v>#NAME?</v>
      </c>
      <c r="K57" s="441" t="e">
        <f t="shared" ca="1" si="4"/>
        <v>#NAME?</v>
      </c>
      <c r="L57" s="429"/>
      <c r="M57" s="440" t="b">
        <f ca="1">IF(AND(NOT(I57),AND(I$4:I56)),TRUE,I57)</f>
        <v>0</v>
      </c>
      <c r="N57" s="439" t="e">
        <f ca="1">IF(AND(NOT(ISBLANK(Jumpoverwrite1)),AND(NOT(M57),AND(M$4:M56))),($J57*$G57-LN(1+Jumpoverwrite1*O$2))/$G57,_xll.qlInterpolationInterpolate(M$3,$F57,TRUE))</f>
        <v>#NAME?</v>
      </c>
      <c r="O57" s="439" t="str">
        <f ca="1">IF(AND(NOT(M57),AND(M$4:M56)),MIN(EXP((N57-$J57)*$G57),1),"")</f>
        <v/>
      </c>
      <c r="P57" s="428"/>
      <c r="Q57" s="440" t="b">
        <f ca="1">IF(AND(NOT(M57),AND(M$4:M56)),TRUE,M57)</f>
        <v>0</v>
      </c>
      <c r="R57" s="439" t="e">
        <f ca="1">IF(AND(NOT(ISBLANK(Jumpoverwrite2)),AND(NOT(Q57),AND(Q$4:Q56))),($J57*$G57-LN(1+Jumpoverwrite2*S$2))/$G57,_xll.qlInterpolationInterpolate(Q$3,$F57,TRUE))</f>
        <v>#NAME?</v>
      </c>
      <c r="S57" s="439" t="str">
        <f ca="1">IF(AND(NOT(Q57),AND(Q$4:Q56)),MIN(EXP((R57-$J57)*$G57),1),"")</f>
        <v/>
      </c>
      <c r="T57" s="428"/>
      <c r="U57" s="440" t="b">
        <f ca="1">IF(AND(NOT(Q57),AND(Q$4:Q56)),TRUE,Q57)</f>
        <v>0</v>
      </c>
      <c r="V57" s="439" t="e">
        <f ca="1">IF(AND(NOT(ISBLANK(Jumpoverwrite3)),AND(NOT(U57),AND(U$4:U56))),($J57*$G57-LN(1+Jumpoverwrite3*W$2))/$G57,_xll.qlInterpolationInterpolate(U$3,$F57,TRUE))</f>
        <v>#NAME?</v>
      </c>
      <c r="W57" s="439" t="str">
        <f ca="1">IF(AND(NOT(U57),AND(U$4:U56)),MIN(EXP((V57-$J57)*$G57),1),"")</f>
        <v/>
      </c>
      <c r="X57" s="428"/>
      <c r="Y57" s="440" t="b">
        <f ca="1">IF(AND(NOT(U57),AND(U$4:U56)),TRUE,U57)</f>
        <v>0</v>
      </c>
      <c r="Z57" s="439" t="e">
        <f ca="1">IF(AND(NOT(ISBLANK(Jumpoverwrite4)),AND(NOT(Y57),AND(Y$4:Y56))),($J57*$G57-LN(1+Jumpoverwrite4*AA$2))/$G57,_xll.qlInterpolationInterpolate(Y$3,$F57,TRUE))</f>
        <v>#NAME?</v>
      </c>
      <c r="AA57" s="439" t="str">
        <f ca="1">IF(AND(NOT(Y57),AND(Y$4:Y56)),MIN(EXP((Z57-$J57)*$G57),1),"")</f>
        <v/>
      </c>
      <c r="AB57" s="428"/>
      <c r="AC57" s="440" t="b">
        <f ca="1">IF(AND(NOT(Y57),AND(Y$4:Y56)),TRUE,Y57)</f>
        <v>0</v>
      </c>
      <c r="AD57" s="439" t="e">
        <f ca="1">IF(AND(NOT(ISBLANK(Jumpoverwrite5)),AND(NOT(AC57),AND(AC$4:AC56))),($J57*$G57-LN(1+Jumpoverwrite5*AE$2))/$G57,_xll.qlInterpolationInterpolate(AC$3,$F57,TRUE))</f>
        <v>#NAME?</v>
      </c>
      <c r="AE57" s="439" t="str">
        <f ca="1">IF(AND(NOT(AC57),AND(AC$4:AC56)),MIN(EXP((AD57-$J57)*$G57),1),"")</f>
        <v/>
      </c>
      <c r="AF57" s="428"/>
      <c r="AG57" s="440" t="b">
        <f ca="1">IF(AND(NOT(AC57),AND(AC$4:AC56)),TRUE,AC57)</f>
        <v>0</v>
      </c>
      <c r="AH57" s="439" t="e">
        <f ca="1">IF(AND(NOT(ISBLANK(Jumpoverwrite6)),AND(NOT(AG57),AND(AG$4:AG56))),($J57*$G57-LN(1+Jumpoverwrite6*AI$2))/$G57,_xll.qlInterpolationInterpolate(AG$3,$F57,TRUE))</f>
        <v>#NAME?</v>
      </c>
      <c r="AI57" s="439" t="str">
        <f ca="1">IF(AND(NOT(AG57),AND(AG$4:AG56)),MIN(EXP((AH57-$J57)*$G57),1),"")</f>
        <v/>
      </c>
      <c r="AJ57" s="428"/>
      <c r="AK57" s="440" t="b">
        <f ca="1">IF(AND(NOT(AG57),AND(AG$4:AG56)),TRUE,AG57)</f>
        <v>0</v>
      </c>
      <c r="AL57" s="439" t="e">
        <f ca="1">IF(AND(NOT(ISBLANK(Jumpoverwrite7)),AND(NOT(AK57),AND(AK$4:AK56))),($J57*$G57-LN(1+Jumpoverwrite7*AM$2))/$G57,_xll.qlInterpolationInterpolate(AK$3,$F57,TRUE))</f>
        <v>#NAME?</v>
      </c>
      <c r="AM57" s="439" t="str">
        <f ca="1">IF(AND(NOT(AK57),AND(AK$4:AK56)),MIN(EXP((AL57-$J57)*$G57),1),"")</f>
        <v/>
      </c>
      <c r="AO57" s="440" t="b">
        <f ca="1">IF(AND(NOT(AK57),AND(AK$4:AK56)),TRUE,AK57)</f>
        <v>0</v>
      </c>
      <c r="AP57" s="439" t="e">
        <f ca="1">IF(AND(NOT(ISBLANK(Jumpoverwrite8)),AND(NOT(AO57),AND(AO$4:AO56))),($J57*$G57-LN(1+Jumpoverwrite8*AQ$2))/$G57,_xll.qlInterpolationInterpolate(AO$3,$F57,TRUE))</f>
        <v>#NAME?</v>
      </c>
      <c r="AQ57" s="439" t="str">
        <f ca="1">IF(AND(NOT(AO57),AND(AO$4:AO56)),MIN(EXP((AP57-$J57)*$G57),1),"")</f>
        <v/>
      </c>
      <c r="AS57" s="440" t="b">
        <f ca="1">IF(AND(NOT(AO57),AND(AO$4:AO56)),TRUE,AO57)</f>
        <v>0</v>
      </c>
      <c r="AT57" s="439" t="e">
        <f ca="1">IF(AND(NOT(ISBLANK(Jumpoverwrite9)),AND(NOT(AS57),AND(AS$4:AS56))),($J57*$G57-LN(1+Jumpoverwrite9*AU$2))/$G57,_xll.qlInterpolationInterpolate(AS$3,$F57,TRUE))</f>
        <v>#NAME?</v>
      </c>
      <c r="AU57" s="439" t="str">
        <f ca="1">IF(AND(NOT(AS57),AND(AS$4:AS56)),MIN(EXP((AT57-$J57)*$G57),1),"")</f>
        <v/>
      </c>
      <c r="AW57" s="440" t="b">
        <f ca="1">IF(AND(NOT(AS57),AND(AS$4:AS56)),TRUE,AS57)</f>
        <v>0</v>
      </c>
      <c r="AX57" s="439" t="e">
        <f ca="1">IF(AND(NOT(ISBLANK(Jumpoverwrite10)),AND(NOT(AW57),AND(AW$4:AW56))),($J57*$G57-LN(1+Jumpoverwrite10*AY$2))/$G57,_xll.qlInterpolationInterpolate(AW$3,$F57,TRUE))</f>
        <v>#NAME?</v>
      </c>
      <c r="AY57" s="439" t="str">
        <f ca="1">IF(AND(NOT(AW57),AND(AW$4:AW56)),MIN(EXP((AX57-$J57)*$G57),1),"")</f>
        <v/>
      </c>
      <c r="BA57" s="440" t="b">
        <f ca="1">IF(AND(NOT(AW57),AND(AW$4:AW56)),TRUE,AW57)</f>
        <v>0</v>
      </c>
      <c r="BB57" s="439" t="e">
        <f ca="1">IF(AND(NOT(ISBLANK(Jumpoverwrite11)),AND(NOT(BA57),AND(BA$4:BA56))),($J57*$G57-LN(1+Jumpoverwrite11*BC$2))/$G57,_xll.qlInterpolationInterpolate(BA$3,$F57,TRUE))</f>
        <v>#NAME?</v>
      </c>
      <c r="BC57" s="439" t="str">
        <f ca="1">IF(AND(NOT(BA57),AND(BA$4:BA56)),MIN(EXP((BB57-$J57)*$G57),1),"")</f>
        <v/>
      </c>
      <c r="BE57" s="440" t="b">
        <f ca="1">IF(AND(NOT(BA57),AND(BA$4:BA56)),TRUE,BA57)</f>
        <v>0</v>
      </c>
      <c r="BF57" s="439" t="e">
        <f ca="1">IF(AND(NOT(ISBLANK(Jumpoverwrite12)),AND(NOT(BE57),AND(BE$4:BE56))),($J57*$G57-LN(1+Jumpoverwrite12*BG$2))/$G57,_xll.qlInterpolationInterpolate(BE$3,$F57,TRUE))</f>
        <v>#NAME?</v>
      </c>
      <c r="BG57" s="439" t="str">
        <f ca="1">IF(AND(NOT(BE57),AND(BE$4:BE56)),MIN(EXP((BF57-$J57)*$G57),1),"")</f>
        <v/>
      </c>
      <c r="BI57" s="440" t="b">
        <f t="shared" ca="1" si="7"/>
        <v>0</v>
      </c>
      <c r="BJ57" s="439" t="e">
        <f ca="1">IF(AND(NOT(ISBLANK(jumpoverwrite13)),AND(NOT(BI57),AND(BI$4:BI56))),($J57*$G57-LN(1+jumpoverwrite13*BK$2))/$G57,_xll.qlInterpolationInterpolate(BI$3,$F57,TRUE))</f>
        <v>#NAME?</v>
      </c>
      <c r="BK57" s="439" t="str">
        <f ca="1">IF(AND(NOT(BI57),AND(BI$4:BI56)),MIN(EXP((BJ57-$J57)*$G57),1),"")</f>
        <v/>
      </c>
    </row>
    <row r="58" spans="1:63" x14ac:dyDescent="0.2">
      <c r="A58" s="438" t="e">
        <f ca="1"/>
        <v>#NAME?</v>
      </c>
      <c r="B58" s="437" t="e">
        <f ca="1">_xll.qlRateHelperRate($A58,InterestRatesTrigger)</f>
        <v>#NAME?</v>
      </c>
      <c r="C58" s="436" t="e">
        <f ca="1">_xll.qlRateHelperEarliestDate($A58)</f>
        <v>#NAME?</v>
      </c>
      <c r="D58" s="435" t="e">
        <f ca="1">_xll.qlRateHelperPillarDate($A58)</f>
        <v>#NAME?</v>
      </c>
      <c r="F58" s="445" t="e">
        <f t="shared" ca="1" si="5"/>
        <v>#N/A</v>
      </c>
      <c r="G58" s="444" t="e">
        <f ca="1">_xll.qlDayCounterYearFraction(DayCounter,D57,D58)</f>
        <v>#NAME?</v>
      </c>
      <c r="I58" s="443" t="b">
        <f t="shared" ca="1" si="6"/>
        <v>0</v>
      </c>
      <c r="J58" s="442" t="e">
        <f ca="1"/>
        <v>#NAME?</v>
      </c>
      <c r="K58" s="441" t="e">
        <f t="shared" ca="1" si="4"/>
        <v>#NAME?</v>
      </c>
      <c r="L58" s="429"/>
      <c r="M58" s="440" t="b">
        <f ca="1">IF(AND(NOT(I58),AND(I$4:I57)),TRUE,I58)</f>
        <v>0</v>
      </c>
      <c r="N58" s="439" t="e">
        <f ca="1">IF(AND(NOT(ISBLANK(Jumpoverwrite1)),AND(NOT(M58),AND(M$4:M57))),($J58*$G58-LN(1+Jumpoverwrite1*O$2))/$G58,_xll.qlInterpolationInterpolate(M$3,$F58,TRUE))</f>
        <v>#NAME?</v>
      </c>
      <c r="O58" s="439" t="str">
        <f ca="1">IF(AND(NOT(M58),AND(M$4:M57)),MIN(EXP((N58-$J58)*$G58),1),"")</f>
        <v/>
      </c>
      <c r="P58" s="428"/>
      <c r="Q58" s="440" t="b">
        <f ca="1">IF(AND(NOT(M58),AND(M$4:M57)),TRUE,M58)</f>
        <v>0</v>
      </c>
      <c r="R58" s="439" t="e">
        <f ca="1">IF(AND(NOT(ISBLANK(Jumpoverwrite2)),AND(NOT(Q58),AND(Q$4:Q57))),($J58*$G58-LN(1+Jumpoverwrite2*S$2))/$G58,_xll.qlInterpolationInterpolate(Q$3,$F58,TRUE))</f>
        <v>#NAME?</v>
      </c>
      <c r="S58" s="439" t="str">
        <f ca="1">IF(AND(NOT(Q58),AND(Q$4:Q57)),MIN(EXP((R58-$J58)*$G58),1),"")</f>
        <v/>
      </c>
      <c r="T58" s="428"/>
      <c r="U58" s="440" t="b">
        <f ca="1">IF(AND(NOT(Q58),AND(Q$4:Q57)),TRUE,Q58)</f>
        <v>0</v>
      </c>
      <c r="V58" s="439" t="e">
        <f ca="1">IF(AND(NOT(ISBLANK(Jumpoverwrite3)),AND(NOT(U58),AND(U$4:U57))),($J58*$G58-LN(1+Jumpoverwrite3*W$2))/$G58,_xll.qlInterpolationInterpolate(U$3,$F58,TRUE))</f>
        <v>#NAME?</v>
      </c>
      <c r="W58" s="439" t="str">
        <f ca="1">IF(AND(NOT(U58),AND(U$4:U57)),MIN(EXP((V58-$J58)*$G58),1),"")</f>
        <v/>
      </c>
      <c r="X58" s="428"/>
      <c r="Y58" s="440" t="b">
        <f ca="1">IF(AND(NOT(U58),AND(U$4:U57)),TRUE,U58)</f>
        <v>0</v>
      </c>
      <c r="Z58" s="439" t="e">
        <f ca="1">IF(AND(NOT(ISBLANK(Jumpoverwrite4)),AND(NOT(Y58),AND(Y$4:Y57))),($J58*$G58-LN(1+Jumpoverwrite4*AA$2))/$G58,_xll.qlInterpolationInterpolate(Y$3,$F58,TRUE))</f>
        <v>#NAME?</v>
      </c>
      <c r="AA58" s="439" t="str">
        <f ca="1">IF(AND(NOT(Y58),AND(Y$4:Y57)),MIN(EXP((Z58-$J58)*$G58),1),"")</f>
        <v/>
      </c>
      <c r="AB58" s="428"/>
      <c r="AC58" s="440" t="b">
        <f ca="1">IF(AND(NOT(Y58),AND(Y$4:Y57)),TRUE,Y58)</f>
        <v>0</v>
      </c>
      <c r="AD58" s="439" t="e">
        <f ca="1">IF(AND(NOT(ISBLANK(Jumpoverwrite5)),AND(NOT(AC58),AND(AC$4:AC57))),($J58*$G58-LN(1+Jumpoverwrite5*AE$2))/$G58,_xll.qlInterpolationInterpolate(AC$3,$F58,TRUE))</f>
        <v>#NAME?</v>
      </c>
      <c r="AE58" s="439" t="str">
        <f ca="1">IF(AND(NOT(AC58),AND(AC$4:AC57)),MIN(EXP((AD58-$J58)*$G58),1),"")</f>
        <v/>
      </c>
      <c r="AF58" s="428"/>
      <c r="AG58" s="440" t="b">
        <f ca="1">IF(AND(NOT(AC58),AND(AC$4:AC57)),TRUE,AC58)</f>
        <v>0</v>
      </c>
      <c r="AH58" s="439" t="e">
        <f ca="1">IF(AND(NOT(ISBLANK(Jumpoverwrite6)),AND(NOT(AG58),AND(AG$4:AG57))),($J58*$G58-LN(1+Jumpoverwrite6*AI$2))/$G58,_xll.qlInterpolationInterpolate(AG$3,$F58,TRUE))</f>
        <v>#NAME?</v>
      </c>
      <c r="AI58" s="439" t="str">
        <f ca="1">IF(AND(NOT(AG58),AND(AG$4:AG57)),MIN(EXP((AH58-$J58)*$G58),1),"")</f>
        <v/>
      </c>
      <c r="AJ58" s="428"/>
      <c r="AK58" s="440" t="b">
        <f ca="1">IF(AND(NOT(AG58),AND(AG$4:AG57)),TRUE,AG58)</f>
        <v>0</v>
      </c>
      <c r="AL58" s="439" t="e">
        <f ca="1">IF(AND(NOT(ISBLANK(Jumpoverwrite7)),AND(NOT(AK58),AND(AK$4:AK57))),($J58*$G58-LN(1+Jumpoverwrite7*AM$2))/$G58,_xll.qlInterpolationInterpolate(AK$3,$F58,TRUE))</f>
        <v>#NAME?</v>
      </c>
      <c r="AM58" s="439" t="str">
        <f ca="1">IF(AND(NOT(AK58),AND(AK$4:AK57)),MIN(EXP((AL58-$J58)*$G58),1),"")</f>
        <v/>
      </c>
      <c r="AO58" s="440" t="b">
        <f ca="1">IF(AND(NOT(AK58),AND(AK$4:AK57)),TRUE,AK58)</f>
        <v>0</v>
      </c>
      <c r="AP58" s="439" t="e">
        <f ca="1">IF(AND(NOT(ISBLANK(Jumpoverwrite8)),AND(NOT(AO58),AND(AO$4:AO57))),($J58*$G58-LN(1+Jumpoverwrite8*AQ$2))/$G58,_xll.qlInterpolationInterpolate(AO$3,$F58,TRUE))</f>
        <v>#NAME?</v>
      </c>
      <c r="AQ58" s="439" t="str">
        <f ca="1">IF(AND(NOT(AO58),AND(AO$4:AO57)),MIN(EXP((AP58-$J58)*$G58),1),"")</f>
        <v/>
      </c>
      <c r="AS58" s="440" t="b">
        <f ca="1">IF(AND(NOT(AO58),AND(AO$4:AO57)),TRUE,AO58)</f>
        <v>0</v>
      </c>
      <c r="AT58" s="439" t="e">
        <f ca="1">IF(AND(NOT(ISBLANK(Jumpoverwrite9)),AND(NOT(AS58),AND(AS$4:AS57))),($J58*$G58-LN(1+Jumpoverwrite9*AU$2))/$G58,_xll.qlInterpolationInterpolate(AS$3,$F58,TRUE))</f>
        <v>#NAME?</v>
      </c>
      <c r="AU58" s="439" t="str">
        <f ca="1">IF(AND(NOT(AS58),AND(AS$4:AS57)),MIN(EXP((AT58-$J58)*$G58),1),"")</f>
        <v/>
      </c>
      <c r="AW58" s="440" t="b">
        <f ca="1">IF(AND(NOT(AS58),AND(AS$4:AS57)),TRUE,AS58)</f>
        <v>0</v>
      </c>
      <c r="AX58" s="439" t="e">
        <f ca="1">IF(AND(NOT(ISBLANK(Jumpoverwrite10)),AND(NOT(AW58),AND(AW$4:AW57))),($J58*$G58-LN(1+Jumpoverwrite10*AY$2))/$G58,_xll.qlInterpolationInterpolate(AW$3,$F58,TRUE))</f>
        <v>#NAME?</v>
      </c>
      <c r="AY58" s="439" t="str">
        <f ca="1">IF(AND(NOT(AW58),AND(AW$4:AW57)),MIN(EXP((AX58-$J58)*$G58),1),"")</f>
        <v/>
      </c>
      <c r="BA58" s="440" t="b">
        <f ca="1">IF(AND(NOT(AW58),AND(AW$4:AW57)),TRUE,AW58)</f>
        <v>0</v>
      </c>
      <c r="BB58" s="439" t="e">
        <f ca="1">IF(AND(NOT(ISBLANK(Jumpoverwrite11)),AND(NOT(BA58),AND(BA$4:BA57))),($J58*$G58-LN(1+Jumpoverwrite11*BC$2))/$G58,_xll.qlInterpolationInterpolate(BA$3,$F58,TRUE))</f>
        <v>#NAME?</v>
      </c>
      <c r="BC58" s="439" t="str">
        <f ca="1">IF(AND(NOT(BA58),AND(BA$4:BA57)),MIN(EXP((BB58-$J58)*$G58),1),"")</f>
        <v/>
      </c>
      <c r="BE58" s="440" t="b">
        <f ca="1">IF(AND(NOT(BA58),AND(BA$4:BA57)),TRUE,BA58)</f>
        <v>0</v>
      </c>
      <c r="BF58" s="439" t="e">
        <f ca="1">IF(AND(NOT(ISBLANK(Jumpoverwrite12)),AND(NOT(BE58),AND(BE$4:BE57))),($J58*$G58-LN(1+Jumpoverwrite12*BG$2))/$G58,_xll.qlInterpolationInterpolate(BE$3,$F58,TRUE))</f>
        <v>#NAME?</v>
      </c>
      <c r="BG58" s="439" t="str">
        <f ca="1">IF(AND(NOT(BE58),AND(BE$4:BE57)),MIN(EXP((BF58-$J58)*$G58),1),"")</f>
        <v/>
      </c>
      <c r="BI58" s="440" t="b">
        <f t="shared" ca="1" si="7"/>
        <v>0</v>
      </c>
      <c r="BJ58" s="439" t="e">
        <f ca="1">IF(AND(NOT(ISBLANK(jumpoverwrite13)),AND(NOT(BI58),AND(BI$4:BI57))),($J58*$G58-LN(1+jumpoverwrite13*BK$2))/$G58,_xll.qlInterpolationInterpolate(BI$3,$F58,TRUE))</f>
        <v>#NAME?</v>
      </c>
      <c r="BK58" s="439" t="str">
        <f ca="1">IF(AND(NOT(BI58),AND(BI$4:BI57)),MIN(EXP((BJ58-$J58)*$G58),1),"")</f>
        <v/>
      </c>
    </row>
    <row r="59" spans="1:63" x14ac:dyDescent="0.2">
      <c r="A59" s="438" t="e">
        <f ca="1"/>
        <v>#NAME?</v>
      </c>
      <c r="B59" s="437" t="e">
        <f ca="1">_xll.qlRateHelperRate($A59,InterestRatesTrigger)</f>
        <v>#NAME?</v>
      </c>
      <c r="C59" s="436" t="e">
        <f ca="1">_xll.qlRateHelperEarliestDate($A59)</f>
        <v>#NAME?</v>
      </c>
      <c r="D59" s="435" t="e">
        <f ca="1">_xll.qlRateHelperPillarDate($A59)</f>
        <v>#NAME?</v>
      </c>
      <c r="F59" s="445" t="e">
        <f t="shared" ca="1" si="5"/>
        <v>#N/A</v>
      </c>
      <c r="G59" s="444" t="e">
        <f ca="1">_xll.qlDayCounterYearFraction(DayCounter,D58,D59)</f>
        <v>#NAME?</v>
      </c>
      <c r="I59" s="443" t="b">
        <f t="shared" ca="1" si="6"/>
        <v>0</v>
      </c>
      <c r="J59" s="442" t="e">
        <f ca="1"/>
        <v>#NAME?</v>
      </c>
      <c r="K59" s="441" t="e">
        <f t="shared" ca="1" si="4"/>
        <v>#NAME?</v>
      </c>
      <c r="L59" s="429"/>
      <c r="M59" s="440" t="b">
        <f ca="1">IF(AND(NOT(I59),AND(I$4:I58)),TRUE,I59)</f>
        <v>0</v>
      </c>
      <c r="N59" s="439" t="e">
        <f ca="1">IF(AND(NOT(ISBLANK(Jumpoverwrite1)),AND(NOT(M59),AND(M$4:M58))),($J59*$G59-LN(1+Jumpoverwrite1*O$2))/$G59,_xll.qlInterpolationInterpolate(M$3,$F59,TRUE))</f>
        <v>#NAME?</v>
      </c>
      <c r="O59" s="439" t="str">
        <f ca="1">IF(AND(NOT(M59),AND(M$4:M58)),MIN(EXP((N59-$J59)*$G59),1),"")</f>
        <v/>
      </c>
      <c r="P59" s="428"/>
      <c r="Q59" s="440" t="b">
        <f ca="1">IF(AND(NOT(M59),AND(M$4:M58)),TRUE,M59)</f>
        <v>0</v>
      </c>
      <c r="R59" s="439" t="e">
        <f ca="1">IF(AND(NOT(ISBLANK(Jumpoverwrite2)),AND(NOT(Q59),AND(Q$4:Q58))),($J59*$G59-LN(1+Jumpoverwrite2*S$2))/$G59,_xll.qlInterpolationInterpolate(Q$3,$F59,TRUE))</f>
        <v>#NAME?</v>
      </c>
      <c r="S59" s="439" t="str">
        <f ca="1">IF(AND(NOT(Q59),AND(Q$4:Q58)),MIN(EXP((R59-$J59)*$G59),1),"")</f>
        <v/>
      </c>
      <c r="T59" s="428"/>
      <c r="U59" s="440" t="b">
        <f ca="1">IF(AND(NOT(Q59),AND(Q$4:Q58)),TRUE,Q59)</f>
        <v>0</v>
      </c>
      <c r="V59" s="439" t="e">
        <f ca="1">IF(AND(NOT(ISBLANK(Jumpoverwrite3)),AND(NOT(U59),AND(U$4:U58))),($J59*$G59-LN(1+Jumpoverwrite3*W$2))/$G59,_xll.qlInterpolationInterpolate(U$3,$F59,TRUE))</f>
        <v>#NAME?</v>
      </c>
      <c r="W59" s="439" t="str">
        <f ca="1">IF(AND(NOT(U59),AND(U$4:U58)),MIN(EXP((V59-$J59)*$G59),1),"")</f>
        <v/>
      </c>
      <c r="X59" s="428"/>
      <c r="Y59" s="440" t="b">
        <f ca="1">IF(AND(NOT(U59),AND(U$4:U58)),TRUE,U59)</f>
        <v>0</v>
      </c>
      <c r="Z59" s="439" t="e">
        <f ca="1">IF(AND(NOT(ISBLANK(Jumpoverwrite4)),AND(NOT(Y59),AND(Y$4:Y58))),($J59*$G59-LN(1+Jumpoverwrite4*AA$2))/$G59,_xll.qlInterpolationInterpolate(Y$3,$F59,TRUE))</f>
        <v>#NAME?</v>
      </c>
      <c r="AA59" s="439" t="str">
        <f ca="1">IF(AND(NOT(Y59),AND(Y$4:Y58)),MIN(EXP((Z59-$J59)*$G59),1),"")</f>
        <v/>
      </c>
      <c r="AB59" s="428"/>
      <c r="AC59" s="440" t="b">
        <f ca="1">IF(AND(NOT(Y59),AND(Y$4:Y58)),TRUE,Y59)</f>
        <v>0</v>
      </c>
      <c r="AD59" s="439" t="e">
        <f ca="1">IF(AND(NOT(ISBLANK(Jumpoverwrite5)),AND(NOT(AC59),AND(AC$4:AC58))),($J59*$G59-LN(1+Jumpoverwrite5*AE$2))/$G59,_xll.qlInterpolationInterpolate(AC$3,$F59,TRUE))</f>
        <v>#NAME?</v>
      </c>
      <c r="AE59" s="439" t="str">
        <f ca="1">IF(AND(NOT(AC59),AND(AC$4:AC58)),MIN(EXP((AD59-$J59)*$G59),1),"")</f>
        <v/>
      </c>
      <c r="AF59" s="428"/>
      <c r="AG59" s="440" t="b">
        <f ca="1">IF(AND(NOT(AC59),AND(AC$4:AC58)),TRUE,AC59)</f>
        <v>0</v>
      </c>
      <c r="AH59" s="439" t="e">
        <f ca="1">IF(AND(NOT(ISBLANK(Jumpoverwrite6)),AND(NOT(AG59),AND(AG$4:AG58))),($J59*$G59-LN(1+Jumpoverwrite6*AI$2))/$G59,_xll.qlInterpolationInterpolate(AG$3,$F59,TRUE))</f>
        <v>#NAME?</v>
      </c>
      <c r="AI59" s="439" t="str">
        <f ca="1">IF(AND(NOT(AG59),AND(AG$4:AG58)),MIN(EXP((AH59-$J59)*$G59),1),"")</f>
        <v/>
      </c>
      <c r="AJ59" s="428"/>
      <c r="AK59" s="440" t="b">
        <f ca="1">IF(AND(NOT(AG59),AND(AG$4:AG58)),TRUE,AG59)</f>
        <v>0</v>
      </c>
      <c r="AL59" s="439" t="e">
        <f ca="1">IF(AND(NOT(ISBLANK(Jumpoverwrite7)),AND(NOT(AK59),AND(AK$4:AK58))),($J59*$G59-LN(1+Jumpoverwrite7*AM$2))/$G59,_xll.qlInterpolationInterpolate(AK$3,$F59,TRUE))</f>
        <v>#NAME?</v>
      </c>
      <c r="AM59" s="439" t="str">
        <f ca="1">IF(AND(NOT(AK59),AND(AK$4:AK58)),MIN(EXP((AL59-$J59)*$G59),1),"")</f>
        <v/>
      </c>
      <c r="AO59" s="440" t="b">
        <f ca="1">IF(AND(NOT(AK59),AND(AK$4:AK58)),TRUE,AK59)</f>
        <v>0</v>
      </c>
      <c r="AP59" s="439" t="e">
        <f ca="1">IF(AND(NOT(ISBLANK(Jumpoverwrite8)),AND(NOT(AO59),AND(AO$4:AO58))),($J59*$G59-LN(1+Jumpoverwrite8*AQ$2))/$G59,_xll.qlInterpolationInterpolate(AO$3,$F59,TRUE))</f>
        <v>#NAME?</v>
      </c>
      <c r="AQ59" s="439" t="str">
        <f ca="1">IF(AND(NOT(AO59),AND(AO$4:AO58)),MIN(EXP((AP59-$J59)*$G59),1),"")</f>
        <v/>
      </c>
      <c r="AS59" s="440" t="b">
        <f ca="1">IF(AND(NOT(AO59),AND(AO$4:AO58)),TRUE,AO59)</f>
        <v>0</v>
      </c>
      <c r="AT59" s="439" t="e">
        <f ca="1">IF(AND(NOT(ISBLANK(Jumpoverwrite9)),AND(NOT(AS59),AND(AS$4:AS58))),($J59*$G59-LN(1+Jumpoverwrite9*AU$2))/$G59,_xll.qlInterpolationInterpolate(AS$3,$F59,TRUE))</f>
        <v>#NAME?</v>
      </c>
      <c r="AU59" s="439" t="str">
        <f ca="1">IF(AND(NOT(AS59),AND(AS$4:AS58)),MIN(EXP((AT59-$J59)*$G59),1),"")</f>
        <v/>
      </c>
      <c r="AW59" s="440" t="b">
        <f ca="1">IF(AND(NOT(AS59),AND(AS$4:AS58)),TRUE,AS59)</f>
        <v>0</v>
      </c>
      <c r="AX59" s="439" t="e">
        <f ca="1">IF(AND(NOT(ISBLANK(Jumpoverwrite10)),AND(NOT(AW59),AND(AW$4:AW58))),($J59*$G59-LN(1+Jumpoverwrite10*AY$2))/$G59,_xll.qlInterpolationInterpolate(AW$3,$F59,TRUE))</f>
        <v>#NAME?</v>
      </c>
      <c r="AY59" s="439" t="str">
        <f ca="1">IF(AND(NOT(AW59),AND(AW$4:AW58)),MIN(EXP((AX59-$J59)*$G59),1),"")</f>
        <v/>
      </c>
      <c r="BA59" s="440" t="b">
        <f ca="1">IF(AND(NOT(AW59),AND(AW$4:AW58)),TRUE,AW59)</f>
        <v>0</v>
      </c>
      <c r="BB59" s="439" t="e">
        <f ca="1">IF(AND(NOT(ISBLANK(Jumpoverwrite11)),AND(NOT(BA59),AND(BA$4:BA58))),($J59*$G59-LN(1+Jumpoverwrite11*BC$2))/$G59,_xll.qlInterpolationInterpolate(BA$3,$F59,TRUE))</f>
        <v>#NAME?</v>
      </c>
      <c r="BC59" s="439" t="str">
        <f ca="1">IF(AND(NOT(BA59),AND(BA$4:BA58)),MIN(EXP((BB59-$J59)*$G59),1),"")</f>
        <v/>
      </c>
      <c r="BE59" s="440" t="b">
        <f ca="1">IF(AND(NOT(BA59),AND(BA$4:BA58)),TRUE,BA59)</f>
        <v>0</v>
      </c>
      <c r="BF59" s="439" t="e">
        <f ca="1">IF(AND(NOT(ISBLANK(Jumpoverwrite12)),AND(NOT(BE59),AND(BE$4:BE58))),($J59*$G59-LN(1+Jumpoverwrite12*BG$2))/$G59,_xll.qlInterpolationInterpolate(BE$3,$F59,TRUE))</f>
        <v>#NAME?</v>
      </c>
      <c r="BG59" s="439" t="str">
        <f ca="1">IF(AND(NOT(BE59),AND(BE$4:BE58)),MIN(EXP((BF59-$J59)*$G59),1),"")</f>
        <v/>
      </c>
      <c r="BI59" s="440" t="b">
        <f t="shared" ca="1" si="7"/>
        <v>0</v>
      </c>
      <c r="BJ59" s="439" t="e">
        <f ca="1">IF(AND(NOT(ISBLANK(jumpoverwrite13)),AND(NOT(BI59),AND(BI$4:BI58))),($J59*$G59-LN(1+jumpoverwrite13*BK$2))/$G59,_xll.qlInterpolationInterpolate(BI$3,$F59,TRUE))</f>
        <v>#NAME?</v>
      </c>
      <c r="BK59" s="439" t="str">
        <f ca="1">IF(AND(NOT(BI59),AND(BI$4:BI58)),MIN(EXP((BJ59-$J59)*$G59),1),"")</f>
        <v/>
      </c>
    </row>
    <row r="60" spans="1:63" x14ac:dyDescent="0.2">
      <c r="A60" s="438" t="e">
        <f ca="1"/>
        <v>#NAME?</v>
      </c>
      <c r="B60" s="437" t="e">
        <f ca="1">_xll.qlRateHelperRate($A60,InterestRatesTrigger)</f>
        <v>#NAME?</v>
      </c>
      <c r="C60" s="436" t="e">
        <f ca="1">_xll.qlRateHelperEarliestDate($A60)</f>
        <v>#NAME?</v>
      </c>
      <c r="D60" s="435" t="e">
        <f ca="1">_xll.qlRateHelperPillarDate($A60)</f>
        <v>#NAME?</v>
      </c>
      <c r="F60" s="445" t="e">
        <f t="shared" ca="1" si="5"/>
        <v>#N/A</v>
      </c>
      <c r="G60" s="444" t="e">
        <f ca="1">_xll.qlDayCounterYearFraction(DayCounter,D59,D60)</f>
        <v>#NAME?</v>
      </c>
      <c r="I60" s="443" t="b">
        <f t="shared" ca="1" si="6"/>
        <v>0</v>
      </c>
      <c r="J60" s="442" t="e">
        <f ca="1"/>
        <v>#NAME?</v>
      </c>
      <c r="K60" s="441" t="e">
        <f t="shared" ca="1" si="4"/>
        <v>#NAME?</v>
      </c>
      <c r="L60" s="429"/>
      <c r="M60" s="440" t="b">
        <f ca="1">IF(AND(NOT(I60),AND(I$4:I59)),TRUE,I60)</f>
        <v>0</v>
      </c>
      <c r="N60" s="439" t="e">
        <f ca="1">IF(AND(NOT(ISBLANK(Jumpoverwrite1)),AND(NOT(M60),AND(M$4:M59))),($J60*$G60-LN(1+Jumpoverwrite1*O$2))/$G60,_xll.qlInterpolationInterpolate(M$3,$F60,TRUE))</f>
        <v>#NAME?</v>
      </c>
      <c r="O60" s="439" t="str">
        <f ca="1">IF(AND(NOT(M60),AND(M$4:M59)),MIN(EXP((N60-$J60)*$G60),1),"")</f>
        <v/>
      </c>
      <c r="P60" s="428"/>
      <c r="Q60" s="440" t="b">
        <f ca="1">IF(AND(NOT(M60),AND(M$4:M59)),TRUE,M60)</f>
        <v>0</v>
      </c>
      <c r="R60" s="439" t="e">
        <f ca="1">IF(AND(NOT(ISBLANK(Jumpoverwrite2)),AND(NOT(Q60),AND(Q$4:Q59))),($J60*$G60-LN(1+Jumpoverwrite2*S$2))/$G60,_xll.qlInterpolationInterpolate(Q$3,$F60,TRUE))</f>
        <v>#NAME?</v>
      </c>
      <c r="S60" s="439" t="str">
        <f ca="1">IF(AND(NOT(Q60),AND(Q$4:Q59)),MIN(EXP((R60-$J60)*$G60),1),"")</f>
        <v/>
      </c>
      <c r="T60" s="428"/>
      <c r="U60" s="440" t="b">
        <f ca="1">IF(AND(NOT(Q60),AND(Q$4:Q59)),TRUE,Q60)</f>
        <v>0</v>
      </c>
      <c r="V60" s="439" t="e">
        <f ca="1">IF(AND(NOT(ISBLANK(Jumpoverwrite3)),AND(NOT(U60),AND(U$4:U59))),($J60*$G60-LN(1+Jumpoverwrite3*W$2))/$G60,_xll.qlInterpolationInterpolate(U$3,$F60,TRUE))</f>
        <v>#NAME?</v>
      </c>
      <c r="W60" s="439" t="str">
        <f ca="1">IF(AND(NOT(U60),AND(U$4:U59)),MIN(EXP((V60-$J60)*$G60),1),"")</f>
        <v/>
      </c>
      <c r="X60" s="428"/>
      <c r="Y60" s="440" t="b">
        <f ca="1">IF(AND(NOT(U60),AND(U$4:U59)),TRUE,U60)</f>
        <v>0</v>
      </c>
      <c r="Z60" s="439" t="e">
        <f ca="1">IF(AND(NOT(ISBLANK(Jumpoverwrite4)),AND(NOT(Y60),AND(Y$4:Y59))),($J60*$G60-LN(1+Jumpoverwrite4*AA$2))/$G60,_xll.qlInterpolationInterpolate(Y$3,$F60,TRUE))</f>
        <v>#NAME?</v>
      </c>
      <c r="AA60" s="439" t="str">
        <f ca="1">IF(AND(NOT(Y60),AND(Y$4:Y59)),MIN(EXP((Z60-$J60)*$G60),1),"")</f>
        <v/>
      </c>
      <c r="AB60" s="428"/>
      <c r="AC60" s="440" t="b">
        <f ca="1">IF(AND(NOT(Y60),AND(Y$4:Y59)),TRUE,Y60)</f>
        <v>0</v>
      </c>
      <c r="AD60" s="439" t="e">
        <f ca="1">IF(AND(NOT(ISBLANK(Jumpoverwrite5)),AND(NOT(AC60),AND(AC$4:AC59))),($J60*$G60-LN(1+Jumpoverwrite5*AE$2))/$G60,_xll.qlInterpolationInterpolate(AC$3,$F60,TRUE))</f>
        <v>#NAME?</v>
      </c>
      <c r="AE60" s="439" t="str">
        <f ca="1">IF(AND(NOT(AC60),AND(AC$4:AC59)),MIN(EXP((AD60-$J60)*$G60),1),"")</f>
        <v/>
      </c>
      <c r="AF60" s="428"/>
      <c r="AG60" s="440" t="b">
        <f ca="1">IF(AND(NOT(AC60),AND(AC$4:AC59)),TRUE,AC60)</f>
        <v>0</v>
      </c>
      <c r="AH60" s="439" t="e">
        <f ca="1">IF(AND(NOT(ISBLANK(Jumpoverwrite6)),AND(NOT(AG60),AND(AG$4:AG59))),($J60*$G60-LN(1+Jumpoverwrite6*AI$2))/$G60,_xll.qlInterpolationInterpolate(AG$3,$F60,TRUE))</f>
        <v>#NAME?</v>
      </c>
      <c r="AI60" s="439" t="str">
        <f ca="1">IF(AND(NOT(AG60),AND(AG$4:AG59)),MIN(EXP((AH60-$J60)*$G60),1),"")</f>
        <v/>
      </c>
      <c r="AJ60" s="428"/>
      <c r="AK60" s="440" t="b">
        <f ca="1">IF(AND(NOT(AG60),AND(AG$4:AG59)),TRUE,AG60)</f>
        <v>0</v>
      </c>
      <c r="AL60" s="439" t="e">
        <f ca="1">IF(AND(NOT(ISBLANK(Jumpoverwrite7)),AND(NOT(AK60),AND(AK$4:AK59))),($J60*$G60-LN(1+Jumpoverwrite7*AM$2))/$G60,_xll.qlInterpolationInterpolate(AK$3,$F60,TRUE))</f>
        <v>#NAME?</v>
      </c>
      <c r="AM60" s="439" t="str">
        <f ca="1">IF(AND(NOT(AK60),AND(AK$4:AK59)),MIN(EXP((AL60-$J60)*$G60),1),"")</f>
        <v/>
      </c>
      <c r="AO60" s="440" t="b">
        <f ca="1">IF(AND(NOT(AK60),AND(AK$4:AK59)),TRUE,AK60)</f>
        <v>0</v>
      </c>
      <c r="AP60" s="439" t="e">
        <f ca="1">IF(AND(NOT(ISBLANK(Jumpoverwrite8)),AND(NOT(AO60),AND(AO$4:AO59))),($J60*$G60-LN(1+Jumpoverwrite8*AQ$2))/$G60,_xll.qlInterpolationInterpolate(AO$3,$F60,TRUE))</f>
        <v>#NAME?</v>
      </c>
      <c r="AQ60" s="439" t="str">
        <f ca="1">IF(AND(NOT(AO60),AND(AO$4:AO59)),MIN(EXP((AP60-$J60)*$G60),1),"")</f>
        <v/>
      </c>
      <c r="AS60" s="440" t="b">
        <f ca="1">IF(AND(NOT(AO60),AND(AO$4:AO59)),TRUE,AO60)</f>
        <v>0</v>
      </c>
      <c r="AT60" s="439" t="e">
        <f ca="1">IF(AND(NOT(ISBLANK(Jumpoverwrite9)),AND(NOT(AS60),AND(AS$4:AS59))),($J60*$G60-LN(1+Jumpoverwrite9*AU$2))/$G60,_xll.qlInterpolationInterpolate(AS$3,$F60,TRUE))</f>
        <v>#NAME?</v>
      </c>
      <c r="AU60" s="439" t="str">
        <f ca="1">IF(AND(NOT(AS60),AND(AS$4:AS59)),MIN(EXP((AT60-$J60)*$G60),1),"")</f>
        <v/>
      </c>
      <c r="AW60" s="440" t="b">
        <f ca="1">IF(AND(NOT(AS60),AND(AS$4:AS59)),TRUE,AS60)</f>
        <v>0</v>
      </c>
      <c r="AX60" s="439" t="e">
        <f ca="1">IF(AND(NOT(ISBLANK(Jumpoverwrite10)),AND(NOT(AW60),AND(AW$4:AW59))),($J60*$G60-LN(1+Jumpoverwrite10*AY$2))/$G60,_xll.qlInterpolationInterpolate(AW$3,$F60,TRUE))</f>
        <v>#NAME?</v>
      </c>
      <c r="AY60" s="439" t="str">
        <f ca="1">IF(AND(NOT(AW60),AND(AW$4:AW59)),MIN(EXP((AX60-$J60)*$G60),1),"")</f>
        <v/>
      </c>
      <c r="BA60" s="440" t="b">
        <f ca="1">IF(AND(NOT(AW60),AND(AW$4:AW59)),TRUE,AW60)</f>
        <v>0</v>
      </c>
      <c r="BB60" s="439" t="e">
        <f ca="1">IF(AND(NOT(ISBLANK(Jumpoverwrite11)),AND(NOT(BA60),AND(BA$4:BA59))),($J60*$G60-LN(1+Jumpoverwrite11*BC$2))/$G60,_xll.qlInterpolationInterpolate(BA$3,$F60,TRUE))</f>
        <v>#NAME?</v>
      </c>
      <c r="BC60" s="439" t="str">
        <f ca="1">IF(AND(NOT(BA60),AND(BA$4:BA59)),MIN(EXP((BB60-$J60)*$G60),1),"")</f>
        <v/>
      </c>
      <c r="BE60" s="440" t="b">
        <f ca="1">IF(AND(NOT(BA60),AND(BA$4:BA59)),TRUE,BA60)</f>
        <v>0</v>
      </c>
      <c r="BF60" s="439" t="e">
        <f ca="1">IF(AND(NOT(ISBLANK(Jumpoverwrite12)),AND(NOT(BE60),AND(BE$4:BE59))),($J60*$G60-LN(1+Jumpoverwrite12*BG$2))/$G60,_xll.qlInterpolationInterpolate(BE$3,$F60,TRUE))</f>
        <v>#NAME?</v>
      </c>
      <c r="BG60" s="439" t="str">
        <f ca="1">IF(AND(NOT(BE60),AND(BE$4:BE59)),MIN(EXP((BF60-$J60)*$G60),1),"")</f>
        <v/>
      </c>
      <c r="BI60" s="440" t="b">
        <f t="shared" ca="1" si="7"/>
        <v>0</v>
      </c>
      <c r="BJ60" s="439" t="e">
        <f ca="1">IF(AND(NOT(ISBLANK(jumpoverwrite13)),AND(NOT(BI60),AND(BI$4:BI59))),($J60*$G60-LN(1+jumpoverwrite13*BK$2))/$G60,_xll.qlInterpolationInterpolate(BI$3,$F60,TRUE))</f>
        <v>#NAME?</v>
      </c>
      <c r="BK60" s="439" t="str">
        <f ca="1">IF(AND(NOT(BI60),AND(BI$4:BI59)),MIN(EXP((BJ60-$J60)*$G60),1),"")</f>
        <v/>
      </c>
    </row>
    <row r="61" spans="1:63" x14ac:dyDescent="0.2">
      <c r="A61" s="438" t="e">
        <f ca="1"/>
        <v>#NAME?</v>
      </c>
      <c r="B61" s="437" t="e">
        <f ca="1">_xll.qlRateHelperRate($A61,InterestRatesTrigger)</f>
        <v>#NAME?</v>
      </c>
      <c r="C61" s="436" t="e">
        <f ca="1">_xll.qlRateHelperEarliestDate($A61)</f>
        <v>#NAME?</v>
      </c>
      <c r="D61" s="435" t="e">
        <f ca="1">_xll.qlRateHelperPillarDate($A61)</f>
        <v>#NAME?</v>
      </c>
      <c r="F61" s="445" t="e">
        <f t="shared" ca="1" si="5"/>
        <v>#N/A</v>
      </c>
      <c r="G61" s="444" t="e">
        <f ca="1">_xll.qlDayCounterYearFraction(DayCounter,D60,D61)</f>
        <v>#NAME?</v>
      </c>
      <c r="I61" s="443" t="b">
        <f t="shared" ca="1" si="6"/>
        <v>0</v>
      </c>
      <c r="J61" s="442" t="e">
        <f ca="1"/>
        <v>#NAME?</v>
      </c>
      <c r="K61" s="441" t="e">
        <f t="shared" ca="1" si="4"/>
        <v>#NAME?</v>
      </c>
      <c r="L61" s="429"/>
      <c r="M61" s="440" t="b">
        <f ca="1">IF(AND(NOT(I61),AND(I$4:I60)),TRUE,I61)</f>
        <v>0</v>
      </c>
      <c r="N61" s="439" t="e">
        <f ca="1">IF(AND(NOT(ISBLANK(Jumpoverwrite1)),AND(NOT(M61),AND(M$4:M60))),($J61*$G61-LN(1+Jumpoverwrite1*O$2))/$G61,_xll.qlInterpolationInterpolate(M$3,$F61,TRUE))</f>
        <v>#NAME?</v>
      </c>
      <c r="O61" s="439" t="str">
        <f ca="1">IF(AND(NOT(M61),AND(M$4:M60)),MIN(EXP((N61-$J61)*$G61),1),"")</f>
        <v/>
      </c>
      <c r="P61" s="428"/>
      <c r="Q61" s="440" t="b">
        <f ca="1">IF(AND(NOT(M61),AND(M$4:M60)),TRUE,M61)</f>
        <v>0</v>
      </c>
      <c r="R61" s="439" t="e">
        <f ca="1">IF(AND(NOT(ISBLANK(Jumpoverwrite2)),AND(NOT(Q61),AND(Q$4:Q60))),($J61*$G61-LN(1+Jumpoverwrite2*S$2))/$G61,_xll.qlInterpolationInterpolate(Q$3,$F61,TRUE))</f>
        <v>#NAME?</v>
      </c>
      <c r="S61" s="439" t="str">
        <f ca="1">IF(AND(NOT(Q61),AND(Q$4:Q60)),MIN(EXP((R61-$J61)*$G61),1),"")</f>
        <v/>
      </c>
      <c r="T61" s="428"/>
      <c r="U61" s="440" t="b">
        <f ca="1">IF(AND(NOT(Q61),AND(Q$4:Q60)),TRUE,Q61)</f>
        <v>0</v>
      </c>
      <c r="V61" s="439" t="e">
        <f ca="1">IF(AND(NOT(ISBLANK(Jumpoverwrite3)),AND(NOT(U61),AND(U$4:U60))),($J61*$G61-LN(1+Jumpoverwrite3*W$2))/$G61,_xll.qlInterpolationInterpolate(U$3,$F61,TRUE))</f>
        <v>#NAME?</v>
      </c>
      <c r="W61" s="439" t="str">
        <f ca="1">IF(AND(NOT(U61),AND(U$4:U60)),MIN(EXP((V61-$J61)*$G61),1),"")</f>
        <v/>
      </c>
      <c r="X61" s="428"/>
      <c r="Y61" s="440" t="b">
        <f ca="1">IF(AND(NOT(U61),AND(U$4:U60)),TRUE,U61)</f>
        <v>0</v>
      </c>
      <c r="Z61" s="439" t="e">
        <f ca="1">IF(AND(NOT(ISBLANK(Jumpoverwrite4)),AND(NOT(Y61),AND(Y$4:Y60))),($J61*$G61-LN(1+Jumpoverwrite4*AA$2))/$G61,_xll.qlInterpolationInterpolate(Y$3,$F61,TRUE))</f>
        <v>#NAME?</v>
      </c>
      <c r="AA61" s="439" t="str">
        <f ca="1">IF(AND(NOT(Y61),AND(Y$4:Y60)),MIN(EXP((Z61-$J61)*$G61),1),"")</f>
        <v/>
      </c>
      <c r="AB61" s="428"/>
      <c r="AC61" s="440" t="b">
        <f ca="1">IF(AND(NOT(Y61),AND(Y$4:Y60)),TRUE,Y61)</f>
        <v>0</v>
      </c>
      <c r="AD61" s="439" t="e">
        <f ca="1">IF(AND(NOT(ISBLANK(Jumpoverwrite5)),AND(NOT(AC61),AND(AC$4:AC60))),($J61*$G61-LN(1+Jumpoverwrite5*AE$2))/$G61,_xll.qlInterpolationInterpolate(AC$3,$F61,TRUE))</f>
        <v>#NAME?</v>
      </c>
      <c r="AE61" s="439" t="str">
        <f ca="1">IF(AND(NOT(AC61),AND(AC$4:AC60)),MIN(EXP((AD61-$J61)*$G61),1),"")</f>
        <v/>
      </c>
      <c r="AF61" s="428"/>
      <c r="AG61" s="440" t="b">
        <f ca="1">IF(AND(NOT(AC61),AND(AC$4:AC60)),TRUE,AC61)</f>
        <v>0</v>
      </c>
      <c r="AH61" s="439" t="e">
        <f ca="1">IF(AND(NOT(ISBLANK(Jumpoverwrite6)),AND(NOT(AG61),AND(AG$4:AG60))),($J61*$G61-LN(1+Jumpoverwrite6*AI$2))/$G61,_xll.qlInterpolationInterpolate(AG$3,$F61,TRUE))</f>
        <v>#NAME?</v>
      </c>
      <c r="AI61" s="439" t="str">
        <f ca="1">IF(AND(NOT(AG61),AND(AG$4:AG60)),MIN(EXP((AH61-$J61)*$G61),1),"")</f>
        <v/>
      </c>
      <c r="AJ61" s="428"/>
      <c r="AK61" s="440" t="b">
        <f ca="1">IF(AND(NOT(AG61),AND(AG$4:AG60)),TRUE,AG61)</f>
        <v>0</v>
      </c>
      <c r="AL61" s="439" t="e">
        <f ca="1">IF(AND(NOT(ISBLANK(Jumpoverwrite7)),AND(NOT(AK61),AND(AK$4:AK60))),($J61*$G61-LN(1+Jumpoverwrite7*AM$2))/$G61,_xll.qlInterpolationInterpolate(AK$3,$F61,TRUE))</f>
        <v>#NAME?</v>
      </c>
      <c r="AM61" s="439" t="str">
        <f ca="1">IF(AND(NOT(AK61),AND(AK$4:AK60)),MIN(EXP((AL61-$J61)*$G61),1),"")</f>
        <v/>
      </c>
      <c r="AO61" s="440" t="b">
        <f ca="1">IF(AND(NOT(AK61),AND(AK$4:AK60)),TRUE,AK61)</f>
        <v>0</v>
      </c>
      <c r="AP61" s="439" t="e">
        <f ca="1">IF(AND(NOT(ISBLANK(Jumpoverwrite8)),AND(NOT(AO61),AND(AO$4:AO60))),($J61*$G61-LN(1+Jumpoverwrite8*AQ$2))/$G61,_xll.qlInterpolationInterpolate(AO$3,$F61,TRUE))</f>
        <v>#NAME?</v>
      </c>
      <c r="AQ61" s="439" t="str">
        <f ca="1">IF(AND(NOT(AO61),AND(AO$4:AO60)),MIN(EXP((AP61-$J61)*$G61),1),"")</f>
        <v/>
      </c>
      <c r="AS61" s="440" t="b">
        <f ca="1">IF(AND(NOT(AO61),AND(AO$4:AO60)),TRUE,AO61)</f>
        <v>0</v>
      </c>
      <c r="AT61" s="439" t="e">
        <f ca="1">IF(AND(NOT(ISBLANK(Jumpoverwrite9)),AND(NOT(AS61),AND(AS$4:AS60))),($J61*$G61-LN(1+Jumpoverwrite9*AU$2))/$G61,_xll.qlInterpolationInterpolate(AS$3,$F61,TRUE))</f>
        <v>#NAME?</v>
      </c>
      <c r="AU61" s="439" t="str">
        <f ca="1">IF(AND(NOT(AS61),AND(AS$4:AS60)),MIN(EXP((AT61-$J61)*$G61),1),"")</f>
        <v/>
      </c>
      <c r="AW61" s="440" t="b">
        <f ca="1">IF(AND(NOT(AS61),AND(AS$4:AS60)),TRUE,AS61)</f>
        <v>0</v>
      </c>
      <c r="AX61" s="439" t="e">
        <f ca="1">IF(AND(NOT(ISBLANK(Jumpoverwrite10)),AND(NOT(AW61),AND(AW$4:AW60))),($J61*$G61-LN(1+Jumpoverwrite10*AY$2))/$G61,_xll.qlInterpolationInterpolate(AW$3,$F61,TRUE))</f>
        <v>#NAME?</v>
      </c>
      <c r="AY61" s="439" t="str">
        <f ca="1">IF(AND(NOT(AW61),AND(AW$4:AW60)),MIN(EXP((AX61-$J61)*$G61),1),"")</f>
        <v/>
      </c>
      <c r="BA61" s="440" t="b">
        <f ca="1">IF(AND(NOT(AW61),AND(AW$4:AW60)),TRUE,AW61)</f>
        <v>0</v>
      </c>
      <c r="BB61" s="439" t="e">
        <f ca="1">IF(AND(NOT(ISBLANK(Jumpoverwrite11)),AND(NOT(BA61),AND(BA$4:BA60))),($J61*$G61-LN(1+Jumpoverwrite11*BC$2))/$G61,_xll.qlInterpolationInterpolate(BA$3,$F61,TRUE))</f>
        <v>#NAME?</v>
      </c>
      <c r="BC61" s="439" t="str">
        <f ca="1">IF(AND(NOT(BA61),AND(BA$4:BA60)),MIN(EXP((BB61-$J61)*$G61),1),"")</f>
        <v/>
      </c>
      <c r="BE61" s="440" t="b">
        <f ca="1">IF(AND(NOT(BA61),AND(BA$4:BA60)),TRUE,BA61)</f>
        <v>0</v>
      </c>
      <c r="BF61" s="439" t="e">
        <f ca="1">IF(AND(NOT(ISBLANK(Jumpoverwrite12)),AND(NOT(BE61),AND(BE$4:BE60))),($J61*$G61-LN(1+Jumpoverwrite12*BG$2))/$G61,_xll.qlInterpolationInterpolate(BE$3,$F61,TRUE))</f>
        <v>#NAME?</v>
      </c>
      <c r="BG61" s="439" t="str">
        <f ca="1">IF(AND(NOT(BE61),AND(BE$4:BE60)),MIN(EXP((BF61-$J61)*$G61),1),"")</f>
        <v/>
      </c>
      <c r="BI61" s="440" t="b">
        <f t="shared" ca="1" si="7"/>
        <v>0</v>
      </c>
      <c r="BJ61" s="439" t="e">
        <f ca="1">IF(AND(NOT(ISBLANK(jumpoverwrite13)),AND(NOT(BI61),AND(BI$4:BI60))),($J61*$G61-LN(1+jumpoverwrite13*BK$2))/$G61,_xll.qlInterpolationInterpolate(BI$3,$F61,TRUE))</f>
        <v>#NAME?</v>
      </c>
      <c r="BK61" s="439" t="str">
        <f ca="1">IF(AND(NOT(BI61),AND(BI$4:BI60)),MIN(EXP((BJ61-$J61)*$G61),1),"")</f>
        <v/>
      </c>
    </row>
    <row r="62" spans="1:63" x14ac:dyDescent="0.2">
      <c r="A62" s="438" t="e">
        <f ca="1"/>
        <v>#NAME?</v>
      </c>
      <c r="B62" s="437" t="e">
        <f ca="1">_xll.qlRateHelperRate($A62,InterestRatesTrigger)</f>
        <v>#NAME?</v>
      </c>
      <c r="C62" s="436" t="e">
        <f ca="1">_xll.qlRateHelperEarliestDate($A62)</f>
        <v>#NAME?</v>
      </c>
      <c r="D62" s="435" t="e">
        <f ca="1">_xll.qlRateHelperPillarDate($A62)</f>
        <v>#NAME?</v>
      </c>
      <c r="F62" s="445" t="e">
        <f t="shared" ca="1" si="5"/>
        <v>#N/A</v>
      </c>
      <c r="G62" s="444" t="e">
        <f ca="1">_xll.qlDayCounterYearFraction(DayCounter,D61,D62)</f>
        <v>#NAME?</v>
      </c>
      <c r="I62" s="443" t="b">
        <f t="shared" ca="1" si="6"/>
        <v>0</v>
      </c>
      <c r="J62" s="442" t="e">
        <f ca="1"/>
        <v>#NAME?</v>
      </c>
      <c r="K62" s="441" t="e">
        <f t="shared" ca="1" si="4"/>
        <v>#NAME?</v>
      </c>
      <c r="L62" s="429"/>
      <c r="M62" s="440" t="b">
        <f ca="1">IF(AND(NOT(I62),AND(I$4:I61)),TRUE,I62)</f>
        <v>0</v>
      </c>
      <c r="N62" s="439" t="e">
        <f ca="1">IF(AND(NOT(ISBLANK(Jumpoverwrite1)),AND(NOT(M62),AND(M$4:M61))),($J62*$G62-LN(1+Jumpoverwrite1*O$2))/$G62,_xll.qlInterpolationInterpolate(M$3,$F62,TRUE))</f>
        <v>#NAME?</v>
      </c>
      <c r="O62" s="439" t="str">
        <f ca="1">IF(AND(NOT(M62),AND(M$4:M61)),MIN(EXP((N62-$J62)*$G62),1),"")</f>
        <v/>
      </c>
      <c r="P62" s="428"/>
      <c r="Q62" s="440" t="b">
        <f ca="1">IF(AND(NOT(M62),AND(M$4:M61)),TRUE,M62)</f>
        <v>0</v>
      </c>
      <c r="R62" s="439" t="e">
        <f ca="1">IF(AND(NOT(ISBLANK(Jumpoverwrite2)),AND(NOT(Q62),AND(Q$4:Q61))),($J62*$G62-LN(1+Jumpoverwrite2*S$2))/$G62,_xll.qlInterpolationInterpolate(Q$3,$F62,TRUE))</f>
        <v>#NAME?</v>
      </c>
      <c r="S62" s="439" t="str">
        <f ca="1">IF(AND(NOT(Q62),AND(Q$4:Q61)),MIN(EXP((R62-$J62)*$G62),1),"")</f>
        <v/>
      </c>
      <c r="T62" s="428"/>
      <c r="U62" s="440" t="b">
        <f ca="1">IF(AND(NOT(Q62),AND(Q$4:Q61)),TRUE,Q62)</f>
        <v>0</v>
      </c>
      <c r="V62" s="439" t="e">
        <f ca="1">IF(AND(NOT(ISBLANK(Jumpoverwrite3)),AND(NOT(U62),AND(U$4:U61))),($J62*$G62-LN(1+Jumpoverwrite3*W$2))/$G62,_xll.qlInterpolationInterpolate(U$3,$F62,TRUE))</f>
        <v>#NAME?</v>
      </c>
      <c r="W62" s="439" t="str">
        <f ca="1">IF(AND(NOT(U62),AND(U$4:U61)),MIN(EXP((V62-$J62)*$G62),1),"")</f>
        <v/>
      </c>
      <c r="X62" s="428"/>
      <c r="Y62" s="440" t="b">
        <f ca="1">IF(AND(NOT(U62),AND(U$4:U61)),TRUE,U62)</f>
        <v>0</v>
      </c>
      <c r="Z62" s="439" t="e">
        <f ca="1">IF(AND(NOT(ISBLANK(Jumpoverwrite4)),AND(NOT(Y62),AND(Y$4:Y61))),($J62*$G62-LN(1+Jumpoverwrite4*AA$2))/$G62,_xll.qlInterpolationInterpolate(Y$3,$F62,TRUE))</f>
        <v>#NAME?</v>
      </c>
      <c r="AA62" s="439" t="str">
        <f ca="1">IF(AND(NOT(Y62),AND(Y$4:Y61)),MIN(EXP((Z62-$J62)*$G62),1),"")</f>
        <v/>
      </c>
      <c r="AB62" s="428"/>
      <c r="AC62" s="440" t="b">
        <f ca="1">IF(AND(NOT(Y62),AND(Y$4:Y61)),TRUE,Y62)</f>
        <v>0</v>
      </c>
      <c r="AD62" s="439" t="e">
        <f ca="1">IF(AND(NOT(ISBLANK(Jumpoverwrite5)),AND(NOT(AC62),AND(AC$4:AC61))),($J62*$G62-LN(1+Jumpoverwrite5*AE$2))/$G62,_xll.qlInterpolationInterpolate(AC$3,$F62,TRUE))</f>
        <v>#NAME?</v>
      </c>
      <c r="AE62" s="439" t="str">
        <f ca="1">IF(AND(NOT(AC62),AND(AC$4:AC61)),MIN(EXP((AD62-$J62)*$G62),1),"")</f>
        <v/>
      </c>
      <c r="AF62" s="428"/>
      <c r="AG62" s="440" t="b">
        <f ca="1">IF(AND(NOT(AC62),AND(AC$4:AC61)),TRUE,AC62)</f>
        <v>0</v>
      </c>
      <c r="AH62" s="439" t="e">
        <f ca="1">IF(AND(NOT(ISBLANK(Jumpoverwrite6)),AND(NOT(AG62),AND(AG$4:AG61))),($J62*$G62-LN(1+Jumpoverwrite6*AI$2))/$G62,_xll.qlInterpolationInterpolate(AG$3,$F62,TRUE))</f>
        <v>#NAME?</v>
      </c>
      <c r="AI62" s="439" t="str">
        <f ca="1">IF(AND(NOT(AG62),AND(AG$4:AG61)),MIN(EXP((AH62-$J62)*$G62),1),"")</f>
        <v/>
      </c>
      <c r="AJ62" s="428"/>
      <c r="AK62" s="440" t="b">
        <f ca="1">IF(AND(NOT(AG62),AND(AG$4:AG61)),TRUE,AG62)</f>
        <v>0</v>
      </c>
      <c r="AL62" s="439" t="e">
        <f ca="1">IF(AND(NOT(ISBLANK(Jumpoverwrite7)),AND(NOT(AK62),AND(AK$4:AK61))),($J62*$G62-LN(1+Jumpoverwrite7*AM$2))/$G62,_xll.qlInterpolationInterpolate(AK$3,$F62,TRUE))</f>
        <v>#NAME?</v>
      </c>
      <c r="AM62" s="439" t="str">
        <f ca="1">IF(AND(NOT(AK62),AND(AK$4:AK61)),MIN(EXP((AL62-$J62)*$G62),1),"")</f>
        <v/>
      </c>
      <c r="AO62" s="440" t="b">
        <f ca="1">IF(AND(NOT(AK62),AND(AK$4:AK61)),TRUE,AK62)</f>
        <v>0</v>
      </c>
      <c r="AP62" s="439" t="e">
        <f ca="1">IF(AND(NOT(ISBLANK(Jumpoverwrite8)),AND(NOT(AO62),AND(AO$4:AO61))),($J62*$G62-LN(1+Jumpoverwrite8*AQ$2))/$G62,_xll.qlInterpolationInterpolate(AO$3,$F62,TRUE))</f>
        <v>#NAME?</v>
      </c>
      <c r="AQ62" s="439" t="str">
        <f ca="1">IF(AND(NOT(AO62),AND(AO$4:AO61)),MIN(EXP((AP62-$J62)*$G62),1),"")</f>
        <v/>
      </c>
      <c r="AS62" s="440" t="b">
        <f ca="1">IF(AND(NOT(AO62),AND(AO$4:AO61)),TRUE,AO62)</f>
        <v>0</v>
      </c>
      <c r="AT62" s="439" t="e">
        <f ca="1">IF(AND(NOT(ISBLANK(Jumpoverwrite9)),AND(NOT(AS62),AND(AS$4:AS61))),($J62*$G62-LN(1+Jumpoverwrite9*AU$2))/$G62,_xll.qlInterpolationInterpolate(AS$3,$F62,TRUE))</f>
        <v>#NAME?</v>
      </c>
      <c r="AU62" s="439" t="str">
        <f ca="1">IF(AND(NOT(AS62),AND(AS$4:AS61)),MIN(EXP((AT62-$J62)*$G62),1),"")</f>
        <v/>
      </c>
      <c r="AW62" s="440" t="b">
        <f ca="1">IF(AND(NOT(AS62),AND(AS$4:AS61)),TRUE,AS62)</f>
        <v>0</v>
      </c>
      <c r="AX62" s="439" t="e">
        <f ca="1">IF(AND(NOT(ISBLANK(Jumpoverwrite10)),AND(NOT(AW62),AND(AW$4:AW61))),($J62*$G62-LN(1+Jumpoverwrite10*AY$2))/$G62,_xll.qlInterpolationInterpolate(AW$3,$F62,TRUE))</f>
        <v>#NAME?</v>
      </c>
      <c r="AY62" s="439" t="str">
        <f ca="1">IF(AND(NOT(AW62),AND(AW$4:AW61)),MIN(EXP((AX62-$J62)*$G62),1),"")</f>
        <v/>
      </c>
      <c r="BA62" s="440" t="b">
        <f ca="1">IF(AND(NOT(AW62),AND(AW$4:AW61)),TRUE,AW62)</f>
        <v>0</v>
      </c>
      <c r="BB62" s="439" t="e">
        <f ca="1">IF(AND(NOT(ISBLANK(Jumpoverwrite11)),AND(NOT(BA62),AND(BA$4:BA61))),($J62*$G62-LN(1+Jumpoverwrite11*BC$2))/$G62,_xll.qlInterpolationInterpolate(BA$3,$F62,TRUE))</f>
        <v>#NAME?</v>
      </c>
      <c r="BC62" s="439" t="str">
        <f ca="1">IF(AND(NOT(BA62),AND(BA$4:BA61)),MIN(EXP((BB62-$J62)*$G62),1),"")</f>
        <v/>
      </c>
      <c r="BE62" s="440" t="b">
        <f ca="1">IF(AND(NOT(BA62),AND(BA$4:BA61)),TRUE,BA62)</f>
        <v>0</v>
      </c>
      <c r="BF62" s="439" t="e">
        <f ca="1">IF(AND(NOT(ISBLANK(Jumpoverwrite12)),AND(NOT(BE62),AND(BE$4:BE61))),($J62*$G62-LN(1+Jumpoverwrite12*BG$2))/$G62,_xll.qlInterpolationInterpolate(BE$3,$F62,TRUE))</f>
        <v>#NAME?</v>
      </c>
      <c r="BG62" s="439" t="str">
        <f ca="1">IF(AND(NOT(BE62),AND(BE$4:BE61)),MIN(EXP((BF62-$J62)*$G62),1),"")</f>
        <v/>
      </c>
      <c r="BI62" s="440" t="b">
        <f t="shared" ca="1" si="7"/>
        <v>0</v>
      </c>
      <c r="BJ62" s="439" t="e">
        <f ca="1">IF(AND(NOT(ISBLANK(jumpoverwrite13)),AND(NOT(BI62),AND(BI$4:BI61))),($J62*$G62-LN(1+jumpoverwrite13*BK$2))/$G62,_xll.qlInterpolationInterpolate(BI$3,$F62,TRUE))</f>
        <v>#NAME?</v>
      </c>
      <c r="BK62" s="439" t="str">
        <f ca="1">IF(AND(NOT(BI62),AND(BI$4:BI61)),MIN(EXP((BJ62-$J62)*$G62),1),"")</f>
        <v/>
      </c>
    </row>
    <row r="63" spans="1:63" x14ac:dyDescent="0.2">
      <c r="A63" s="438" t="e">
        <f ca="1"/>
        <v>#NAME?</v>
      </c>
      <c r="B63" s="437" t="e">
        <f ca="1">_xll.qlRateHelperRate($A63,InterestRatesTrigger)</f>
        <v>#NAME?</v>
      </c>
      <c r="C63" s="436" t="e">
        <f ca="1">_xll.qlRateHelperEarliestDate($A63)</f>
        <v>#NAME?</v>
      </c>
      <c r="D63" s="435" t="e">
        <f ca="1">_xll.qlRateHelperPillarDate($A63)</f>
        <v>#NAME?</v>
      </c>
      <c r="F63" s="445" t="e">
        <f t="shared" ca="1" si="5"/>
        <v>#N/A</v>
      </c>
      <c r="G63" s="444" t="e">
        <f ca="1">_xll.qlDayCounterYearFraction(DayCounter,D62,D63)</f>
        <v>#NAME?</v>
      </c>
      <c r="I63" s="443" t="b">
        <f t="shared" ca="1" si="6"/>
        <v>0</v>
      </c>
      <c r="J63" s="442" t="e">
        <f ca="1"/>
        <v>#NAME?</v>
      </c>
      <c r="K63" s="441" t="e">
        <f t="shared" ca="1" si="4"/>
        <v>#NAME?</v>
      </c>
      <c r="L63" s="429"/>
      <c r="M63" s="440" t="b">
        <f ca="1">IF(AND(NOT(I63),AND(I$4:I62)),TRUE,I63)</f>
        <v>0</v>
      </c>
      <c r="N63" s="439" t="e">
        <f ca="1">IF(AND(NOT(ISBLANK(Jumpoverwrite1)),AND(NOT(M63),AND(M$4:M62))),($J63*$G63-LN(1+Jumpoverwrite1*O$2))/$G63,_xll.qlInterpolationInterpolate(M$3,$F63,TRUE))</f>
        <v>#NAME?</v>
      </c>
      <c r="O63" s="439" t="str">
        <f ca="1">IF(AND(NOT(M63),AND(M$4:M62)),MIN(EXP((N63-$J63)*$G63),1),"")</f>
        <v/>
      </c>
      <c r="P63" s="428"/>
      <c r="Q63" s="440" t="b">
        <f ca="1">IF(AND(NOT(M63),AND(M$4:M62)),TRUE,M63)</f>
        <v>0</v>
      </c>
      <c r="R63" s="439" t="e">
        <f ca="1">IF(AND(NOT(ISBLANK(Jumpoverwrite2)),AND(NOT(Q63),AND(Q$4:Q62))),($J63*$G63-LN(1+Jumpoverwrite2*S$2))/$G63,_xll.qlInterpolationInterpolate(Q$3,$F63,TRUE))</f>
        <v>#NAME?</v>
      </c>
      <c r="S63" s="439" t="str">
        <f ca="1">IF(AND(NOT(Q63),AND(Q$4:Q62)),MIN(EXP((R63-$J63)*$G63),1),"")</f>
        <v/>
      </c>
      <c r="T63" s="428"/>
      <c r="U63" s="440" t="b">
        <f ca="1">IF(AND(NOT(Q63),AND(Q$4:Q62)),TRUE,Q63)</f>
        <v>0</v>
      </c>
      <c r="V63" s="439" t="e">
        <f ca="1">IF(AND(NOT(ISBLANK(Jumpoverwrite3)),AND(NOT(U63),AND(U$4:U62))),($J63*$G63-LN(1+Jumpoverwrite3*W$2))/$G63,_xll.qlInterpolationInterpolate(U$3,$F63,TRUE))</f>
        <v>#NAME?</v>
      </c>
      <c r="W63" s="439" t="str">
        <f ca="1">IF(AND(NOT(U63),AND(U$4:U62)),MIN(EXP((V63-$J63)*$G63),1),"")</f>
        <v/>
      </c>
      <c r="X63" s="428"/>
      <c r="Y63" s="440" t="b">
        <f ca="1">IF(AND(NOT(U63),AND(U$4:U62)),TRUE,U63)</f>
        <v>0</v>
      </c>
      <c r="Z63" s="439" t="e">
        <f ca="1">IF(AND(NOT(ISBLANK(Jumpoverwrite4)),AND(NOT(Y63),AND(Y$4:Y62))),($J63*$G63-LN(1+Jumpoverwrite4*AA$2))/$G63,_xll.qlInterpolationInterpolate(Y$3,$F63,TRUE))</f>
        <v>#NAME?</v>
      </c>
      <c r="AA63" s="439" t="str">
        <f ca="1">IF(AND(NOT(Y63),AND(Y$4:Y62)),MIN(EXP((Z63-$J63)*$G63),1),"")</f>
        <v/>
      </c>
      <c r="AB63" s="428"/>
      <c r="AC63" s="440" t="b">
        <f ca="1">IF(AND(NOT(Y63),AND(Y$4:Y62)),TRUE,Y63)</f>
        <v>0</v>
      </c>
      <c r="AD63" s="439" t="e">
        <f ca="1">IF(AND(NOT(ISBLANK(Jumpoverwrite5)),AND(NOT(AC63),AND(AC$4:AC62))),($J63*$G63-LN(1+Jumpoverwrite5*AE$2))/$G63,_xll.qlInterpolationInterpolate(AC$3,$F63,TRUE))</f>
        <v>#NAME?</v>
      </c>
      <c r="AE63" s="439" t="str">
        <f ca="1">IF(AND(NOT(AC63),AND(AC$4:AC62)),MIN(EXP((AD63-$J63)*$G63),1),"")</f>
        <v/>
      </c>
      <c r="AF63" s="428"/>
      <c r="AG63" s="440" t="b">
        <f ca="1">IF(AND(NOT(AC63),AND(AC$4:AC62)),TRUE,AC63)</f>
        <v>0</v>
      </c>
      <c r="AH63" s="439" t="e">
        <f ca="1">IF(AND(NOT(ISBLANK(Jumpoverwrite6)),AND(NOT(AG63),AND(AG$4:AG62))),($J63*$G63-LN(1+Jumpoverwrite6*AI$2))/$G63,_xll.qlInterpolationInterpolate(AG$3,$F63,TRUE))</f>
        <v>#NAME?</v>
      </c>
      <c r="AI63" s="439" t="str">
        <f ca="1">IF(AND(NOT(AG63),AND(AG$4:AG62)),MIN(EXP((AH63-$J63)*$G63),1),"")</f>
        <v/>
      </c>
      <c r="AJ63" s="428"/>
      <c r="AK63" s="440" t="b">
        <f ca="1">IF(AND(NOT(AG63),AND(AG$4:AG62)),TRUE,AG63)</f>
        <v>0</v>
      </c>
      <c r="AL63" s="439" t="e">
        <f ca="1">IF(AND(NOT(ISBLANK(Jumpoverwrite7)),AND(NOT(AK63),AND(AK$4:AK62))),($J63*$G63-LN(1+Jumpoverwrite7*AM$2))/$G63,_xll.qlInterpolationInterpolate(AK$3,$F63,TRUE))</f>
        <v>#NAME?</v>
      </c>
      <c r="AM63" s="439" t="str">
        <f ca="1">IF(AND(NOT(AK63),AND(AK$4:AK62)),MIN(EXP((AL63-$J63)*$G63),1),"")</f>
        <v/>
      </c>
      <c r="AO63" s="440" t="b">
        <f ca="1">IF(AND(NOT(AK63),AND(AK$4:AK62)),TRUE,AK63)</f>
        <v>0</v>
      </c>
      <c r="AP63" s="439" t="e">
        <f ca="1">IF(AND(NOT(ISBLANK(Jumpoverwrite8)),AND(NOT(AO63),AND(AO$4:AO62))),($J63*$G63-LN(1+Jumpoverwrite8*AQ$2))/$G63,_xll.qlInterpolationInterpolate(AO$3,$F63,TRUE))</f>
        <v>#NAME?</v>
      </c>
      <c r="AQ63" s="439" t="str">
        <f ca="1">IF(AND(NOT(AO63),AND(AO$4:AO62)),MIN(EXP((AP63-$J63)*$G63),1),"")</f>
        <v/>
      </c>
      <c r="AS63" s="440" t="b">
        <f ca="1">IF(AND(NOT(AO63),AND(AO$4:AO62)),TRUE,AO63)</f>
        <v>0</v>
      </c>
      <c r="AT63" s="439" t="e">
        <f ca="1">IF(AND(NOT(ISBLANK(Jumpoverwrite9)),AND(NOT(AS63),AND(AS$4:AS62))),($J63*$G63-LN(1+Jumpoverwrite9*AU$2))/$G63,_xll.qlInterpolationInterpolate(AS$3,$F63,TRUE))</f>
        <v>#NAME?</v>
      </c>
      <c r="AU63" s="439" t="str">
        <f ca="1">IF(AND(NOT(AS63),AND(AS$4:AS62)),MIN(EXP((AT63-$J63)*$G63),1),"")</f>
        <v/>
      </c>
      <c r="AW63" s="440" t="b">
        <f ca="1">IF(AND(NOT(AS63),AND(AS$4:AS62)),TRUE,AS63)</f>
        <v>0</v>
      </c>
      <c r="AX63" s="439" t="e">
        <f ca="1">IF(AND(NOT(ISBLANK(Jumpoverwrite10)),AND(NOT(AW63),AND(AW$4:AW62))),($J63*$G63-LN(1+Jumpoverwrite10*AY$2))/$G63,_xll.qlInterpolationInterpolate(AW$3,$F63,TRUE))</f>
        <v>#NAME?</v>
      </c>
      <c r="AY63" s="439" t="str">
        <f ca="1">IF(AND(NOT(AW63),AND(AW$4:AW62)),MIN(EXP((AX63-$J63)*$G63),1),"")</f>
        <v/>
      </c>
      <c r="BA63" s="440" t="b">
        <f ca="1">IF(AND(NOT(AW63),AND(AW$4:AW62)),TRUE,AW63)</f>
        <v>0</v>
      </c>
      <c r="BB63" s="439" t="e">
        <f ca="1">IF(AND(NOT(ISBLANK(Jumpoverwrite11)),AND(NOT(BA63),AND(BA$4:BA62))),($J63*$G63-LN(1+Jumpoverwrite11*BC$2))/$G63,_xll.qlInterpolationInterpolate(BA$3,$F63,TRUE))</f>
        <v>#NAME?</v>
      </c>
      <c r="BC63" s="439" t="str">
        <f ca="1">IF(AND(NOT(BA63),AND(BA$4:BA62)),MIN(EXP((BB63-$J63)*$G63),1),"")</f>
        <v/>
      </c>
      <c r="BE63" s="440" t="b">
        <f ca="1">IF(AND(NOT(BA63),AND(BA$4:BA62)),TRUE,BA63)</f>
        <v>0</v>
      </c>
      <c r="BF63" s="439" t="e">
        <f ca="1">IF(AND(NOT(ISBLANK(Jumpoverwrite12)),AND(NOT(BE63),AND(BE$4:BE62))),($J63*$G63-LN(1+Jumpoverwrite12*BG$2))/$G63,_xll.qlInterpolationInterpolate(BE$3,$F63,TRUE))</f>
        <v>#NAME?</v>
      </c>
      <c r="BG63" s="439" t="str">
        <f ca="1">IF(AND(NOT(BE63),AND(BE$4:BE62)),MIN(EXP((BF63-$J63)*$G63),1),"")</f>
        <v/>
      </c>
      <c r="BI63" s="440" t="b">
        <f t="shared" ca="1" si="7"/>
        <v>0</v>
      </c>
      <c r="BJ63" s="439" t="e">
        <f ca="1">IF(AND(NOT(ISBLANK(jumpoverwrite13)),AND(NOT(BI63),AND(BI$4:BI62))),($J63*$G63-LN(1+jumpoverwrite13*BK$2))/$G63,_xll.qlInterpolationInterpolate(BI$3,$F63,TRUE))</f>
        <v>#NAME?</v>
      </c>
      <c r="BK63" s="439" t="str">
        <f ca="1">IF(AND(NOT(BI63),AND(BI$4:BI62)),MIN(EXP((BJ63-$J63)*$G63),1),"")</f>
        <v/>
      </c>
    </row>
    <row r="64" spans="1:63" x14ac:dyDescent="0.2">
      <c r="A64" s="438" t="e">
        <f ca="1"/>
        <v>#NAME?</v>
      </c>
      <c r="B64" s="437" t="e">
        <f ca="1">_xll.qlRateHelperRate($A64,InterestRatesTrigger)</f>
        <v>#NAME?</v>
      </c>
      <c r="C64" s="436" t="e">
        <f ca="1">_xll.qlRateHelperEarliestDate($A64)</f>
        <v>#NAME?</v>
      </c>
      <c r="D64" s="435" t="e">
        <f ca="1">_xll.qlRateHelperPillarDate($A64)</f>
        <v>#NAME?</v>
      </c>
      <c r="F64" s="445" t="e">
        <f t="shared" ca="1" si="5"/>
        <v>#N/A</v>
      </c>
      <c r="G64" s="444" t="e">
        <f ca="1">_xll.qlDayCounterYearFraction(DayCounter,D63,D64)</f>
        <v>#NAME?</v>
      </c>
      <c r="I64" s="443" t="b">
        <f t="shared" ca="1" si="6"/>
        <v>0</v>
      </c>
      <c r="J64" s="442" t="e">
        <f ca="1"/>
        <v>#NAME?</v>
      </c>
      <c r="K64" s="441" t="e">
        <f t="shared" ca="1" si="4"/>
        <v>#NAME?</v>
      </c>
      <c r="L64" s="429"/>
      <c r="M64" s="440" t="b">
        <f ca="1">IF(AND(NOT(I64),AND(I$4:I63)),TRUE,I64)</f>
        <v>0</v>
      </c>
      <c r="N64" s="439" t="e">
        <f ca="1">IF(AND(NOT(ISBLANK(Jumpoverwrite1)),AND(NOT(M64),AND(M$4:M63))),($J64*$G64-LN(1+Jumpoverwrite1*O$2))/$G64,_xll.qlInterpolationInterpolate(M$3,$F64,TRUE))</f>
        <v>#NAME?</v>
      </c>
      <c r="O64" s="439" t="str">
        <f ca="1">IF(AND(NOT(M64),AND(M$4:M63)),MIN(EXP((N64-$J64)*$G64),1),"")</f>
        <v/>
      </c>
      <c r="P64" s="428"/>
      <c r="Q64" s="440" t="b">
        <f ca="1">IF(AND(NOT(M64),AND(M$4:M63)),TRUE,M64)</f>
        <v>0</v>
      </c>
      <c r="R64" s="439" t="e">
        <f ca="1">IF(AND(NOT(ISBLANK(Jumpoverwrite2)),AND(NOT(Q64),AND(Q$4:Q63))),($J64*$G64-LN(1+Jumpoverwrite2*S$2))/$G64,_xll.qlInterpolationInterpolate(Q$3,$F64,TRUE))</f>
        <v>#NAME?</v>
      </c>
      <c r="S64" s="439" t="str">
        <f ca="1">IF(AND(NOT(Q64),AND(Q$4:Q63)),MIN(EXP((R64-$J64)*$G64),1),"")</f>
        <v/>
      </c>
      <c r="T64" s="428"/>
      <c r="U64" s="440" t="b">
        <f ca="1">IF(AND(NOT(Q64),AND(Q$4:Q63)),TRUE,Q64)</f>
        <v>0</v>
      </c>
      <c r="V64" s="439" t="e">
        <f ca="1">IF(AND(NOT(ISBLANK(Jumpoverwrite3)),AND(NOT(U64),AND(U$4:U63))),($J64*$G64-LN(1+Jumpoverwrite3*W$2))/$G64,_xll.qlInterpolationInterpolate(U$3,$F64,TRUE))</f>
        <v>#NAME?</v>
      </c>
      <c r="W64" s="439" t="str">
        <f ca="1">IF(AND(NOT(U64),AND(U$4:U63)),MIN(EXP((V64-$J64)*$G64),1),"")</f>
        <v/>
      </c>
      <c r="X64" s="428"/>
      <c r="Y64" s="440" t="b">
        <f ca="1">IF(AND(NOT(U64),AND(U$4:U63)),TRUE,U64)</f>
        <v>0</v>
      </c>
      <c r="Z64" s="439" t="e">
        <f ca="1">IF(AND(NOT(ISBLANK(Jumpoverwrite4)),AND(NOT(Y64),AND(Y$4:Y63))),($J64*$G64-LN(1+Jumpoverwrite4*AA$2))/$G64,_xll.qlInterpolationInterpolate(Y$3,$F64,TRUE))</f>
        <v>#NAME?</v>
      </c>
      <c r="AA64" s="439" t="str">
        <f ca="1">IF(AND(NOT(Y64),AND(Y$4:Y63)),MIN(EXP((Z64-$J64)*$G64),1),"")</f>
        <v/>
      </c>
      <c r="AB64" s="428"/>
      <c r="AC64" s="440" t="b">
        <f ca="1">IF(AND(NOT(Y64),AND(Y$4:Y63)),TRUE,Y64)</f>
        <v>0</v>
      </c>
      <c r="AD64" s="439" t="e">
        <f ca="1">IF(AND(NOT(ISBLANK(Jumpoverwrite5)),AND(NOT(AC64),AND(AC$4:AC63))),($J64*$G64-LN(1+Jumpoverwrite5*AE$2))/$G64,_xll.qlInterpolationInterpolate(AC$3,$F64,TRUE))</f>
        <v>#NAME?</v>
      </c>
      <c r="AE64" s="439" t="str">
        <f ca="1">IF(AND(NOT(AC64),AND(AC$4:AC63)),MIN(EXP((AD64-$J64)*$G64),1),"")</f>
        <v/>
      </c>
      <c r="AF64" s="428"/>
      <c r="AG64" s="440" t="b">
        <f ca="1">IF(AND(NOT(AC64),AND(AC$4:AC63)),TRUE,AC64)</f>
        <v>0</v>
      </c>
      <c r="AH64" s="439" t="e">
        <f ca="1">IF(AND(NOT(ISBLANK(Jumpoverwrite6)),AND(NOT(AG64),AND(AG$4:AG63))),($J64*$G64-LN(1+Jumpoverwrite6*AI$2))/$G64,_xll.qlInterpolationInterpolate(AG$3,$F64,TRUE))</f>
        <v>#NAME?</v>
      </c>
      <c r="AI64" s="439" t="str">
        <f ca="1">IF(AND(NOT(AG64),AND(AG$4:AG63)),MIN(EXP((AH64-$J64)*$G64),1),"")</f>
        <v/>
      </c>
      <c r="AJ64" s="428"/>
      <c r="AK64" s="440" t="b">
        <f ca="1">IF(AND(NOT(AG64),AND(AG$4:AG63)),TRUE,AG64)</f>
        <v>0</v>
      </c>
      <c r="AL64" s="439" t="e">
        <f ca="1">IF(AND(NOT(ISBLANK(Jumpoverwrite7)),AND(NOT(AK64),AND(AK$4:AK63))),($J64*$G64-LN(1+Jumpoverwrite7*AM$2))/$G64,_xll.qlInterpolationInterpolate(AK$3,$F64,TRUE))</f>
        <v>#NAME?</v>
      </c>
      <c r="AM64" s="439" t="str">
        <f ca="1">IF(AND(NOT(AK64),AND(AK$4:AK63)),MIN(EXP((AL64-$J64)*$G64),1),"")</f>
        <v/>
      </c>
      <c r="AO64" s="440" t="b">
        <f ca="1">IF(AND(NOT(AK64),AND(AK$4:AK63)),TRUE,AK64)</f>
        <v>0</v>
      </c>
      <c r="AP64" s="439" t="e">
        <f ca="1">IF(AND(NOT(ISBLANK(Jumpoverwrite8)),AND(NOT(AO64),AND(AO$4:AO63))),($J64*$G64-LN(1+Jumpoverwrite8*AQ$2))/$G64,_xll.qlInterpolationInterpolate(AO$3,$F64,TRUE))</f>
        <v>#NAME?</v>
      </c>
      <c r="AQ64" s="439" t="str">
        <f ca="1">IF(AND(NOT(AO64),AND(AO$4:AO63)),MIN(EXP((AP64-$J64)*$G64),1),"")</f>
        <v/>
      </c>
      <c r="AS64" s="440" t="b">
        <f ca="1">IF(AND(NOT(AO64),AND(AO$4:AO63)),TRUE,AO64)</f>
        <v>0</v>
      </c>
      <c r="AT64" s="439" t="e">
        <f ca="1">IF(AND(NOT(ISBLANK(Jumpoverwrite9)),AND(NOT(AS64),AND(AS$4:AS63))),($J64*$G64-LN(1+Jumpoverwrite9*AU$2))/$G64,_xll.qlInterpolationInterpolate(AS$3,$F64,TRUE))</f>
        <v>#NAME?</v>
      </c>
      <c r="AU64" s="439" t="str">
        <f ca="1">IF(AND(NOT(AS64),AND(AS$4:AS63)),MIN(EXP((AT64-$J64)*$G64),1),"")</f>
        <v/>
      </c>
      <c r="AW64" s="440" t="b">
        <f ca="1">IF(AND(NOT(AS64),AND(AS$4:AS63)),TRUE,AS64)</f>
        <v>0</v>
      </c>
      <c r="AX64" s="439" t="e">
        <f ca="1">IF(AND(NOT(ISBLANK(Jumpoverwrite10)),AND(NOT(AW64),AND(AW$4:AW63))),($J64*$G64-LN(1+Jumpoverwrite10*AY$2))/$G64,_xll.qlInterpolationInterpolate(AW$3,$F64,TRUE))</f>
        <v>#NAME?</v>
      </c>
      <c r="AY64" s="439" t="str">
        <f ca="1">IF(AND(NOT(AW64),AND(AW$4:AW63)),MIN(EXP((AX64-$J64)*$G64),1),"")</f>
        <v/>
      </c>
      <c r="BA64" s="440" t="b">
        <f ca="1">IF(AND(NOT(AW64),AND(AW$4:AW63)),TRUE,AW64)</f>
        <v>0</v>
      </c>
      <c r="BB64" s="439" t="e">
        <f ca="1">IF(AND(NOT(ISBLANK(Jumpoverwrite11)),AND(NOT(BA64),AND(BA$4:BA63))),($J64*$G64-LN(1+Jumpoverwrite11*BC$2))/$G64,_xll.qlInterpolationInterpolate(BA$3,$F64,TRUE))</f>
        <v>#NAME?</v>
      </c>
      <c r="BC64" s="439" t="str">
        <f ca="1">IF(AND(NOT(BA64),AND(BA$4:BA63)),MIN(EXP((BB64-$J64)*$G64),1),"")</f>
        <v/>
      </c>
      <c r="BE64" s="440" t="b">
        <f ca="1">IF(AND(NOT(BA64),AND(BA$4:BA63)),TRUE,BA64)</f>
        <v>0</v>
      </c>
      <c r="BF64" s="439" t="e">
        <f ca="1">IF(AND(NOT(ISBLANK(Jumpoverwrite12)),AND(NOT(BE64),AND(BE$4:BE63))),($J64*$G64-LN(1+Jumpoverwrite12*BG$2))/$G64,_xll.qlInterpolationInterpolate(BE$3,$F64,TRUE))</f>
        <v>#NAME?</v>
      </c>
      <c r="BG64" s="439" t="str">
        <f ca="1">IF(AND(NOT(BE64),AND(BE$4:BE63)),MIN(EXP((BF64-$J64)*$G64),1),"")</f>
        <v/>
      </c>
      <c r="BI64" s="440" t="b">
        <f t="shared" ca="1" si="7"/>
        <v>0</v>
      </c>
      <c r="BJ64" s="439" t="e">
        <f ca="1">IF(AND(NOT(ISBLANK(jumpoverwrite13)),AND(NOT(BI64),AND(BI$4:BI63))),($J64*$G64-LN(1+jumpoverwrite13*BK$2))/$G64,_xll.qlInterpolationInterpolate(BI$3,$F64,TRUE))</f>
        <v>#NAME?</v>
      </c>
      <c r="BK64" s="439" t="str">
        <f ca="1">IF(AND(NOT(BI64),AND(BI$4:BI63)),MIN(EXP((BJ64-$J64)*$G64),1),"")</f>
        <v/>
      </c>
    </row>
    <row r="65" spans="1:63" x14ac:dyDescent="0.2">
      <c r="A65" s="438" t="e">
        <f ca="1"/>
        <v>#NAME?</v>
      </c>
      <c r="B65" s="437" t="e">
        <f ca="1">_xll.qlRateHelperRate($A65,InterestRatesTrigger)</f>
        <v>#NAME?</v>
      </c>
      <c r="C65" s="436" t="e">
        <f ca="1">_xll.qlRateHelperEarliestDate($A65)</f>
        <v>#NAME?</v>
      </c>
      <c r="D65" s="435" t="e">
        <f ca="1">_xll.qlRateHelperPillarDate($A65)</f>
        <v>#NAME?</v>
      </c>
      <c r="F65" s="445" t="e">
        <f t="shared" ca="1" si="5"/>
        <v>#N/A</v>
      </c>
      <c r="G65" s="444" t="e">
        <f ca="1">_xll.qlDayCounterYearFraction(DayCounter,D64,D65)</f>
        <v>#NAME?</v>
      </c>
      <c r="I65" s="443" t="b">
        <f t="shared" ca="1" si="6"/>
        <v>0</v>
      </c>
      <c r="J65" s="442" t="e">
        <f ca="1"/>
        <v>#NAME?</v>
      </c>
      <c r="K65" s="441" t="e">
        <f t="shared" ca="1" si="4"/>
        <v>#NAME?</v>
      </c>
      <c r="L65" s="429"/>
      <c r="M65" s="440" t="b">
        <f ca="1">IF(AND(NOT(I65),AND(I$4:I64)),TRUE,I65)</f>
        <v>0</v>
      </c>
      <c r="N65" s="439" t="e">
        <f ca="1">IF(AND(NOT(ISBLANK(Jumpoverwrite1)),AND(NOT(M65),AND(M$4:M64))),($J65*$G65-LN(1+Jumpoverwrite1*O$2))/$G65,_xll.qlInterpolationInterpolate(M$3,$F65,TRUE))</f>
        <v>#NAME?</v>
      </c>
      <c r="O65" s="439" t="str">
        <f ca="1">IF(AND(NOT(M65),AND(M$4:M64)),MIN(EXP((N65-$J65)*$G65),1),"")</f>
        <v/>
      </c>
      <c r="P65" s="428"/>
      <c r="Q65" s="440" t="b">
        <f ca="1">IF(AND(NOT(M65),AND(M$4:M64)),TRUE,M65)</f>
        <v>0</v>
      </c>
      <c r="R65" s="439" t="e">
        <f ca="1">IF(AND(NOT(ISBLANK(Jumpoverwrite2)),AND(NOT(Q65),AND(Q$4:Q64))),($J65*$G65-LN(1+Jumpoverwrite2*S$2))/$G65,_xll.qlInterpolationInterpolate(Q$3,$F65,TRUE))</f>
        <v>#NAME?</v>
      </c>
      <c r="S65" s="439" t="str">
        <f ca="1">IF(AND(NOT(Q65),AND(Q$4:Q64)),MIN(EXP((R65-$J65)*$G65),1),"")</f>
        <v/>
      </c>
      <c r="T65" s="428"/>
      <c r="U65" s="440" t="b">
        <f ca="1">IF(AND(NOT(Q65),AND(Q$4:Q64)),TRUE,Q65)</f>
        <v>0</v>
      </c>
      <c r="V65" s="439" t="e">
        <f ca="1">IF(AND(NOT(ISBLANK(Jumpoverwrite3)),AND(NOT(U65),AND(U$4:U64))),($J65*$G65-LN(1+Jumpoverwrite3*W$2))/$G65,_xll.qlInterpolationInterpolate(U$3,$F65,TRUE))</f>
        <v>#NAME?</v>
      </c>
      <c r="W65" s="439" t="str">
        <f ca="1">IF(AND(NOT(U65),AND(U$4:U64)),MIN(EXP((V65-$J65)*$G65),1),"")</f>
        <v/>
      </c>
      <c r="X65" s="428"/>
      <c r="Y65" s="440" t="b">
        <f ca="1">IF(AND(NOT(U65),AND(U$4:U64)),TRUE,U65)</f>
        <v>0</v>
      </c>
      <c r="Z65" s="439" t="e">
        <f ca="1">IF(AND(NOT(ISBLANK(Jumpoverwrite4)),AND(NOT(Y65),AND(Y$4:Y64))),($J65*$G65-LN(1+Jumpoverwrite4*AA$2))/$G65,_xll.qlInterpolationInterpolate(Y$3,$F65,TRUE))</f>
        <v>#NAME?</v>
      </c>
      <c r="AA65" s="439" t="str">
        <f ca="1">IF(AND(NOT(Y65),AND(Y$4:Y64)),MIN(EXP((Z65-$J65)*$G65),1),"")</f>
        <v/>
      </c>
      <c r="AB65" s="428"/>
      <c r="AC65" s="440" t="b">
        <f ca="1">IF(AND(NOT(Y65),AND(Y$4:Y64)),TRUE,Y65)</f>
        <v>0</v>
      </c>
      <c r="AD65" s="439" t="e">
        <f ca="1">IF(AND(NOT(ISBLANK(Jumpoverwrite5)),AND(NOT(AC65),AND(AC$4:AC64))),($J65*$G65-LN(1+Jumpoverwrite5*AE$2))/$G65,_xll.qlInterpolationInterpolate(AC$3,$F65,TRUE))</f>
        <v>#NAME?</v>
      </c>
      <c r="AE65" s="439" t="str">
        <f ca="1">IF(AND(NOT(AC65),AND(AC$4:AC64)),MIN(EXP((AD65-$J65)*$G65),1),"")</f>
        <v/>
      </c>
      <c r="AF65" s="428"/>
      <c r="AG65" s="440" t="b">
        <f ca="1">IF(AND(NOT(AC65),AND(AC$4:AC64)),TRUE,AC65)</f>
        <v>0</v>
      </c>
      <c r="AH65" s="439" t="e">
        <f ca="1">IF(AND(NOT(ISBLANK(Jumpoverwrite6)),AND(NOT(AG65),AND(AG$4:AG64))),($J65*$G65-LN(1+Jumpoverwrite6*AI$2))/$G65,_xll.qlInterpolationInterpolate(AG$3,$F65,TRUE))</f>
        <v>#NAME?</v>
      </c>
      <c r="AI65" s="439" t="str">
        <f ca="1">IF(AND(NOT(AG65),AND(AG$4:AG64)),MIN(EXP((AH65-$J65)*$G65),1),"")</f>
        <v/>
      </c>
      <c r="AJ65" s="428"/>
      <c r="AK65" s="440" t="b">
        <f ca="1">IF(AND(NOT(AG65),AND(AG$4:AG64)),TRUE,AG65)</f>
        <v>0</v>
      </c>
      <c r="AL65" s="439" t="e">
        <f ca="1">IF(AND(NOT(ISBLANK(Jumpoverwrite7)),AND(NOT(AK65),AND(AK$4:AK64))),($J65*$G65-LN(1+Jumpoverwrite7*AM$2))/$G65,_xll.qlInterpolationInterpolate(AK$3,$F65,TRUE))</f>
        <v>#NAME?</v>
      </c>
      <c r="AM65" s="439" t="str">
        <f ca="1">IF(AND(NOT(AK65),AND(AK$4:AK64)),MIN(EXP((AL65-$J65)*$G65),1),"")</f>
        <v/>
      </c>
      <c r="AO65" s="440" t="b">
        <f ca="1">IF(AND(NOT(AK65),AND(AK$4:AK64)),TRUE,AK65)</f>
        <v>0</v>
      </c>
      <c r="AP65" s="439" t="e">
        <f ca="1">IF(AND(NOT(ISBLANK(Jumpoverwrite8)),AND(NOT(AO65),AND(AO$4:AO64))),($J65*$G65-LN(1+Jumpoverwrite8*AQ$2))/$G65,_xll.qlInterpolationInterpolate(AO$3,$F65,TRUE))</f>
        <v>#NAME?</v>
      </c>
      <c r="AQ65" s="439" t="str">
        <f ca="1">IF(AND(NOT(AO65),AND(AO$4:AO64)),MIN(EXP((AP65-$J65)*$G65),1),"")</f>
        <v/>
      </c>
      <c r="AS65" s="440" t="b">
        <f ca="1">IF(AND(NOT(AO65),AND(AO$4:AO64)),TRUE,AO65)</f>
        <v>0</v>
      </c>
      <c r="AT65" s="439" t="e">
        <f ca="1">IF(AND(NOT(ISBLANK(Jumpoverwrite9)),AND(NOT(AS65),AND(AS$4:AS64))),($J65*$G65-LN(1+Jumpoverwrite9*AU$2))/$G65,_xll.qlInterpolationInterpolate(AS$3,$F65,TRUE))</f>
        <v>#NAME?</v>
      </c>
      <c r="AU65" s="439" t="str">
        <f ca="1">IF(AND(NOT(AS65),AND(AS$4:AS64)),MIN(EXP((AT65-$J65)*$G65),1),"")</f>
        <v/>
      </c>
      <c r="AW65" s="440" t="b">
        <f ca="1">IF(AND(NOT(AS65),AND(AS$4:AS64)),TRUE,AS65)</f>
        <v>0</v>
      </c>
      <c r="AX65" s="439" t="e">
        <f ca="1">IF(AND(NOT(ISBLANK(Jumpoverwrite10)),AND(NOT(AW65),AND(AW$4:AW64))),($J65*$G65-LN(1+Jumpoverwrite10*AY$2))/$G65,_xll.qlInterpolationInterpolate(AW$3,$F65,TRUE))</f>
        <v>#NAME?</v>
      </c>
      <c r="AY65" s="439" t="str">
        <f ca="1">IF(AND(NOT(AW65),AND(AW$4:AW64)),MIN(EXP((AX65-$J65)*$G65),1),"")</f>
        <v/>
      </c>
      <c r="BA65" s="440" t="b">
        <f ca="1">IF(AND(NOT(AW65),AND(AW$4:AW64)),TRUE,AW65)</f>
        <v>0</v>
      </c>
      <c r="BB65" s="439" t="e">
        <f ca="1">IF(AND(NOT(ISBLANK(Jumpoverwrite11)),AND(NOT(BA65),AND(BA$4:BA64))),($J65*$G65-LN(1+Jumpoverwrite11*BC$2))/$G65,_xll.qlInterpolationInterpolate(BA$3,$F65,TRUE))</f>
        <v>#NAME?</v>
      </c>
      <c r="BC65" s="439" t="str">
        <f ca="1">IF(AND(NOT(BA65),AND(BA$4:BA64)),MIN(EXP((BB65-$J65)*$G65),1),"")</f>
        <v/>
      </c>
      <c r="BE65" s="440" t="b">
        <f ca="1">IF(AND(NOT(BA65),AND(BA$4:BA64)),TRUE,BA65)</f>
        <v>0</v>
      </c>
      <c r="BF65" s="439" t="e">
        <f ca="1">IF(AND(NOT(ISBLANK(Jumpoverwrite12)),AND(NOT(BE65),AND(BE$4:BE64))),($J65*$G65-LN(1+Jumpoverwrite12*BG$2))/$G65,_xll.qlInterpolationInterpolate(BE$3,$F65,TRUE))</f>
        <v>#NAME?</v>
      </c>
      <c r="BG65" s="439" t="str">
        <f ca="1">IF(AND(NOT(BE65),AND(BE$4:BE64)),MIN(EXP((BF65-$J65)*$G65),1),"")</f>
        <v/>
      </c>
      <c r="BI65" s="440" t="b">
        <f t="shared" ca="1" si="7"/>
        <v>0</v>
      </c>
      <c r="BJ65" s="439" t="e">
        <f ca="1">IF(AND(NOT(ISBLANK(jumpoverwrite13)),AND(NOT(BI65),AND(BI$4:BI64))),($J65*$G65-LN(1+jumpoverwrite13*BK$2))/$G65,_xll.qlInterpolationInterpolate(BI$3,$F65,TRUE))</f>
        <v>#NAME?</v>
      </c>
      <c r="BK65" s="439" t="str">
        <f ca="1">IF(AND(NOT(BI65),AND(BI$4:BI64)),MIN(EXP((BJ65-$J65)*$G65),1),"")</f>
        <v/>
      </c>
    </row>
    <row r="66" spans="1:63" x14ac:dyDescent="0.2">
      <c r="A66" s="438" t="e">
        <f ca="1"/>
        <v>#NAME?</v>
      </c>
      <c r="B66" s="437" t="e">
        <f ca="1">_xll.qlRateHelperRate($A66,InterestRatesTrigger)</f>
        <v>#NAME?</v>
      </c>
      <c r="C66" s="436" t="e">
        <f ca="1">_xll.qlRateHelperEarliestDate($A66)</f>
        <v>#NAME?</v>
      </c>
      <c r="D66" s="435" t="e">
        <f ca="1">_xll.qlRateHelperPillarDate($A66)</f>
        <v>#NAME?</v>
      </c>
      <c r="F66" s="445" t="e">
        <f t="shared" ca="1" si="5"/>
        <v>#N/A</v>
      </c>
      <c r="G66" s="444" t="e">
        <f ca="1">_xll.qlDayCounterYearFraction(DayCounter,D65,D66)</f>
        <v>#NAME?</v>
      </c>
      <c r="I66" s="443" t="b">
        <f t="shared" ca="1" si="6"/>
        <v>0</v>
      </c>
      <c r="J66" s="442" t="e">
        <f ca="1"/>
        <v>#NAME?</v>
      </c>
      <c r="K66" s="441" t="e">
        <f t="shared" ca="1" si="4"/>
        <v>#NAME?</v>
      </c>
      <c r="L66" s="429"/>
      <c r="M66" s="440" t="b">
        <f ca="1">IF(AND(NOT(I66),AND(I$4:I65)),TRUE,I66)</f>
        <v>0</v>
      </c>
      <c r="N66" s="439" t="e">
        <f ca="1">IF(AND(NOT(ISBLANK(Jumpoverwrite1)),AND(NOT(M66),AND(M$4:M65))),($J66*$G66-LN(1+Jumpoverwrite1*O$2))/$G66,_xll.qlInterpolationInterpolate(M$3,$F66,TRUE))</f>
        <v>#NAME?</v>
      </c>
      <c r="O66" s="439" t="str">
        <f ca="1">IF(AND(NOT(M66),AND(M$4:M65)),MIN(EXP((N66-$J66)*$G66),1),"")</f>
        <v/>
      </c>
      <c r="P66" s="428"/>
      <c r="Q66" s="440" t="b">
        <f ca="1">IF(AND(NOT(M66),AND(M$4:M65)),TRUE,M66)</f>
        <v>0</v>
      </c>
      <c r="R66" s="439" t="e">
        <f ca="1">IF(AND(NOT(ISBLANK(Jumpoverwrite2)),AND(NOT(Q66),AND(Q$4:Q65))),($J66*$G66-LN(1+Jumpoverwrite2*S$2))/$G66,_xll.qlInterpolationInterpolate(Q$3,$F66,TRUE))</f>
        <v>#NAME?</v>
      </c>
      <c r="S66" s="439" t="str">
        <f ca="1">IF(AND(NOT(Q66),AND(Q$4:Q65)),MIN(EXP((R66-$J66)*$G66),1),"")</f>
        <v/>
      </c>
      <c r="T66" s="428"/>
      <c r="U66" s="440" t="b">
        <f ca="1">IF(AND(NOT(Q66),AND(Q$4:Q65)),TRUE,Q66)</f>
        <v>0</v>
      </c>
      <c r="V66" s="439" t="e">
        <f ca="1">IF(AND(NOT(ISBLANK(Jumpoverwrite3)),AND(NOT(U66),AND(U$4:U65))),($J66*$G66-LN(1+Jumpoverwrite3*W$2))/$G66,_xll.qlInterpolationInterpolate(U$3,$F66,TRUE))</f>
        <v>#NAME?</v>
      </c>
      <c r="W66" s="439" t="str">
        <f ca="1">IF(AND(NOT(U66),AND(U$4:U65)),MIN(EXP((V66-$J66)*$G66),1),"")</f>
        <v/>
      </c>
      <c r="X66" s="428"/>
      <c r="Y66" s="440" t="b">
        <f ca="1">IF(AND(NOT(U66),AND(U$4:U65)),TRUE,U66)</f>
        <v>0</v>
      </c>
      <c r="Z66" s="439" t="e">
        <f ca="1">IF(AND(NOT(ISBLANK(Jumpoverwrite4)),AND(NOT(Y66),AND(Y$4:Y65))),($J66*$G66-LN(1+Jumpoverwrite4*AA$2))/$G66,_xll.qlInterpolationInterpolate(Y$3,$F66,TRUE))</f>
        <v>#NAME?</v>
      </c>
      <c r="AA66" s="439" t="str">
        <f ca="1">IF(AND(NOT(Y66),AND(Y$4:Y65)),MIN(EXP((Z66-$J66)*$G66),1),"")</f>
        <v/>
      </c>
      <c r="AB66" s="428"/>
      <c r="AC66" s="440" t="b">
        <f ca="1">IF(AND(NOT(Y66),AND(Y$4:Y65)),TRUE,Y66)</f>
        <v>0</v>
      </c>
      <c r="AD66" s="439" t="e">
        <f ca="1">IF(AND(NOT(ISBLANK(Jumpoverwrite5)),AND(NOT(AC66),AND(AC$4:AC65))),($J66*$G66-LN(1+Jumpoverwrite5*AE$2))/$G66,_xll.qlInterpolationInterpolate(AC$3,$F66,TRUE))</f>
        <v>#NAME?</v>
      </c>
      <c r="AE66" s="439" t="str">
        <f ca="1">IF(AND(NOT(AC66),AND(AC$4:AC65)),MIN(EXP((AD66-$J66)*$G66),1),"")</f>
        <v/>
      </c>
      <c r="AF66" s="428"/>
      <c r="AG66" s="440" t="b">
        <f ca="1">IF(AND(NOT(AC66),AND(AC$4:AC65)),TRUE,AC66)</f>
        <v>0</v>
      </c>
      <c r="AH66" s="439" t="e">
        <f ca="1">IF(AND(NOT(ISBLANK(Jumpoverwrite6)),AND(NOT(AG66),AND(AG$4:AG65))),($J66*$G66-LN(1+Jumpoverwrite6*AI$2))/$G66,_xll.qlInterpolationInterpolate(AG$3,$F66,TRUE))</f>
        <v>#NAME?</v>
      </c>
      <c r="AI66" s="439" t="str">
        <f ca="1">IF(AND(NOT(AG66),AND(AG$4:AG65)),MIN(EXP((AH66-$J66)*$G66),1),"")</f>
        <v/>
      </c>
      <c r="AJ66" s="428"/>
      <c r="AK66" s="440" t="b">
        <f ca="1">IF(AND(NOT(AG66),AND(AG$4:AG65)),TRUE,AG66)</f>
        <v>0</v>
      </c>
      <c r="AL66" s="439" t="e">
        <f ca="1">IF(AND(NOT(ISBLANK(Jumpoverwrite7)),AND(NOT(AK66),AND(AK$4:AK65))),($J66*$G66-LN(1+Jumpoverwrite7*AM$2))/$G66,_xll.qlInterpolationInterpolate(AK$3,$F66,TRUE))</f>
        <v>#NAME?</v>
      </c>
      <c r="AM66" s="439" t="str">
        <f ca="1">IF(AND(NOT(AK66),AND(AK$4:AK65)),MIN(EXP((AL66-$J66)*$G66),1),"")</f>
        <v/>
      </c>
      <c r="AO66" s="440" t="b">
        <f ca="1">IF(AND(NOT(AK66),AND(AK$4:AK65)),TRUE,AK66)</f>
        <v>0</v>
      </c>
      <c r="AP66" s="439" t="e">
        <f ca="1">IF(AND(NOT(ISBLANK(Jumpoverwrite8)),AND(NOT(AO66),AND(AO$4:AO65))),($J66*$G66-LN(1+Jumpoverwrite8*AQ$2))/$G66,_xll.qlInterpolationInterpolate(AO$3,$F66,TRUE))</f>
        <v>#NAME?</v>
      </c>
      <c r="AQ66" s="439" t="str">
        <f ca="1">IF(AND(NOT(AO66),AND(AO$4:AO65)),MIN(EXP((AP66-$J66)*$G66),1),"")</f>
        <v/>
      </c>
      <c r="AS66" s="440" t="b">
        <f ca="1">IF(AND(NOT(AO66),AND(AO$4:AO65)),TRUE,AO66)</f>
        <v>0</v>
      </c>
      <c r="AT66" s="439" t="e">
        <f ca="1">IF(AND(NOT(ISBLANK(Jumpoverwrite9)),AND(NOT(AS66),AND(AS$4:AS65))),($J66*$G66-LN(1+Jumpoverwrite9*AU$2))/$G66,_xll.qlInterpolationInterpolate(AS$3,$F66,TRUE))</f>
        <v>#NAME?</v>
      </c>
      <c r="AU66" s="439" t="str">
        <f ca="1">IF(AND(NOT(AS66),AND(AS$4:AS65)),MIN(EXP((AT66-$J66)*$G66),1),"")</f>
        <v/>
      </c>
      <c r="AW66" s="440" t="b">
        <f ca="1">IF(AND(NOT(AS66),AND(AS$4:AS65)),TRUE,AS66)</f>
        <v>0</v>
      </c>
      <c r="AX66" s="439" t="e">
        <f ca="1">IF(AND(NOT(ISBLANK(Jumpoverwrite10)),AND(NOT(AW66),AND(AW$4:AW65))),($J66*$G66-LN(1+Jumpoverwrite10*AY$2))/$G66,_xll.qlInterpolationInterpolate(AW$3,$F66,TRUE))</f>
        <v>#NAME?</v>
      </c>
      <c r="AY66" s="439" t="str">
        <f ca="1">IF(AND(NOT(AW66),AND(AW$4:AW65)),MIN(EXP((AX66-$J66)*$G66),1),"")</f>
        <v/>
      </c>
      <c r="BA66" s="440" t="b">
        <f ca="1">IF(AND(NOT(AW66),AND(AW$4:AW65)),TRUE,AW66)</f>
        <v>0</v>
      </c>
      <c r="BB66" s="439" t="e">
        <f ca="1">IF(AND(NOT(ISBLANK(Jumpoverwrite11)),AND(NOT(BA66),AND(BA$4:BA65))),($J66*$G66-LN(1+Jumpoverwrite11*BC$2))/$G66,_xll.qlInterpolationInterpolate(BA$3,$F66,TRUE))</f>
        <v>#NAME?</v>
      </c>
      <c r="BC66" s="439" t="str">
        <f ca="1">IF(AND(NOT(BA66),AND(BA$4:BA65)),MIN(EXP((BB66-$J66)*$G66),1),"")</f>
        <v/>
      </c>
      <c r="BE66" s="440" t="b">
        <f ca="1">IF(AND(NOT(BA66),AND(BA$4:BA65)),TRUE,BA66)</f>
        <v>0</v>
      </c>
      <c r="BF66" s="439" t="e">
        <f ca="1">IF(AND(NOT(ISBLANK(Jumpoverwrite12)),AND(NOT(BE66),AND(BE$4:BE65))),($J66*$G66-LN(1+Jumpoverwrite12*BG$2))/$G66,_xll.qlInterpolationInterpolate(BE$3,$F66,TRUE))</f>
        <v>#NAME?</v>
      </c>
      <c r="BG66" s="439" t="str">
        <f ca="1">IF(AND(NOT(BE66),AND(BE$4:BE65)),MIN(EXP((BF66-$J66)*$G66),1),"")</f>
        <v/>
      </c>
      <c r="BI66" s="440" t="b">
        <f t="shared" ca="1" si="7"/>
        <v>0</v>
      </c>
      <c r="BJ66" s="439" t="e">
        <f ca="1">IF(AND(NOT(ISBLANK(jumpoverwrite13)),AND(NOT(BI66),AND(BI$4:BI65))),($J66*$G66-LN(1+jumpoverwrite13*BK$2))/$G66,_xll.qlInterpolationInterpolate(BI$3,$F66,TRUE))</f>
        <v>#NAME?</v>
      </c>
      <c r="BK66" s="439" t="str">
        <f ca="1">IF(AND(NOT(BI66),AND(BI$4:BI65)),MIN(EXP((BJ66-$J66)*$G66),1),"")</f>
        <v/>
      </c>
    </row>
    <row r="67" spans="1:63" x14ac:dyDescent="0.2">
      <c r="A67" s="438" t="e">
        <f ca="1"/>
        <v>#NAME?</v>
      </c>
      <c r="B67" s="437" t="e">
        <f ca="1">_xll.qlRateHelperRate($A67,InterestRatesTrigger)</f>
        <v>#NAME?</v>
      </c>
      <c r="C67" s="436" t="e">
        <f ca="1">_xll.qlRateHelperEarliestDate($A67)</f>
        <v>#NAME?</v>
      </c>
      <c r="D67" s="435" t="e">
        <f ca="1">_xll.qlRateHelperPillarDate($A67)</f>
        <v>#NAME?</v>
      </c>
      <c r="F67" s="445" t="e">
        <f t="shared" ca="1" si="5"/>
        <v>#N/A</v>
      </c>
      <c r="G67" s="444" t="e">
        <f ca="1">_xll.qlDayCounterYearFraction(DayCounter,D66,D67)</f>
        <v>#NAME?</v>
      </c>
      <c r="I67" s="443" t="b">
        <f t="shared" ca="1" si="6"/>
        <v>0</v>
      </c>
      <c r="J67" s="442" t="e">
        <f ca="1"/>
        <v>#NAME?</v>
      </c>
      <c r="K67" s="441" t="e">
        <f t="shared" ca="1" si="4"/>
        <v>#NAME?</v>
      </c>
      <c r="L67" s="429"/>
      <c r="M67" s="440" t="b">
        <f ca="1">IF(AND(NOT(I67),AND(I$4:I66)),TRUE,I67)</f>
        <v>0</v>
      </c>
      <c r="N67" s="439" t="e">
        <f ca="1">IF(AND(NOT(ISBLANK(Jumpoverwrite1)),AND(NOT(M67),AND(M$4:M66))),($J67*$G67-LN(1+Jumpoverwrite1*O$2))/$G67,_xll.qlInterpolationInterpolate(M$3,$F67,TRUE))</f>
        <v>#NAME?</v>
      </c>
      <c r="O67" s="439" t="str">
        <f ca="1">IF(AND(NOT(M67),AND(M$4:M66)),MIN(EXP((N67-$J67)*$G67),1),"")</f>
        <v/>
      </c>
      <c r="P67" s="428"/>
      <c r="Q67" s="440" t="b">
        <f ca="1">IF(AND(NOT(M67),AND(M$4:M66)),TRUE,M67)</f>
        <v>0</v>
      </c>
      <c r="R67" s="439" t="e">
        <f ca="1">IF(AND(NOT(ISBLANK(Jumpoverwrite2)),AND(NOT(Q67),AND(Q$4:Q66))),($J67*$G67-LN(1+Jumpoverwrite2*S$2))/$G67,_xll.qlInterpolationInterpolate(Q$3,$F67,TRUE))</f>
        <v>#NAME?</v>
      </c>
      <c r="S67" s="439" t="str">
        <f ca="1">IF(AND(NOT(Q67),AND(Q$4:Q66)),MIN(EXP((R67-$J67)*$G67),1),"")</f>
        <v/>
      </c>
      <c r="T67" s="428"/>
      <c r="U67" s="440" t="b">
        <f ca="1">IF(AND(NOT(Q67),AND(Q$4:Q66)),TRUE,Q67)</f>
        <v>0</v>
      </c>
      <c r="V67" s="439" t="e">
        <f ca="1">IF(AND(NOT(ISBLANK(Jumpoverwrite3)),AND(NOT(U67),AND(U$4:U66))),($J67*$G67-LN(1+Jumpoverwrite3*W$2))/$G67,_xll.qlInterpolationInterpolate(U$3,$F67,TRUE))</f>
        <v>#NAME?</v>
      </c>
      <c r="W67" s="439" t="str">
        <f ca="1">IF(AND(NOT(U67),AND(U$4:U66)),MIN(EXP((V67-$J67)*$G67),1),"")</f>
        <v/>
      </c>
      <c r="X67" s="428"/>
      <c r="Y67" s="440" t="b">
        <f ca="1">IF(AND(NOT(U67),AND(U$4:U66)),TRUE,U67)</f>
        <v>0</v>
      </c>
      <c r="Z67" s="439" t="e">
        <f ca="1">IF(AND(NOT(ISBLANK(Jumpoverwrite4)),AND(NOT(Y67),AND(Y$4:Y66))),($J67*$G67-LN(1+Jumpoverwrite4*AA$2))/$G67,_xll.qlInterpolationInterpolate(Y$3,$F67,TRUE))</f>
        <v>#NAME?</v>
      </c>
      <c r="AA67" s="439" t="str">
        <f ca="1">IF(AND(NOT(Y67),AND(Y$4:Y66)),MIN(EXP((Z67-$J67)*$G67),1),"")</f>
        <v/>
      </c>
      <c r="AB67" s="428"/>
      <c r="AC67" s="440" t="b">
        <f ca="1">IF(AND(NOT(Y67),AND(Y$4:Y66)),TRUE,Y67)</f>
        <v>0</v>
      </c>
      <c r="AD67" s="439" t="e">
        <f ca="1">IF(AND(NOT(ISBLANK(Jumpoverwrite5)),AND(NOT(AC67),AND(AC$4:AC66))),($J67*$G67-LN(1+Jumpoverwrite5*AE$2))/$G67,_xll.qlInterpolationInterpolate(AC$3,$F67,TRUE))</f>
        <v>#NAME?</v>
      </c>
      <c r="AE67" s="439" t="str">
        <f ca="1">IF(AND(NOT(AC67),AND(AC$4:AC66)),MIN(EXP((AD67-$J67)*$G67),1),"")</f>
        <v/>
      </c>
      <c r="AF67" s="428"/>
      <c r="AG67" s="440" t="b">
        <f ca="1">IF(AND(NOT(AC67),AND(AC$4:AC66)),TRUE,AC67)</f>
        <v>0</v>
      </c>
      <c r="AH67" s="439" t="e">
        <f ca="1">IF(AND(NOT(ISBLANK(Jumpoverwrite6)),AND(NOT(AG67),AND(AG$4:AG66))),($J67*$G67-LN(1+Jumpoverwrite6*AI$2))/$G67,_xll.qlInterpolationInterpolate(AG$3,$F67,TRUE))</f>
        <v>#NAME?</v>
      </c>
      <c r="AI67" s="439" t="str">
        <f ca="1">IF(AND(NOT(AG67),AND(AG$4:AG66)),MIN(EXP((AH67-$J67)*$G67),1),"")</f>
        <v/>
      </c>
      <c r="AJ67" s="428"/>
      <c r="AK67" s="440" t="b">
        <f ca="1">IF(AND(NOT(AG67),AND(AG$4:AG66)),TRUE,AG67)</f>
        <v>0</v>
      </c>
      <c r="AL67" s="439" t="e">
        <f ca="1">IF(AND(NOT(ISBLANK(Jumpoverwrite7)),AND(NOT(AK67),AND(AK$4:AK66))),($J67*$G67-LN(1+Jumpoverwrite7*AM$2))/$G67,_xll.qlInterpolationInterpolate(AK$3,$F67,TRUE))</f>
        <v>#NAME?</v>
      </c>
      <c r="AM67" s="439" t="str">
        <f ca="1">IF(AND(NOT(AK67),AND(AK$4:AK66)),MIN(EXP((AL67-$J67)*$G67),1),"")</f>
        <v/>
      </c>
      <c r="AO67" s="440" t="b">
        <f ca="1">IF(AND(NOT(AK67),AND(AK$4:AK66)),TRUE,AK67)</f>
        <v>0</v>
      </c>
      <c r="AP67" s="439" t="e">
        <f ca="1">IF(AND(NOT(ISBLANK(Jumpoverwrite8)),AND(NOT(AO67),AND(AO$4:AO66))),($J67*$G67-LN(1+Jumpoverwrite8*AQ$2))/$G67,_xll.qlInterpolationInterpolate(AO$3,$F67,TRUE))</f>
        <v>#NAME?</v>
      </c>
      <c r="AQ67" s="439" t="str">
        <f ca="1">IF(AND(NOT(AO67),AND(AO$4:AO66)),MIN(EXP((AP67-$J67)*$G67),1),"")</f>
        <v/>
      </c>
      <c r="AS67" s="440" t="b">
        <f ca="1">IF(AND(NOT(AO67),AND(AO$4:AO66)),TRUE,AO67)</f>
        <v>0</v>
      </c>
      <c r="AT67" s="439" t="e">
        <f ca="1">IF(AND(NOT(ISBLANK(Jumpoverwrite9)),AND(NOT(AS67),AND(AS$4:AS66))),($J67*$G67-LN(1+Jumpoverwrite9*AU$2))/$G67,_xll.qlInterpolationInterpolate(AS$3,$F67,TRUE))</f>
        <v>#NAME?</v>
      </c>
      <c r="AU67" s="439" t="str">
        <f ca="1">IF(AND(NOT(AS67),AND(AS$4:AS66)),MIN(EXP((AT67-$J67)*$G67),1),"")</f>
        <v/>
      </c>
      <c r="AW67" s="440" t="b">
        <f ca="1">IF(AND(NOT(AS67),AND(AS$4:AS66)),TRUE,AS67)</f>
        <v>0</v>
      </c>
      <c r="AX67" s="439" t="e">
        <f ca="1">IF(AND(NOT(ISBLANK(Jumpoverwrite10)),AND(NOT(AW67),AND(AW$4:AW66))),($J67*$G67-LN(1+Jumpoverwrite10*AY$2))/$G67,_xll.qlInterpolationInterpolate(AW$3,$F67,TRUE))</f>
        <v>#NAME?</v>
      </c>
      <c r="AY67" s="439" t="str">
        <f ca="1">IF(AND(NOT(AW67),AND(AW$4:AW66)),MIN(EXP((AX67-$J67)*$G67),1),"")</f>
        <v/>
      </c>
      <c r="BA67" s="440" t="b">
        <f ca="1">IF(AND(NOT(AW67),AND(AW$4:AW66)),TRUE,AW67)</f>
        <v>0</v>
      </c>
      <c r="BB67" s="439" t="e">
        <f ca="1">IF(AND(NOT(ISBLANK(Jumpoverwrite11)),AND(NOT(BA67),AND(BA$4:BA66))),($J67*$G67-LN(1+Jumpoverwrite11*BC$2))/$G67,_xll.qlInterpolationInterpolate(BA$3,$F67,TRUE))</f>
        <v>#NAME?</v>
      </c>
      <c r="BC67" s="439" t="str">
        <f ca="1">IF(AND(NOT(BA67),AND(BA$4:BA66)),MIN(EXP((BB67-$J67)*$G67),1),"")</f>
        <v/>
      </c>
      <c r="BE67" s="440" t="b">
        <f ca="1">IF(AND(NOT(BA67),AND(BA$4:BA66)),TRUE,BA67)</f>
        <v>0</v>
      </c>
      <c r="BF67" s="439" t="e">
        <f ca="1">IF(AND(NOT(ISBLANK(Jumpoverwrite12)),AND(NOT(BE67),AND(BE$4:BE66))),($J67*$G67-LN(1+Jumpoverwrite12*BG$2))/$G67,_xll.qlInterpolationInterpolate(BE$3,$F67,TRUE))</f>
        <v>#NAME?</v>
      </c>
      <c r="BG67" s="439" t="str">
        <f ca="1">IF(AND(NOT(BE67),AND(BE$4:BE66)),MIN(EXP((BF67-$J67)*$G67),1),"")</f>
        <v/>
      </c>
      <c r="BI67" s="440" t="b">
        <f t="shared" ca="1" si="7"/>
        <v>0</v>
      </c>
      <c r="BJ67" s="439" t="e">
        <f ca="1">IF(AND(NOT(ISBLANK(jumpoverwrite13)),AND(NOT(BI67),AND(BI$4:BI66))),($J67*$G67-LN(1+jumpoverwrite13*BK$2))/$G67,_xll.qlInterpolationInterpolate(BI$3,$F67,TRUE))</f>
        <v>#NAME?</v>
      </c>
      <c r="BK67" s="439" t="str">
        <f ca="1">IF(AND(NOT(BI67),AND(BI$4:BI66)),MIN(EXP((BJ67-$J67)*$G67),1),"")</f>
        <v/>
      </c>
    </row>
    <row r="68" spans="1:63" x14ac:dyDescent="0.2">
      <c r="A68" s="438" t="e">
        <f ca="1"/>
        <v>#NAME?</v>
      </c>
      <c r="B68" s="437" t="e">
        <f ca="1">_xll.qlRateHelperRate($A68,InterestRatesTrigger)</f>
        <v>#NAME?</v>
      </c>
      <c r="C68" s="436" t="e">
        <f ca="1">_xll.qlRateHelperEarliestDate($A68)</f>
        <v>#NAME?</v>
      </c>
      <c r="D68" s="435" t="e">
        <f ca="1">_xll.qlRateHelperPillarDate($A68)</f>
        <v>#NAME?</v>
      </c>
      <c r="F68" s="445" t="e">
        <f t="shared" ca="1" si="5"/>
        <v>#N/A</v>
      </c>
      <c r="G68" s="444" t="e">
        <f ca="1">_xll.qlDayCounterYearFraction(DayCounter,D67,D68)</f>
        <v>#NAME?</v>
      </c>
      <c r="I68" s="443" t="b">
        <f t="shared" ca="1" si="6"/>
        <v>0</v>
      </c>
      <c r="J68" s="442" t="e">
        <f ca="1"/>
        <v>#NAME?</v>
      </c>
      <c r="K68" s="441" t="e">
        <f t="shared" ref="K68:K99" ca="1" si="8">D68</f>
        <v>#NAME?</v>
      </c>
      <c r="L68" s="429"/>
      <c r="M68" s="440" t="b">
        <f ca="1">IF(AND(NOT(I68),AND(I$4:I67)),TRUE,I68)</f>
        <v>0</v>
      </c>
      <c r="N68" s="439" t="e">
        <f ca="1">IF(AND(NOT(ISBLANK(Jumpoverwrite1)),AND(NOT(M68),AND(M$4:M67))),($J68*$G68-LN(1+Jumpoverwrite1*O$2))/$G68,_xll.qlInterpolationInterpolate(M$3,$F68,TRUE))</f>
        <v>#NAME?</v>
      </c>
      <c r="O68" s="439" t="str">
        <f ca="1">IF(AND(NOT(M68),AND(M$4:M67)),MIN(EXP((N68-$J68)*$G68),1),"")</f>
        <v/>
      </c>
      <c r="P68" s="428"/>
      <c r="Q68" s="440" t="b">
        <f ca="1">IF(AND(NOT(M68),AND(M$4:M67)),TRUE,M68)</f>
        <v>0</v>
      </c>
      <c r="R68" s="439" t="e">
        <f ca="1">IF(AND(NOT(ISBLANK(Jumpoverwrite2)),AND(NOT(Q68),AND(Q$4:Q67))),($J68*$G68-LN(1+Jumpoverwrite2*S$2))/$G68,_xll.qlInterpolationInterpolate(Q$3,$F68,TRUE))</f>
        <v>#NAME?</v>
      </c>
      <c r="S68" s="439" t="str">
        <f ca="1">IF(AND(NOT(Q68),AND(Q$4:Q67)),MIN(EXP((R68-$J68)*$G68),1),"")</f>
        <v/>
      </c>
      <c r="T68" s="428"/>
      <c r="U68" s="440" t="b">
        <f ca="1">IF(AND(NOT(Q68),AND(Q$4:Q67)),TRUE,Q68)</f>
        <v>0</v>
      </c>
      <c r="V68" s="439" t="e">
        <f ca="1">IF(AND(NOT(ISBLANK(Jumpoverwrite3)),AND(NOT(U68),AND(U$4:U67))),($J68*$G68-LN(1+Jumpoverwrite3*W$2))/$G68,_xll.qlInterpolationInterpolate(U$3,$F68,TRUE))</f>
        <v>#NAME?</v>
      </c>
      <c r="W68" s="439" t="str">
        <f ca="1">IF(AND(NOT(U68),AND(U$4:U67)),MIN(EXP((V68-$J68)*$G68),1),"")</f>
        <v/>
      </c>
      <c r="X68" s="428"/>
      <c r="Y68" s="440" t="b">
        <f ca="1">IF(AND(NOT(U68),AND(U$4:U67)),TRUE,U68)</f>
        <v>0</v>
      </c>
      <c r="Z68" s="439" t="e">
        <f ca="1">IF(AND(NOT(ISBLANK(Jumpoverwrite4)),AND(NOT(Y68),AND(Y$4:Y67))),($J68*$G68-LN(1+Jumpoverwrite4*AA$2))/$G68,_xll.qlInterpolationInterpolate(Y$3,$F68,TRUE))</f>
        <v>#NAME?</v>
      </c>
      <c r="AA68" s="439" t="str">
        <f ca="1">IF(AND(NOT(Y68),AND(Y$4:Y67)),MIN(EXP((Z68-$J68)*$G68),1),"")</f>
        <v/>
      </c>
      <c r="AB68" s="428"/>
      <c r="AC68" s="440" t="b">
        <f ca="1">IF(AND(NOT(Y68),AND(Y$4:Y67)),TRUE,Y68)</f>
        <v>0</v>
      </c>
      <c r="AD68" s="439" t="e">
        <f ca="1">IF(AND(NOT(ISBLANK(Jumpoverwrite5)),AND(NOT(AC68),AND(AC$4:AC67))),($J68*$G68-LN(1+Jumpoverwrite5*AE$2))/$G68,_xll.qlInterpolationInterpolate(AC$3,$F68,TRUE))</f>
        <v>#NAME?</v>
      </c>
      <c r="AE68" s="439" t="str">
        <f ca="1">IF(AND(NOT(AC68),AND(AC$4:AC67)),MIN(EXP((AD68-$J68)*$G68),1),"")</f>
        <v/>
      </c>
      <c r="AF68" s="428"/>
      <c r="AG68" s="440" t="b">
        <f ca="1">IF(AND(NOT(AC68),AND(AC$4:AC67)),TRUE,AC68)</f>
        <v>0</v>
      </c>
      <c r="AH68" s="439" t="e">
        <f ca="1">IF(AND(NOT(ISBLANK(Jumpoverwrite6)),AND(NOT(AG68),AND(AG$4:AG67))),($J68*$G68-LN(1+Jumpoverwrite6*AI$2))/$G68,_xll.qlInterpolationInterpolate(AG$3,$F68,TRUE))</f>
        <v>#NAME?</v>
      </c>
      <c r="AI68" s="439" t="str">
        <f ca="1">IF(AND(NOT(AG68),AND(AG$4:AG67)),MIN(EXP((AH68-$J68)*$G68),1),"")</f>
        <v/>
      </c>
      <c r="AJ68" s="428"/>
      <c r="AK68" s="440" t="b">
        <f ca="1">IF(AND(NOT(AG68),AND(AG$4:AG67)),TRUE,AG68)</f>
        <v>0</v>
      </c>
      <c r="AL68" s="439" t="e">
        <f ca="1">IF(AND(NOT(ISBLANK(Jumpoverwrite7)),AND(NOT(AK68),AND(AK$4:AK67))),($J68*$G68-LN(1+Jumpoverwrite7*AM$2))/$G68,_xll.qlInterpolationInterpolate(AK$3,$F68,TRUE))</f>
        <v>#NAME?</v>
      </c>
      <c r="AM68" s="439" t="str">
        <f ca="1">IF(AND(NOT(AK68),AND(AK$4:AK67)),MIN(EXP((AL68-$J68)*$G68),1),"")</f>
        <v/>
      </c>
      <c r="AO68" s="440" t="b">
        <f ca="1">IF(AND(NOT(AK68),AND(AK$4:AK67)),TRUE,AK68)</f>
        <v>0</v>
      </c>
      <c r="AP68" s="439" t="e">
        <f ca="1">IF(AND(NOT(ISBLANK(Jumpoverwrite8)),AND(NOT(AO68),AND(AO$4:AO67))),($J68*$G68-LN(1+Jumpoverwrite8*AQ$2))/$G68,_xll.qlInterpolationInterpolate(AO$3,$F68,TRUE))</f>
        <v>#NAME?</v>
      </c>
      <c r="AQ68" s="439" t="str">
        <f ca="1">IF(AND(NOT(AO68),AND(AO$4:AO67)),MIN(EXP((AP68-$J68)*$G68),1),"")</f>
        <v/>
      </c>
      <c r="AS68" s="440" t="b">
        <f ca="1">IF(AND(NOT(AO68),AND(AO$4:AO67)),TRUE,AO68)</f>
        <v>0</v>
      </c>
      <c r="AT68" s="439" t="e">
        <f ca="1">IF(AND(NOT(ISBLANK(Jumpoverwrite9)),AND(NOT(AS68),AND(AS$4:AS67))),($J68*$G68-LN(1+Jumpoverwrite9*AU$2))/$G68,_xll.qlInterpolationInterpolate(AS$3,$F68,TRUE))</f>
        <v>#NAME?</v>
      </c>
      <c r="AU68" s="439" t="str">
        <f ca="1">IF(AND(NOT(AS68),AND(AS$4:AS67)),MIN(EXP((AT68-$J68)*$G68),1),"")</f>
        <v/>
      </c>
      <c r="AW68" s="440" t="b">
        <f ca="1">IF(AND(NOT(AS68),AND(AS$4:AS67)),TRUE,AS68)</f>
        <v>0</v>
      </c>
      <c r="AX68" s="439" t="e">
        <f ca="1">IF(AND(NOT(ISBLANK(Jumpoverwrite10)),AND(NOT(AW68),AND(AW$4:AW67))),($J68*$G68-LN(1+Jumpoverwrite10*AY$2))/$G68,_xll.qlInterpolationInterpolate(AW$3,$F68,TRUE))</f>
        <v>#NAME?</v>
      </c>
      <c r="AY68" s="439" t="str">
        <f ca="1">IF(AND(NOT(AW68),AND(AW$4:AW67)),MIN(EXP((AX68-$J68)*$G68),1),"")</f>
        <v/>
      </c>
      <c r="BA68" s="440" t="b">
        <f ca="1">IF(AND(NOT(AW68),AND(AW$4:AW67)),TRUE,AW68)</f>
        <v>0</v>
      </c>
      <c r="BB68" s="439" t="e">
        <f ca="1">IF(AND(NOT(ISBLANK(Jumpoverwrite11)),AND(NOT(BA68),AND(BA$4:BA67))),($J68*$G68-LN(1+Jumpoverwrite11*BC$2))/$G68,_xll.qlInterpolationInterpolate(BA$3,$F68,TRUE))</f>
        <v>#NAME?</v>
      </c>
      <c r="BC68" s="439" t="str">
        <f ca="1">IF(AND(NOT(BA68),AND(BA$4:BA67)),MIN(EXP((BB68-$J68)*$G68),1),"")</f>
        <v/>
      </c>
      <c r="BE68" s="440" t="b">
        <f ca="1">IF(AND(NOT(BA68),AND(BA$4:BA67)),TRUE,BA68)</f>
        <v>0</v>
      </c>
      <c r="BF68" s="439" t="e">
        <f ca="1">IF(AND(NOT(ISBLANK(Jumpoverwrite12)),AND(NOT(BE68),AND(BE$4:BE67))),($J68*$G68-LN(1+Jumpoverwrite12*BG$2))/$G68,_xll.qlInterpolationInterpolate(BE$3,$F68,TRUE))</f>
        <v>#NAME?</v>
      </c>
      <c r="BG68" s="439" t="str">
        <f ca="1">IF(AND(NOT(BE68),AND(BE$4:BE67)),MIN(EXP((BF68-$J68)*$G68),1),"")</f>
        <v/>
      </c>
      <c r="BI68" s="440" t="b">
        <f t="shared" ca="1" si="7"/>
        <v>0</v>
      </c>
      <c r="BJ68" s="439" t="e">
        <f ca="1">IF(AND(NOT(ISBLANK(jumpoverwrite13)),AND(NOT(BI68),AND(BI$4:BI67))),($J68*$G68-LN(1+jumpoverwrite13*BK$2))/$G68,_xll.qlInterpolationInterpolate(BI$3,$F68,TRUE))</f>
        <v>#NAME?</v>
      </c>
      <c r="BK68" s="439" t="str">
        <f ca="1">IF(AND(NOT(BI68),AND(BI$4:BI67)),MIN(EXP((BJ68-$J68)*$G68),1),"")</f>
        <v/>
      </c>
    </row>
    <row r="69" spans="1:63" x14ac:dyDescent="0.2">
      <c r="A69" s="438" t="e">
        <f ca="1"/>
        <v>#NAME?</v>
      </c>
      <c r="B69" s="437" t="e">
        <f ca="1">_xll.qlRateHelperRate($A69,InterestRatesTrigger)</f>
        <v>#NAME?</v>
      </c>
      <c r="C69" s="436" t="e">
        <f ca="1">_xll.qlRateHelperEarliestDate($A69)</f>
        <v>#NAME?</v>
      </c>
      <c r="D69" s="435" t="e">
        <f ca="1">_xll.qlRateHelperPillarDate($A69)</f>
        <v>#NAME?</v>
      </c>
      <c r="F69" s="445" t="e">
        <f t="shared" ref="F69:F100" ca="1" si="9">IF(ISERROR(D69),NA(),(D69-D68)/2+D68)</f>
        <v>#N/A</v>
      </c>
      <c r="G69" s="444" t="e">
        <f ca="1">_xll.qlDayCounterYearFraction(DayCounter,D68,D69)</f>
        <v>#NAME?</v>
      </c>
      <c r="I69" s="443" t="b">
        <f t="shared" ref="I69:I100" ca="1" si="10">IF(ISERROR(K69),FALSE,IF(OR(MONTH(K69)-MONTH(K68)=1,YEAR(K69)-YEAR(K68)=1),FALSE,TRUE))</f>
        <v>0</v>
      </c>
      <c r="J69" s="442" t="e">
        <f ca="1"/>
        <v>#NAME?</v>
      </c>
      <c r="K69" s="441" t="e">
        <f t="shared" ca="1" si="8"/>
        <v>#NAME?</v>
      </c>
      <c r="L69" s="429"/>
      <c r="M69" s="440" t="b">
        <f ca="1">IF(AND(NOT(I69),AND(I$4:I68)),TRUE,I69)</f>
        <v>0</v>
      </c>
      <c r="N69" s="439" t="e">
        <f ca="1">IF(AND(NOT(ISBLANK(Jumpoverwrite1)),AND(NOT(M69),AND(M$4:M68))),($J69*$G69-LN(1+Jumpoverwrite1*O$2))/$G69,_xll.qlInterpolationInterpolate(M$3,$F69,TRUE))</f>
        <v>#NAME?</v>
      </c>
      <c r="O69" s="439" t="str">
        <f ca="1">IF(AND(NOT(M69),AND(M$4:M68)),MIN(EXP((N69-$J69)*$G69),1),"")</f>
        <v/>
      </c>
      <c r="P69" s="428"/>
      <c r="Q69" s="440" t="b">
        <f ca="1">IF(AND(NOT(M69),AND(M$4:M68)),TRUE,M69)</f>
        <v>0</v>
      </c>
      <c r="R69" s="439" t="e">
        <f ca="1">IF(AND(NOT(ISBLANK(Jumpoverwrite2)),AND(NOT(Q69),AND(Q$4:Q68))),($J69*$G69-LN(1+Jumpoverwrite2*S$2))/$G69,_xll.qlInterpolationInterpolate(Q$3,$F69,TRUE))</f>
        <v>#NAME?</v>
      </c>
      <c r="S69" s="439" t="str">
        <f ca="1">IF(AND(NOT(Q69),AND(Q$4:Q68)),MIN(EXP((R69-$J69)*$G69),1),"")</f>
        <v/>
      </c>
      <c r="T69" s="428"/>
      <c r="U69" s="440" t="b">
        <f ca="1">IF(AND(NOT(Q69),AND(Q$4:Q68)),TRUE,Q69)</f>
        <v>0</v>
      </c>
      <c r="V69" s="439" t="e">
        <f ca="1">IF(AND(NOT(ISBLANK(Jumpoverwrite3)),AND(NOT(U69),AND(U$4:U68))),($J69*$G69-LN(1+Jumpoverwrite3*W$2))/$G69,_xll.qlInterpolationInterpolate(U$3,$F69,TRUE))</f>
        <v>#NAME?</v>
      </c>
      <c r="W69" s="439" t="str">
        <f ca="1">IF(AND(NOT(U69),AND(U$4:U68)),MIN(EXP((V69-$J69)*$G69),1),"")</f>
        <v/>
      </c>
      <c r="X69" s="428"/>
      <c r="Y69" s="440" t="b">
        <f ca="1">IF(AND(NOT(U69),AND(U$4:U68)),TRUE,U69)</f>
        <v>0</v>
      </c>
      <c r="Z69" s="439" t="e">
        <f ca="1">IF(AND(NOT(ISBLANK(Jumpoverwrite4)),AND(NOT(Y69),AND(Y$4:Y68))),($J69*$G69-LN(1+Jumpoverwrite4*AA$2))/$G69,_xll.qlInterpolationInterpolate(Y$3,$F69,TRUE))</f>
        <v>#NAME?</v>
      </c>
      <c r="AA69" s="439" t="str">
        <f ca="1">IF(AND(NOT(Y69),AND(Y$4:Y68)),MIN(EXP((Z69-$J69)*$G69),1),"")</f>
        <v/>
      </c>
      <c r="AB69" s="428"/>
      <c r="AC69" s="440" t="b">
        <f ca="1">IF(AND(NOT(Y69),AND(Y$4:Y68)),TRUE,Y69)</f>
        <v>0</v>
      </c>
      <c r="AD69" s="439" t="e">
        <f ca="1">IF(AND(NOT(ISBLANK(Jumpoverwrite5)),AND(NOT(AC69),AND(AC$4:AC68))),($J69*$G69-LN(1+Jumpoverwrite5*AE$2))/$G69,_xll.qlInterpolationInterpolate(AC$3,$F69,TRUE))</f>
        <v>#NAME?</v>
      </c>
      <c r="AE69" s="439" t="str">
        <f ca="1">IF(AND(NOT(AC69),AND(AC$4:AC68)),MIN(EXP((AD69-$J69)*$G69),1),"")</f>
        <v/>
      </c>
      <c r="AF69" s="428"/>
      <c r="AG69" s="440" t="b">
        <f ca="1">IF(AND(NOT(AC69),AND(AC$4:AC68)),TRUE,AC69)</f>
        <v>0</v>
      </c>
      <c r="AH69" s="439" t="e">
        <f ca="1">IF(AND(NOT(ISBLANK(Jumpoverwrite6)),AND(NOT(AG69),AND(AG$4:AG68))),($J69*$G69-LN(1+Jumpoverwrite6*AI$2))/$G69,_xll.qlInterpolationInterpolate(AG$3,$F69,TRUE))</f>
        <v>#NAME?</v>
      </c>
      <c r="AI69" s="439" t="str">
        <f ca="1">IF(AND(NOT(AG69),AND(AG$4:AG68)),MIN(EXP((AH69-$J69)*$G69),1),"")</f>
        <v/>
      </c>
      <c r="AJ69" s="428"/>
      <c r="AK69" s="440" t="b">
        <f ca="1">IF(AND(NOT(AG69),AND(AG$4:AG68)),TRUE,AG69)</f>
        <v>0</v>
      </c>
      <c r="AL69" s="439" t="e">
        <f ca="1">IF(AND(NOT(ISBLANK(Jumpoverwrite7)),AND(NOT(AK69),AND(AK$4:AK68))),($J69*$G69-LN(1+Jumpoverwrite7*AM$2))/$G69,_xll.qlInterpolationInterpolate(AK$3,$F69,TRUE))</f>
        <v>#NAME?</v>
      </c>
      <c r="AM69" s="439" t="str">
        <f ca="1">IF(AND(NOT(AK69),AND(AK$4:AK68)),MIN(EXP((AL69-$J69)*$G69),1),"")</f>
        <v/>
      </c>
      <c r="AO69" s="440" t="b">
        <f ca="1">IF(AND(NOT(AK69),AND(AK$4:AK68)),TRUE,AK69)</f>
        <v>0</v>
      </c>
      <c r="AP69" s="439" t="e">
        <f ca="1">IF(AND(NOT(ISBLANK(Jumpoverwrite8)),AND(NOT(AO69),AND(AO$4:AO68))),($J69*$G69-LN(1+Jumpoverwrite8*AQ$2))/$G69,_xll.qlInterpolationInterpolate(AO$3,$F69,TRUE))</f>
        <v>#NAME?</v>
      </c>
      <c r="AQ69" s="439" t="str">
        <f ca="1">IF(AND(NOT(AO69),AND(AO$4:AO68)),MIN(EXP((AP69-$J69)*$G69),1),"")</f>
        <v/>
      </c>
      <c r="AS69" s="440" t="b">
        <f ca="1">IF(AND(NOT(AO69),AND(AO$4:AO68)),TRUE,AO69)</f>
        <v>0</v>
      </c>
      <c r="AT69" s="439" t="e">
        <f ca="1">IF(AND(NOT(ISBLANK(Jumpoverwrite9)),AND(NOT(AS69),AND(AS$4:AS68))),($J69*$G69-LN(1+Jumpoverwrite9*AU$2))/$G69,_xll.qlInterpolationInterpolate(AS$3,$F69,TRUE))</f>
        <v>#NAME?</v>
      </c>
      <c r="AU69" s="439" t="str">
        <f ca="1">IF(AND(NOT(AS69),AND(AS$4:AS68)),MIN(EXP((AT69-$J69)*$G69),1),"")</f>
        <v/>
      </c>
      <c r="AW69" s="440" t="b">
        <f ca="1">IF(AND(NOT(AS69),AND(AS$4:AS68)),TRUE,AS69)</f>
        <v>0</v>
      </c>
      <c r="AX69" s="439" t="e">
        <f ca="1">IF(AND(NOT(ISBLANK(Jumpoverwrite10)),AND(NOT(AW69),AND(AW$4:AW68))),($J69*$G69-LN(1+Jumpoverwrite10*AY$2))/$G69,_xll.qlInterpolationInterpolate(AW$3,$F69,TRUE))</f>
        <v>#NAME?</v>
      </c>
      <c r="AY69" s="439" t="str">
        <f ca="1">IF(AND(NOT(AW69),AND(AW$4:AW68)),MIN(EXP((AX69-$J69)*$G69),1),"")</f>
        <v/>
      </c>
      <c r="BA69" s="440" t="b">
        <f ca="1">IF(AND(NOT(AW69),AND(AW$4:AW68)),TRUE,AW69)</f>
        <v>0</v>
      </c>
      <c r="BB69" s="439" t="e">
        <f ca="1">IF(AND(NOT(ISBLANK(Jumpoverwrite11)),AND(NOT(BA69),AND(BA$4:BA68))),($J69*$G69-LN(1+Jumpoverwrite11*BC$2))/$G69,_xll.qlInterpolationInterpolate(BA$3,$F69,TRUE))</f>
        <v>#NAME?</v>
      </c>
      <c r="BC69" s="439" t="str">
        <f ca="1">IF(AND(NOT(BA69),AND(BA$4:BA68)),MIN(EXP((BB69-$J69)*$G69),1),"")</f>
        <v/>
      </c>
      <c r="BE69" s="440" t="b">
        <f ca="1">IF(AND(NOT(BA69),AND(BA$4:BA68)),TRUE,BA69)</f>
        <v>0</v>
      </c>
      <c r="BF69" s="439" t="e">
        <f ca="1">IF(AND(NOT(ISBLANK(Jumpoverwrite12)),AND(NOT(BE69),AND(BE$4:BE68))),($J69*$G69-LN(1+Jumpoverwrite12*BG$2))/$G69,_xll.qlInterpolationInterpolate(BE$3,$F69,TRUE))</f>
        <v>#NAME?</v>
      </c>
      <c r="BG69" s="439" t="str">
        <f ca="1">IF(AND(NOT(BE69),AND(BE$4:BE68)),MIN(EXP((BF69-$J69)*$G69),1),"")</f>
        <v/>
      </c>
      <c r="BI69" s="440" t="b">
        <f t="shared" ref="BI69:BI100" ca="1" si="11">IF(ISERROR(K69),FALSE,IF(YEAR(K69)-YEAR(SettlementDate)=2,FALSE,TRUE))</f>
        <v>0</v>
      </c>
      <c r="BJ69" s="439" t="e">
        <f ca="1">IF(AND(NOT(ISBLANK(jumpoverwrite13)),AND(NOT(BI69),AND(BI$4:BI68))),($J69*$G69-LN(1+jumpoverwrite13*BK$2))/$G69,_xll.qlInterpolationInterpolate(BI$3,$F69,TRUE))</f>
        <v>#NAME?</v>
      </c>
      <c r="BK69" s="439" t="str">
        <f ca="1">IF(AND(NOT(BI69),AND(BI$4:BI68)),MIN(EXP((BJ69-$J69)*$G69),1),"")</f>
        <v/>
      </c>
    </row>
    <row r="70" spans="1:63" x14ac:dyDescent="0.2">
      <c r="A70" s="438" t="e">
        <f ca="1"/>
        <v>#NAME?</v>
      </c>
      <c r="B70" s="437" t="e">
        <f ca="1">_xll.qlRateHelperRate($A70,InterestRatesTrigger)</f>
        <v>#NAME?</v>
      </c>
      <c r="C70" s="436" t="e">
        <f ca="1">_xll.qlRateHelperEarliestDate($A70)</f>
        <v>#NAME?</v>
      </c>
      <c r="D70" s="435" t="e">
        <f ca="1">_xll.qlRateHelperPillarDate($A70)</f>
        <v>#NAME?</v>
      </c>
      <c r="F70" s="445" t="e">
        <f t="shared" ca="1" si="9"/>
        <v>#N/A</v>
      </c>
      <c r="G70" s="444" t="e">
        <f ca="1">_xll.qlDayCounterYearFraction(DayCounter,D69,D70)</f>
        <v>#NAME?</v>
      </c>
      <c r="I70" s="443" t="b">
        <f t="shared" ca="1" si="10"/>
        <v>0</v>
      </c>
      <c r="J70" s="442" t="e">
        <f ca="1"/>
        <v>#NAME?</v>
      </c>
      <c r="K70" s="441" t="e">
        <f t="shared" ca="1" si="8"/>
        <v>#NAME?</v>
      </c>
      <c r="L70" s="429"/>
      <c r="M70" s="440" t="b">
        <f ca="1">IF(AND(NOT(I70),AND(I$4:I69)),TRUE,I70)</f>
        <v>0</v>
      </c>
      <c r="N70" s="439" t="e">
        <f ca="1">IF(AND(NOT(ISBLANK(Jumpoverwrite1)),AND(NOT(M70),AND(M$4:M69))),($J70*$G70-LN(1+Jumpoverwrite1*O$2))/$G70,_xll.qlInterpolationInterpolate(M$3,$F70,TRUE))</f>
        <v>#NAME?</v>
      </c>
      <c r="O70" s="439" t="str">
        <f ca="1">IF(AND(NOT(M70),AND(M$4:M69)),MIN(EXP((N70-$J70)*$G70),1),"")</f>
        <v/>
      </c>
      <c r="P70" s="428"/>
      <c r="Q70" s="440" t="b">
        <f ca="1">IF(AND(NOT(M70),AND(M$4:M69)),TRUE,M70)</f>
        <v>0</v>
      </c>
      <c r="R70" s="439" t="e">
        <f ca="1">IF(AND(NOT(ISBLANK(Jumpoverwrite2)),AND(NOT(Q70),AND(Q$4:Q69))),($J70*$G70-LN(1+Jumpoverwrite2*S$2))/$G70,_xll.qlInterpolationInterpolate(Q$3,$F70,TRUE))</f>
        <v>#NAME?</v>
      </c>
      <c r="S70" s="439" t="str">
        <f ca="1">IF(AND(NOT(Q70),AND(Q$4:Q69)),MIN(EXP((R70-$J70)*$G70),1),"")</f>
        <v/>
      </c>
      <c r="T70" s="428"/>
      <c r="U70" s="440" t="b">
        <f ca="1">IF(AND(NOT(Q70),AND(Q$4:Q69)),TRUE,Q70)</f>
        <v>0</v>
      </c>
      <c r="V70" s="439" t="e">
        <f ca="1">IF(AND(NOT(ISBLANK(Jumpoverwrite3)),AND(NOT(U70),AND(U$4:U69))),($J70*$G70-LN(1+Jumpoverwrite3*W$2))/$G70,_xll.qlInterpolationInterpolate(U$3,$F70,TRUE))</f>
        <v>#NAME?</v>
      </c>
      <c r="W70" s="439" t="str">
        <f ca="1">IF(AND(NOT(U70),AND(U$4:U69)),MIN(EXP((V70-$J70)*$G70),1),"")</f>
        <v/>
      </c>
      <c r="X70" s="428"/>
      <c r="Y70" s="440" t="b">
        <f ca="1">IF(AND(NOT(U70),AND(U$4:U69)),TRUE,U70)</f>
        <v>0</v>
      </c>
      <c r="Z70" s="439" t="e">
        <f ca="1">IF(AND(NOT(ISBLANK(Jumpoverwrite4)),AND(NOT(Y70),AND(Y$4:Y69))),($J70*$G70-LN(1+Jumpoverwrite4*AA$2))/$G70,_xll.qlInterpolationInterpolate(Y$3,$F70,TRUE))</f>
        <v>#NAME?</v>
      </c>
      <c r="AA70" s="439" t="str">
        <f ca="1">IF(AND(NOT(Y70),AND(Y$4:Y69)),MIN(EXP((Z70-$J70)*$G70),1),"")</f>
        <v/>
      </c>
      <c r="AB70" s="428"/>
      <c r="AC70" s="440" t="b">
        <f ca="1">IF(AND(NOT(Y70),AND(Y$4:Y69)),TRUE,Y70)</f>
        <v>0</v>
      </c>
      <c r="AD70" s="439" t="e">
        <f ca="1">IF(AND(NOT(ISBLANK(Jumpoverwrite5)),AND(NOT(AC70),AND(AC$4:AC69))),($J70*$G70-LN(1+Jumpoverwrite5*AE$2))/$G70,_xll.qlInterpolationInterpolate(AC$3,$F70,TRUE))</f>
        <v>#NAME?</v>
      </c>
      <c r="AE70" s="439" t="str">
        <f ca="1">IF(AND(NOT(AC70),AND(AC$4:AC69)),MIN(EXP((AD70-$J70)*$G70),1),"")</f>
        <v/>
      </c>
      <c r="AF70" s="428"/>
      <c r="AG70" s="440" t="b">
        <f ca="1">IF(AND(NOT(AC70),AND(AC$4:AC69)),TRUE,AC70)</f>
        <v>0</v>
      </c>
      <c r="AH70" s="439" t="e">
        <f ca="1">IF(AND(NOT(ISBLANK(Jumpoverwrite6)),AND(NOT(AG70),AND(AG$4:AG69))),($J70*$G70-LN(1+Jumpoverwrite6*AI$2))/$G70,_xll.qlInterpolationInterpolate(AG$3,$F70,TRUE))</f>
        <v>#NAME?</v>
      </c>
      <c r="AI70" s="439" t="str">
        <f ca="1">IF(AND(NOT(AG70),AND(AG$4:AG69)),MIN(EXP((AH70-$J70)*$G70),1),"")</f>
        <v/>
      </c>
      <c r="AJ70" s="428"/>
      <c r="AK70" s="440" t="b">
        <f ca="1">IF(AND(NOT(AG70),AND(AG$4:AG69)),TRUE,AG70)</f>
        <v>0</v>
      </c>
      <c r="AL70" s="439" t="e">
        <f ca="1">IF(AND(NOT(ISBLANK(Jumpoverwrite7)),AND(NOT(AK70),AND(AK$4:AK69))),($J70*$G70-LN(1+Jumpoverwrite7*AM$2))/$G70,_xll.qlInterpolationInterpolate(AK$3,$F70,TRUE))</f>
        <v>#NAME?</v>
      </c>
      <c r="AM70" s="439" t="str">
        <f ca="1">IF(AND(NOT(AK70),AND(AK$4:AK69)),MIN(EXP((AL70-$J70)*$G70),1),"")</f>
        <v/>
      </c>
      <c r="AO70" s="440" t="b">
        <f ca="1">IF(AND(NOT(AK70),AND(AK$4:AK69)),TRUE,AK70)</f>
        <v>0</v>
      </c>
      <c r="AP70" s="439" t="e">
        <f ca="1">IF(AND(NOT(ISBLANK(Jumpoverwrite8)),AND(NOT(AO70),AND(AO$4:AO69))),($J70*$G70-LN(1+Jumpoverwrite8*AQ$2))/$G70,_xll.qlInterpolationInterpolate(AO$3,$F70,TRUE))</f>
        <v>#NAME?</v>
      </c>
      <c r="AQ70" s="439" t="str">
        <f ca="1">IF(AND(NOT(AO70),AND(AO$4:AO69)),MIN(EXP((AP70-$J70)*$G70),1),"")</f>
        <v/>
      </c>
      <c r="AS70" s="440" t="b">
        <f ca="1">IF(AND(NOT(AO70),AND(AO$4:AO69)),TRUE,AO70)</f>
        <v>0</v>
      </c>
      <c r="AT70" s="439" t="e">
        <f ca="1">IF(AND(NOT(ISBLANK(Jumpoverwrite9)),AND(NOT(AS70),AND(AS$4:AS69))),($J70*$G70-LN(1+Jumpoverwrite9*AU$2))/$G70,_xll.qlInterpolationInterpolate(AS$3,$F70,TRUE))</f>
        <v>#NAME?</v>
      </c>
      <c r="AU70" s="439" t="str">
        <f ca="1">IF(AND(NOT(AS70),AND(AS$4:AS69)),MIN(EXP((AT70-$J70)*$G70),1),"")</f>
        <v/>
      </c>
      <c r="AW70" s="440" t="b">
        <f ca="1">IF(AND(NOT(AS70),AND(AS$4:AS69)),TRUE,AS70)</f>
        <v>0</v>
      </c>
      <c r="AX70" s="439" t="e">
        <f ca="1">IF(AND(NOT(ISBLANK(Jumpoverwrite10)),AND(NOT(AW70),AND(AW$4:AW69))),($J70*$G70-LN(1+Jumpoverwrite10*AY$2))/$G70,_xll.qlInterpolationInterpolate(AW$3,$F70,TRUE))</f>
        <v>#NAME?</v>
      </c>
      <c r="AY70" s="439" t="str">
        <f ca="1">IF(AND(NOT(AW70),AND(AW$4:AW69)),MIN(EXP((AX70-$J70)*$G70),1),"")</f>
        <v/>
      </c>
      <c r="BA70" s="440" t="b">
        <f ca="1">IF(AND(NOT(AW70),AND(AW$4:AW69)),TRUE,AW70)</f>
        <v>0</v>
      </c>
      <c r="BB70" s="439" t="e">
        <f ca="1">IF(AND(NOT(ISBLANK(Jumpoverwrite11)),AND(NOT(BA70),AND(BA$4:BA69))),($J70*$G70-LN(1+Jumpoverwrite11*BC$2))/$G70,_xll.qlInterpolationInterpolate(BA$3,$F70,TRUE))</f>
        <v>#NAME?</v>
      </c>
      <c r="BC70" s="439" t="str">
        <f ca="1">IF(AND(NOT(BA70),AND(BA$4:BA69)),MIN(EXP((BB70-$J70)*$G70),1),"")</f>
        <v/>
      </c>
      <c r="BE70" s="440" t="b">
        <f ca="1">IF(AND(NOT(BA70),AND(BA$4:BA69)),TRUE,BA70)</f>
        <v>0</v>
      </c>
      <c r="BF70" s="439" t="e">
        <f ca="1">IF(AND(NOT(ISBLANK(Jumpoverwrite12)),AND(NOT(BE70),AND(BE$4:BE69))),($J70*$G70-LN(1+Jumpoverwrite12*BG$2))/$G70,_xll.qlInterpolationInterpolate(BE$3,$F70,TRUE))</f>
        <v>#NAME?</v>
      </c>
      <c r="BG70" s="439" t="str">
        <f ca="1">IF(AND(NOT(BE70),AND(BE$4:BE69)),MIN(EXP((BF70-$J70)*$G70),1),"")</f>
        <v/>
      </c>
      <c r="BI70" s="440" t="b">
        <f t="shared" ca="1" si="11"/>
        <v>0</v>
      </c>
      <c r="BJ70" s="439" t="e">
        <f ca="1">IF(AND(NOT(ISBLANK(jumpoverwrite13)),AND(NOT(BI70),AND(BI$4:BI69))),($J70*$G70-LN(1+jumpoverwrite13*BK$2))/$G70,_xll.qlInterpolationInterpolate(BI$3,$F70,TRUE))</f>
        <v>#NAME?</v>
      </c>
      <c r="BK70" s="439" t="str">
        <f ca="1">IF(AND(NOT(BI70),AND(BI$4:BI69)),MIN(EXP((BJ70-$J70)*$G70),1),"")</f>
        <v/>
      </c>
    </row>
    <row r="71" spans="1:63" x14ac:dyDescent="0.2">
      <c r="A71" s="438" t="e">
        <f ca="1"/>
        <v>#NAME?</v>
      </c>
      <c r="B71" s="437" t="e">
        <f ca="1">_xll.qlRateHelperRate($A71,InterestRatesTrigger)</f>
        <v>#NAME?</v>
      </c>
      <c r="C71" s="436" t="e">
        <f ca="1">_xll.qlRateHelperEarliestDate($A71)</f>
        <v>#NAME?</v>
      </c>
      <c r="D71" s="435" t="e">
        <f ca="1">_xll.qlRateHelperPillarDate($A71)</f>
        <v>#NAME?</v>
      </c>
      <c r="F71" s="445" t="e">
        <f t="shared" ca="1" si="9"/>
        <v>#N/A</v>
      </c>
      <c r="G71" s="444" t="e">
        <f ca="1">_xll.qlDayCounterYearFraction(DayCounter,D70,D71)</f>
        <v>#NAME?</v>
      </c>
      <c r="I71" s="443" t="b">
        <f t="shared" ca="1" si="10"/>
        <v>0</v>
      </c>
      <c r="J71" s="442" t="e">
        <f ca="1"/>
        <v>#NAME?</v>
      </c>
      <c r="K71" s="441" t="e">
        <f t="shared" ca="1" si="8"/>
        <v>#NAME?</v>
      </c>
      <c r="L71" s="429"/>
      <c r="M71" s="440" t="b">
        <f ca="1">IF(AND(NOT(I71),AND(I$4:I70)),TRUE,I71)</f>
        <v>0</v>
      </c>
      <c r="N71" s="439" t="e">
        <f ca="1">IF(AND(NOT(ISBLANK(Jumpoverwrite1)),AND(NOT(M71),AND(M$4:M70))),($J71*$G71-LN(1+Jumpoverwrite1*O$2))/$G71,_xll.qlInterpolationInterpolate(M$3,$F71,TRUE))</f>
        <v>#NAME?</v>
      </c>
      <c r="O71" s="439" t="str">
        <f ca="1">IF(AND(NOT(M71),AND(M$4:M70)),MIN(EXP((N71-$J71)*$G71),1),"")</f>
        <v/>
      </c>
      <c r="P71" s="428"/>
      <c r="Q71" s="440" t="b">
        <f ca="1">IF(AND(NOT(M71),AND(M$4:M70)),TRUE,M71)</f>
        <v>0</v>
      </c>
      <c r="R71" s="439" t="e">
        <f ca="1">IF(AND(NOT(ISBLANK(Jumpoverwrite2)),AND(NOT(Q71),AND(Q$4:Q70))),($J71*$G71-LN(1+Jumpoverwrite2*S$2))/$G71,_xll.qlInterpolationInterpolate(Q$3,$F71,TRUE))</f>
        <v>#NAME?</v>
      </c>
      <c r="S71" s="439" t="str">
        <f ca="1">IF(AND(NOT(Q71),AND(Q$4:Q70)),MIN(EXP((R71-$J71)*$G71),1),"")</f>
        <v/>
      </c>
      <c r="T71" s="428"/>
      <c r="U71" s="440" t="b">
        <f ca="1">IF(AND(NOT(Q71),AND(Q$4:Q70)),TRUE,Q71)</f>
        <v>0</v>
      </c>
      <c r="V71" s="439" t="e">
        <f ca="1">IF(AND(NOT(ISBLANK(Jumpoverwrite3)),AND(NOT(U71),AND(U$4:U70))),($J71*$G71-LN(1+Jumpoverwrite3*W$2))/$G71,_xll.qlInterpolationInterpolate(U$3,$F71,TRUE))</f>
        <v>#NAME?</v>
      </c>
      <c r="W71" s="439" t="str">
        <f ca="1">IF(AND(NOT(U71),AND(U$4:U70)),MIN(EXP((V71-$J71)*$G71),1),"")</f>
        <v/>
      </c>
      <c r="X71" s="428"/>
      <c r="Y71" s="440" t="b">
        <f ca="1">IF(AND(NOT(U71),AND(U$4:U70)),TRUE,U71)</f>
        <v>0</v>
      </c>
      <c r="Z71" s="439" t="e">
        <f ca="1">IF(AND(NOT(ISBLANK(Jumpoverwrite4)),AND(NOT(Y71),AND(Y$4:Y70))),($J71*$G71-LN(1+Jumpoverwrite4*AA$2))/$G71,_xll.qlInterpolationInterpolate(Y$3,$F71,TRUE))</f>
        <v>#NAME?</v>
      </c>
      <c r="AA71" s="439" t="str">
        <f ca="1">IF(AND(NOT(Y71),AND(Y$4:Y70)),MIN(EXP((Z71-$J71)*$G71),1),"")</f>
        <v/>
      </c>
      <c r="AB71" s="428"/>
      <c r="AC71" s="440" t="b">
        <f ca="1">IF(AND(NOT(Y71),AND(Y$4:Y70)),TRUE,Y71)</f>
        <v>0</v>
      </c>
      <c r="AD71" s="439" t="e">
        <f ca="1">IF(AND(NOT(ISBLANK(Jumpoverwrite5)),AND(NOT(AC71),AND(AC$4:AC70))),($J71*$G71-LN(1+Jumpoverwrite5*AE$2))/$G71,_xll.qlInterpolationInterpolate(AC$3,$F71,TRUE))</f>
        <v>#NAME?</v>
      </c>
      <c r="AE71" s="439" t="str">
        <f ca="1">IF(AND(NOT(AC71),AND(AC$4:AC70)),MIN(EXP((AD71-$J71)*$G71),1),"")</f>
        <v/>
      </c>
      <c r="AF71" s="428"/>
      <c r="AG71" s="440" t="b">
        <f ca="1">IF(AND(NOT(AC71),AND(AC$4:AC70)),TRUE,AC71)</f>
        <v>0</v>
      </c>
      <c r="AH71" s="439" t="e">
        <f ca="1">IF(AND(NOT(ISBLANK(Jumpoverwrite6)),AND(NOT(AG71),AND(AG$4:AG70))),($J71*$G71-LN(1+Jumpoverwrite6*AI$2))/$G71,_xll.qlInterpolationInterpolate(AG$3,$F71,TRUE))</f>
        <v>#NAME?</v>
      </c>
      <c r="AI71" s="439" t="str">
        <f ca="1">IF(AND(NOT(AG71),AND(AG$4:AG70)),MIN(EXP((AH71-$J71)*$G71),1),"")</f>
        <v/>
      </c>
      <c r="AJ71" s="428"/>
      <c r="AK71" s="440" t="b">
        <f ca="1">IF(AND(NOT(AG71),AND(AG$4:AG70)),TRUE,AG71)</f>
        <v>0</v>
      </c>
      <c r="AL71" s="439" t="e">
        <f ca="1">IF(AND(NOT(ISBLANK(Jumpoverwrite7)),AND(NOT(AK71),AND(AK$4:AK70))),($J71*$G71-LN(1+Jumpoverwrite7*AM$2))/$G71,_xll.qlInterpolationInterpolate(AK$3,$F71,TRUE))</f>
        <v>#NAME?</v>
      </c>
      <c r="AM71" s="439" t="str">
        <f ca="1">IF(AND(NOT(AK71),AND(AK$4:AK70)),MIN(EXP((AL71-$J71)*$G71),1),"")</f>
        <v/>
      </c>
      <c r="AO71" s="440" t="b">
        <f ca="1">IF(AND(NOT(AK71),AND(AK$4:AK70)),TRUE,AK71)</f>
        <v>0</v>
      </c>
      <c r="AP71" s="439" t="e">
        <f ca="1">IF(AND(NOT(ISBLANK(Jumpoverwrite8)),AND(NOT(AO71),AND(AO$4:AO70))),($J71*$G71-LN(1+Jumpoverwrite8*AQ$2))/$G71,_xll.qlInterpolationInterpolate(AO$3,$F71,TRUE))</f>
        <v>#NAME?</v>
      </c>
      <c r="AQ71" s="439" t="str">
        <f ca="1">IF(AND(NOT(AO71),AND(AO$4:AO70)),MIN(EXP((AP71-$J71)*$G71),1),"")</f>
        <v/>
      </c>
      <c r="AS71" s="440" t="b">
        <f ca="1">IF(AND(NOT(AO71),AND(AO$4:AO70)),TRUE,AO71)</f>
        <v>0</v>
      </c>
      <c r="AT71" s="439" t="e">
        <f ca="1">IF(AND(NOT(ISBLANK(Jumpoverwrite9)),AND(NOT(AS71),AND(AS$4:AS70))),($J71*$G71-LN(1+Jumpoverwrite9*AU$2))/$G71,_xll.qlInterpolationInterpolate(AS$3,$F71,TRUE))</f>
        <v>#NAME?</v>
      </c>
      <c r="AU71" s="439" t="str">
        <f ca="1">IF(AND(NOT(AS71),AND(AS$4:AS70)),MIN(EXP((AT71-$J71)*$G71),1),"")</f>
        <v/>
      </c>
      <c r="AW71" s="440" t="b">
        <f ca="1">IF(AND(NOT(AS71),AND(AS$4:AS70)),TRUE,AS71)</f>
        <v>0</v>
      </c>
      <c r="AX71" s="439" t="e">
        <f ca="1">IF(AND(NOT(ISBLANK(Jumpoverwrite10)),AND(NOT(AW71),AND(AW$4:AW70))),($J71*$G71-LN(1+Jumpoverwrite10*AY$2))/$G71,_xll.qlInterpolationInterpolate(AW$3,$F71,TRUE))</f>
        <v>#NAME?</v>
      </c>
      <c r="AY71" s="439" t="str">
        <f ca="1">IF(AND(NOT(AW71),AND(AW$4:AW70)),MIN(EXP((AX71-$J71)*$G71),1),"")</f>
        <v/>
      </c>
      <c r="BA71" s="440" t="b">
        <f ca="1">IF(AND(NOT(AW71),AND(AW$4:AW70)),TRUE,AW71)</f>
        <v>0</v>
      </c>
      <c r="BB71" s="439" t="e">
        <f ca="1">IF(AND(NOT(ISBLANK(Jumpoverwrite11)),AND(NOT(BA71),AND(BA$4:BA70))),($J71*$G71-LN(1+Jumpoverwrite11*BC$2))/$G71,_xll.qlInterpolationInterpolate(BA$3,$F71,TRUE))</f>
        <v>#NAME?</v>
      </c>
      <c r="BC71" s="439" t="str">
        <f ca="1">IF(AND(NOT(BA71),AND(BA$4:BA70)),MIN(EXP((BB71-$J71)*$G71),1),"")</f>
        <v/>
      </c>
      <c r="BE71" s="440" t="b">
        <f ca="1">IF(AND(NOT(BA71),AND(BA$4:BA70)),TRUE,BA71)</f>
        <v>0</v>
      </c>
      <c r="BF71" s="439" t="e">
        <f ca="1">IF(AND(NOT(ISBLANK(Jumpoverwrite12)),AND(NOT(BE71),AND(BE$4:BE70))),($J71*$G71-LN(1+Jumpoverwrite12*BG$2))/$G71,_xll.qlInterpolationInterpolate(BE$3,$F71,TRUE))</f>
        <v>#NAME?</v>
      </c>
      <c r="BG71" s="439" t="str">
        <f ca="1">IF(AND(NOT(BE71),AND(BE$4:BE70)),MIN(EXP((BF71-$J71)*$G71),1),"")</f>
        <v/>
      </c>
      <c r="BI71" s="440" t="b">
        <f t="shared" ca="1" si="11"/>
        <v>0</v>
      </c>
      <c r="BJ71" s="439" t="e">
        <f ca="1">IF(AND(NOT(ISBLANK(jumpoverwrite13)),AND(NOT(BI71),AND(BI$4:BI70))),($J71*$G71-LN(1+jumpoverwrite13*BK$2))/$G71,_xll.qlInterpolationInterpolate(BI$3,$F71,TRUE))</f>
        <v>#NAME?</v>
      </c>
      <c r="BK71" s="439" t="str">
        <f ca="1">IF(AND(NOT(BI71),AND(BI$4:BI70)),MIN(EXP((BJ71-$J71)*$G71),1),"")</f>
        <v/>
      </c>
    </row>
    <row r="72" spans="1:63" x14ac:dyDescent="0.2">
      <c r="A72" s="438" t="e">
        <f ca="1"/>
        <v>#NAME?</v>
      </c>
      <c r="B72" s="437" t="e">
        <f ca="1">_xll.qlRateHelperRate($A72,InterestRatesTrigger)</f>
        <v>#NAME?</v>
      </c>
      <c r="C72" s="436" t="e">
        <f ca="1">_xll.qlRateHelperEarliestDate($A72)</f>
        <v>#NAME?</v>
      </c>
      <c r="D72" s="435" t="e">
        <f ca="1">_xll.qlRateHelperPillarDate($A72)</f>
        <v>#NAME?</v>
      </c>
      <c r="F72" s="445" t="e">
        <f t="shared" ca="1" si="9"/>
        <v>#N/A</v>
      </c>
      <c r="G72" s="444" t="e">
        <f ca="1">_xll.qlDayCounterYearFraction(DayCounter,D71,D72)</f>
        <v>#NAME?</v>
      </c>
      <c r="I72" s="443" t="b">
        <f t="shared" ca="1" si="10"/>
        <v>0</v>
      </c>
      <c r="J72" s="442" t="e">
        <f ca="1"/>
        <v>#NAME?</v>
      </c>
      <c r="K72" s="441" t="e">
        <f t="shared" ca="1" si="8"/>
        <v>#NAME?</v>
      </c>
      <c r="L72" s="429"/>
      <c r="M72" s="440" t="b">
        <f ca="1">IF(AND(NOT(I72),AND(I$4:I71)),TRUE,I72)</f>
        <v>0</v>
      </c>
      <c r="N72" s="439" t="e">
        <f ca="1">IF(AND(NOT(ISBLANK(Jumpoverwrite1)),AND(NOT(M72),AND(M$4:M71))),($J72*$G72-LN(1+Jumpoverwrite1*O$2))/$G72,_xll.qlInterpolationInterpolate(M$3,$F72,TRUE))</f>
        <v>#NAME?</v>
      </c>
      <c r="O72" s="439" t="str">
        <f ca="1">IF(AND(NOT(M72),AND(M$4:M71)),MIN(EXP((N72-$J72)*$G72),1),"")</f>
        <v/>
      </c>
      <c r="P72" s="428"/>
      <c r="Q72" s="440" t="b">
        <f ca="1">IF(AND(NOT(M72),AND(M$4:M71)),TRUE,M72)</f>
        <v>0</v>
      </c>
      <c r="R72" s="439" t="e">
        <f ca="1">IF(AND(NOT(ISBLANK(Jumpoverwrite2)),AND(NOT(Q72),AND(Q$4:Q71))),($J72*$G72-LN(1+Jumpoverwrite2*S$2))/$G72,_xll.qlInterpolationInterpolate(Q$3,$F72,TRUE))</f>
        <v>#NAME?</v>
      </c>
      <c r="S72" s="439" t="str">
        <f ca="1">IF(AND(NOT(Q72),AND(Q$4:Q71)),MIN(EXP((R72-$J72)*$G72),1),"")</f>
        <v/>
      </c>
      <c r="T72" s="428"/>
      <c r="U72" s="440" t="b">
        <f ca="1">IF(AND(NOT(Q72),AND(Q$4:Q71)),TRUE,Q72)</f>
        <v>0</v>
      </c>
      <c r="V72" s="439" t="e">
        <f ca="1">IF(AND(NOT(ISBLANK(Jumpoverwrite3)),AND(NOT(U72),AND(U$4:U71))),($J72*$G72-LN(1+Jumpoverwrite3*W$2))/$G72,_xll.qlInterpolationInterpolate(U$3,$F72,TRUE))</f>
        <v>#NAME?</v>
      </c>
      <c r="W72" s="439" t="str">
        <f ca="1">IF(AND(NOT(U72),AND(U$4:U71)),MIN(EXP((V72-$J72)*$G72),1),"")</f>
        <v/>
      </c>
      <c r="X72" s="428"/>
      <c r="Y72" s="440" t="b">
        <f ca="1">IF(AND(NOT(U72),AND(U$4:U71)),TRUE,U72)</f>
        <v>0</v>
      </c>
      <c r="Z72" s="439" t="e">
        <f ca="1">IF(AND(NOT(ISBLANK(Jumpoverwrite4)),AND(NOT(Y72),AND(Y$4:Y71))),($J72*$G72-LN(1+Jumpoverwrite4*AA$2))/$G72,_xll.qlInterpolationInterpolate(Y$3,$F72,TRUE))</f>
        <v>#NAME?</v>
      </c>
      <c r="AA72" s="439" t="str">
        <f ca="1">IF(AND(NOT(Y72),AND(Y$4:Y71)),MIN(EXP((Z72-$J72)*$G72),1),"")</f>
        <v/>
      </c>
      <c r="AB72" s="428"/>
      <c r="AC72" s="440" t="b">
        <f ca="1">IF(AND(NOT(Y72),AND(Y$4:Y71)),TRUE,Y72)</f>
        <v>0</v>
      </c>
      <c r="AD72" s="439" t="e">
        <f ca="1">IF(AND(NOT(ISBLANK(Jumpoverwrite5)),AND(NOT(AC72),AND(AC$4:AC71))),($J72*$G72-LN(1+Jumpoverwrite5*AE$2))/$G72,_xll.qlInterpolationInterpolate(AC$3,$F72,TRUE))</f>
        <v>#NAME?</v>
      </c>
      <c r="AE72" s="439" t="str">
        <f ca="1">IF(AND(NOT(AC72),AND(AC$4:AC71)),MIN(EXP((AD72-$J72)*$G72),1),"")</f>
        <v/>
      </c>
      <c r="AF72" s="428"/>
      <c r="AG72" s="440" t="b">
        <f ca="1">IF(AND(NOT(AC72),AND(AC$4:AC71)),TRUE,AC72)</f>
        <v>0</v>
      </c>
      <c r="AH72" s="439" t="e">
        <f ca="1">IF(AND(NOT(ISBLANK(Jumpoverwrite6)),AND(NOT(AG72),AND(AG$4:AG71))),($J72*$G72-LN(1+Jumpoverwrite6*AI$2))/$G72,_xll.qlInterpolationInterpolate(AG$3,$F72,TRUE))</f>
        <v>#NAME?</v>
      </c>
      <c r="AI72" s="439" t="str">
        <f ca="1">IF(AND(NOT(AG72),AND(AG$4:AG71)),MIN(EXP((AH72-$J72)*$G72),1),"")</f>
        <v/>
      </c>
      <c r="AJ72" s="428"/>
      <c r="AK72" s="440" t="b">
        <f ca="1">IF(AND(NOT(AG72),AND(AG$4:AG71)),TRUE,AG72)</f>
        <v>0</v>
      </c>
      <c r="AL72" s="439" t="e">
        <f ca="1">IF(AND(NOT(ISBLANK(Jumpoverwrite7)),AND(NOT(AK72),AND(AK$4:AK71))),($J72*$G72-LN(1+Jumpoverwrite7*AM$2))/$G72,_xll.qlInterpolationInterpolate(AK$3,$F72,TRUE))</f>
        <v>#NAME?</v>
      </c>
      <c r="AM72" s="439" t="str">
        <f ca="1">IF(AND(NOT(AK72),AND(AK$4:AK71)),MIN(EXP((AL72-$J72)*$G72),1),"")</f>
        <v/>
      </c>
      <c r="AO72" s="440" t="b">
        <f ca="1">IF(AND(NOT(AK72),AND(AK$4:AK71)),TRUE,AK72)</f>
        <v>0</v>
      </c>
      <c r="AP72" s="439" t="e">
        <f ca="1">IF(AND(NOT(ISBLANK(Jumpoverwrite8)),AND(NOT(AO72),AND(AO$4:AO71))),($J72*$G72-LN(1+Jumpoverwrite8*AQ$2))/$G72,_xll.qlInterpolationInterpolate(AO$3,$F72,TRUE))</f>
        <v>#NAME?</v>
      </c>
      <c r="AQ72" s="439" t="str">
        <f ca="1">IF(AND(NOT(AO72),AND(AO$4:AO71)),MIN(EXP((AP72-$J72)*$G72),1),"")</f>
        <v/>
      </c>
      <c r="AS72" s="440" t="b">
        <f ca="1">IF(AND(NOT(AO72),AND(AO$4:AO71)),TRUE,AO72)</f>
        <v>0</v>
      </c>
      <c r="AT72" s="439" t="e">
        <f ca="1">IF(AND(NOT(ISBLANK(Jumpoverwrite9)),AND(NOT(AS72),AND(AS$4:AS71))),($J72*$G72-LN(1+Jumpoverwrite9*AU$2))/$G72,_xll.qlInterpolationInterpolate(AS$3,$F72,TRUE))</f>
        <v>#NAME?</v>
      </c>
      <c r="AU72" s="439" t="str">
        <f ca="1">IF(AND(NOT(AS72),AND(AS$4:AS71)),MIN(EXP((AT72-$J72)*$G72),1),"")</f>
        <v/>
      </c>
      <c r="AW72" s="440" t="b">
        <f ca="1">IF(AND(NOT(AS72),AND(AS$4:AS71)),TRUE,AS72)</f>
        <v>0</v>
      </c>
      <c r="AX72" s="439" t="e">
        <f ca="1">IF(AND(NOT(ISBLANK(Jumpoverwrite10)),AND(NOT(AW72),AND(AW$4:AW71))),($J72*$G72-LN(1+Jumpoverwrite10*AY$2))/$G72,_xll.qlInterpolationInterpolate(AW$3,$F72,TRUE))</f>
        <v>#NAME?</v>
      </c>
      <c r="AY72" s="439" t="str">
        <f ca="1">IF(AND(NOT(AW72),AND(AW$4:AW71)),MIN(EXP((AX72-$J72)*$G72),1),"")</f>
        <v/>
      </c>
      <c r="BA72" s="440" t="b">
        <f ca="1">IF(AND(NOT(AW72),AND(AW$4:AW71)),TRUE,AW72)</f>
        <v>0</v>
      </c>
      <c r="BB72" s="439" t="e">
        <f ca="1">IF(AND(NOT(ISBLANK(Jumpoverwrite11)),AND(NOT(BA72),AND(BA$4:BA71))),($J72*$G72-LN(1+Jumpoverwrite11*BC$2))/$G72,_xll.qlInterpolationInterpolate(BA$3,$F72,TRUE))</f>
        <v>#NAME?</v>
      </c>
      <c r="BC72" s="439" t="str">
        <f ca="1">IF(AND(NOT(BA72),AND(BA$4:BA71)),MIN(EXP((BB72-$J72)*$G72),1),"")</f>
        <v/>
      </c>
      <c r="BE72" s="440" t="b">
        <f ca="1">IF(AND(NOT(BA72),AND(BA$4:BA71)),TRUE,BA72)</f>
        <v>0</v>
      </c>
      <c r="BF72" s="439" t="e">
        <f ca="1">IF(AND(NOT(ISBLANK(Jumpoverwrite12)),AND(NOT(BE72),AND(BE$4:BE71))),($J72*$G72-LN(1+Jumpoverwrite12*BG$2))/$G72,_xll.qlInterpolationInterpolate(BE$3,$F72,TRUE))</f>
        <v>#NAME?</v>
      </c>
      <c r="BG72" s="439" t="str">
        <f ca="1">IF(AND(NOT(BE72),AND(BE$4:BE71)),MIN(EXP((BF72-$J72)*$G72),1),"")</f>
        <v/>
      </c>
      <c r="BI72" s="440" t="b">
        <f t="shared" ca="1" si="11"/>
        <v>0</v>
      </c>
      <c r="BJ72" s="439" t="e">
        <f ca="1">IF(AND(NOT(ISBLANK(jumpoverwrite13)),AND(NOT(BI72),AND(BI$4:BI71))),($J72*$G72-LN(1+jumpoverwrite13*BK$2))/$G72,_xll.qlInterpolationInterpolate(BI$3,$F72,TRUE))</f>
        <v>#NAME?</v>
      </c>
      <c r="BK72" s="439" t="str">
        <f ca="1">IF(AND(NOT(BI72),AND(BI$4:BI71)),MIN(EXP((BJ72-$J72)*$G72),1),"")</f>
        <v/>
      </c>
    </row>
    <row r="73" spans="1:63" x14ac:dyDescent="0.2">
      <c r="A73" s="438" t="e">
        <f ca="1"/>
        <v>#NAME?</v>
      </c>
      <c r="B73" s="437" t="e">
        <f ca="1">_xll.qlRateHelperRate($A73,InterestRatesTrigger)</f>
        <v>#NAME?</v>
      </c>
      <c r="C73" s="436" t="e">
        <f ca="1">_xll.qlRateHelperEarliestDate($A73)</f>
        <v>#NAME?</v>
      </c>
      <c r="D73" s="435" t="e">
        <f ca="1">_xll.qlRateHelperPillarDate($A73)</f>
        <v>#NAME?</v>
      </c>
      <c r="F73" s="445" t="e">
        <f t="shared" ca="1" si="9"/>
        <v>#N/A</v>
      </c>
      <c r="G73" s="444" t="e">
        <f ca="1">_xll.qlDayCounterYearFraction(DayCounter,D72,D73)</f>
        <v>#NAME?</v>
      </c>
      <c r="I73" s="443" t="b">
        <f t="shared" ca="1" si="10"/>
        <v>0</v>
      </c>
      <c r="J73" s="442" t="e">
        <f ca="1"/>
        <v>#NAME?</v>
      </c>
      <c r="K73" s="441" t="e">
        <f t="shared" ca="1" si="8"/>
        <v>#NAME?</v>
      </c>
      <c r="L73" s="429"/>
      <c r="M73" s="440" t="b">
        <f ca="1">IF(AND(NOT(I73),AND(I$4:I72)),TRUE,I73)</f>
        <v>0</v>
      </c>
      <c r="N73" s="439" t="e">
        <f ca="1">IF(AND(NOT(ISBLANK(Jumpoverwrite1)),AND(NOT(M73),AND(M$4:M72))),($J73*$G73-LN(1+Jumpoverwrite1*O$2))/$G73,_xll.qlInterpolationInterpolate(M$3,$F73,TRUE))</f>
        <v>#NAME?</v>
      </c>
      <c r="O73" s="439" t="str">
        <f ca="1">IF(AND(NOT(M73),AND(M$4:M72)),MIN(EXP((N73-$J73)*$G73),1),"")</f>
        <v/>
      </c>
      <c r="P73" s="428"/>
      <c r="Q73" s="440" t="b">
        <f ca="1">IF(AND(NOT(M73),AND(M$4:M72)),TRUE,M73)</f>
        <v>0</v>
      </c>
      <c r="R73" s="439" t="e">
        <f ca="1">IF(AND(NOT(ISBLANK(Jumpoverwrite2)),AND(NOT(Q73),AND(Q$4:Q72))),($J73*$G73-LN(1+Jumpoverwrite2*S$2))/$G73,_xll.qlInterpolationInterpolate(Q$3,$F73,TRUE))</f>
        <v>#NAME?</v>
      </c>
      <c r="S73" s="439" t="str">
        <f ca="1">IF(AND(NOT(Q73),AND(Q$4:Q72)),MIN(EXP((R73-$J73)*$G73),1),"")</f>
        <v/>
      </c>
      <c r="T73" s="428"/>
      <c r="U73" s="440" t="b">
        <f ca="1">IF(AND(NOT(Q73),AND(Q$4:Q72)),TRUE,Q73)</f>
        <v>0</v>
      </c>
      <c r="V73" s="439" t="e">
        <f ca="1">IF(AND(NOT(ISBLANK(Jumpoverwrite3)),AND(NOT(U73),AND(U$4:U72))),($J73*$G73-LN(1+Jumpoverwrite3*W$2))/$G73,_xll.qlInterpolationInterpolate(U$3,$F73,TRUE))</f>
        <v>#NAME?</v>
      </c>
      <c r="W73" s="439" t="str">
        <f ca="1">IF(AND(NOT(U73),AND(U$4:U72)),MIN(EXP((V73-$J73)*$G73),1),"")</f>
        <v/>
      </c>
      <c r="X73" s="428"/>
      <c r="Y73" s="440" t="b">
        <f ca="1">IF(AND(NOT(U73),AND(U$4:U72)),TRUE,U73)</f>
        <v>0</v>
      </c>
      <c r="Z73" s="439" t="e">
        <f ca="1">IF(AND(NOT(ISBLANK(Jumpoverwrite4)),AND(NOT(Y73),AND(Y$4:Y72))),($J73*$G73-LN(1+Jumpoverwrite4*AA$2))/$G73,_xll.qlInterpolationInterpolate(Y$3,$F73,TRUE))</f>
        <v>#NAME?</v>
      </c>
      <c r="AA73" s="439" t="str">
        <f ca="1">IF(AND(NOT(Y73),AND(Y$4:Y72)),MIN(EXP((Z73-$J73)*$G73),1),"")</f>
        <v/>
      </c>
      <c r="AB73" s="428"/>
      <c r="AC73" s="440" t="b">
        <f ca="1">IF(AND(NOT(Y73),AND(Y$4:Y72)),TRUE,Y73)</f>
        <v>0</v>
      </c>
      <c r="AD73" s="439" t="e">
        <f ca="1">IF(AND(NOT(ISBLANK(Jumpoverwrite5)),AND(NOT(AC73),AND(AC$4:AC72))),($J73*$G73-LN(1+Jumpoverwrite5*AE$2))/$G73,_xll.qlInterpolationInterpolate(AC$3,$F73,TRUE))</f>
        <v>#NAME?</v>
      </c>
      <c r="AE73" s="439" t="str">
        <f ca="1">IF(AND(NOT(AC73),AND(AC$4:AC72)),MIN(EXP((AD73-$J73)*$G73),1),"")</f>
        <v/>
      </c>
      <c r="AF73" s="428"/>
      <c r="AG73" s="440" t="b">
        <f ca="1">IF(AND(NOT(AC73),AND(AC$4:AC72)),TRUE,AC73)</f>
        <v>0</v>
      </c>
      <c r="AH73" s="439" t="e">
        <f ca="1">IF(AND(NOT(ISBLANK(Jumpoverwrite6)),AND(NOT(AG73),AND(AG$4:AG72))),($J73*$G73-LN(1+Jumpoverwrite6*AI$2))/$G73,_xll.qlInterpolationInterpolate(AG$3,$F73,TRUE))</f>
        <v>#NAME?</v>
      </c>
      <c r="AI73" s="439" t="str">
        <f ca="1">IF(AND(NOT(AG73),AND(AG$4:AG72)),MIN(EXP((AH73-$J73)*$G73),1),"")</f>
        <v/>
      </c>
      <c r="AJ73" s="428"/>
      <c r="AK73" s="440" t="b">
        <f ca="1">IF(AND(NOT(AG73),AND(AG$4:AG72)),TRUE,AG73)</f>
        <v>0</v>
      </c>
      <c r="AL73" s="439" t="e">
        <f ca="1">IF(AND(NOT(ISBLANK(Jumpoverwrite7)),AND(NOT(AK73),AND(AK$4:AK72))),($J73*$G73-LN(1+Jumpoverwrite7*AM$2))/$G73,_xll.qlInterpolationInterpolate(AK$3,$F73,TRUE))</f>
        <v>#NAME?</v>
      </c>
      <c r="AM73" s="439" t="str">
        <f ca="1">IF(AND(NOT(AK73),AND(AK$4:AK72)),MIN(EXP((AL73-$J73)*$G73),1),"")</f>
        <v/>
      </c>
      <c r="AO73" s="440" t="b">
        <f ca="1">IF(AND(NOT(AK73),AND(AK$4:AK72)),TRUE,AK73)</f>
        <v>0</v>
      </c>
      <c r="AP73" s="439" t="e">
        <f ca="1">IF(AND(NOT(ISBLANK(Jumpoverwrite8)),AND(NOT(AO73),AND(AO$4:AO72))),($J73*$G73-LN(1+Jumpoverwrite8*AQ$2))/$G73,_xll.qlInterpolationInterpolate(AO$3,$F73,TRUE))</f>
        <v>#NAME?</v>
      </c>
      <c r="AQ73" s="439" t="str">
        <f ca="1">IF(AND(NOT(AO73),AND(AO$4:AO72)),MIN(EXP((AP73-$J73)*$G73),1),"")</f>
        <v/>
      </c>
      <c r="AS73" s="440" t="b">
        <f ca="1">IF(AND(NOT(AO73),AND(AO$4:AO72)),TRUE,AO73)</f>
        <v>0</v>
      </c>
      <c r="AT73" s="439" t="e">
        <f ca="1">IF(AND(NOT(ISBLANK(Jumpoverwrite9)),AND(NOT(AS73),AND(AS$4:AS72))),($J73*$G73-LN(1+Jumpoverwrite9*AU$2))/$G73,_xll.qlInterpolationInterpolate(AS$3,$F73,TRUE))</f>
        <v>#NAME?</v>
      </c>
      <c r="AU73" s="439" t="str">
        <f ca="1">IF(AND(NOT(AS73),AND(AS$4:AS72)),MIN(EXP((AT73-$J73)*$G73),1),"")</f>
        <v/>
      </c>
      <c r="AW73" s="440" t="b">
        <f ca="1">IF(AND(NOT(AS73),AND(AS$4:AS72)),TRUE,AS73)</f>
        <v>0</v>
      </c>
      <c r="AX73" s="439" t="e">
        <f ca="1">IF(AND(NOT(ISBLANK(Jumpoverwrite10)),AND(NOT(AW73),AND(AW$4:AW72))),($J73*$G73-LN(1+Jumpoverwrite10*AY$2))/$G73,_xll.qlInterpolationInterpolate(AW$3,$F73,TRUE))</f>
        <v>#NAME?</v>
      </c>
      <c r="AY73" s="439" t="str">
        <f ca="1">IF(AND(NOT(AW73),AND(AW$4:AW72)),MIN(EXP((AX73-$J73)*$G73),1),"")</f>
        <v/>
      </c>
      <c r="BA73" s="440" t="b">
        <f ca="1">IF(AND(NOT(AW73),AND(AW$4:AW72)),TRUE,AW73)</f>
        <v>0</v>
      </c>
      <c r="BB73" s="439" t="e">
        <f ca="1">IF(AND(NOT(ISBLANK(Jumpoverwrite11)),AND(NOT(BA73),AND(BA$4:BA72))),($J73*$G73-LN(1+Jumpoverwrite11*BC$2))/$G73,_xll.qlInterpolationInterpolate(BA$3,$F73,TRUE))</f>
        <v>#NAME?</v>
      </c>
      <c r="BC73" s="439" t="str">
        <f ca="1">IF(AND(NOT(BA73),AND(BA$4:BA72)),MIN(EXP((BB73-$J73)*$G73),1),"")</f>
        <v/>
      </c>
      <c r="BE73" s="440" t="b">
        <f ca="1">IF(AND(NOT(BA73),AND(BA$4:BA72)),TRUE,BA73)</f>
        <v>0</v>
      </c>
      <c r="BF73" s="439" t="e">
        <f ca="1">IF(AND(NOT(ISBLANK(Jumpoverwrite12)),AND(NOT(BE73),AND(BE$4:BE72))),($J73*$G73-LN(1+Jumpoverwrite12*BG$2))/$G73,_xll.qlInterpolationInterpolate(BE$3,$F73,TRUE))</f>
        <v>#NAME?</v>
      </c>
      <c r="BG73" s="439" t="str">
        <f ca="1">IF(AND(NOT(BE73),AND(BE$4:BE72)),MIN(EXP((BF73-$J73)*$G73),1),"")</f>
        <v/>
      </c>
      <c r="BI73" s="440" t="b">
        <f t="shared" ca="1" si="11"/>
        <v>0</v>
      </c>
      <c r="BJ73" s="439" t="e">
        <f ca="1">IF(AND(NOT(ISBLANK(jumpoverwrite13)),AND(NOT(BI73),AND(BI$4:BI72))),($J73*$G73-LN(1+jumpoverwrite13*BK$2))/$G73,_xll.qlInterpolationInterpolate(BI$3,$F73,TRUE))</f>
        <v>#NAME?</v>
      </c>
      <c r="BK73" s="439" t="str">
        <f ca="1">IF(AND(NOT(BI73),AND(BI$4:BI72)),MIN(EXP((BJ73-$J73)*$G73),1),"")</f>
        <v/>
      </c>
    </row>
    <row r="74" spans="1:63" x14ac:dyDescent="0.2">
      <c r="A74" s="438" t="e">
        <f ca="1"/>
        <v>#NAME?</v>
      </c>
      <c r="B74" s="437" t="e">
        <f ca="1">_xll.qlRateHelperRate($A74,InterestRatesTrigger)</f>
        <v>#NAME?</v>
      </c>
      <c r="C74" s="436" t="e">
        <f ca="1">_xll.qlRateHelperEarliestDate($A74)</f>
        <v>#NAME?</v>
      </c>
      <c r="D74" s="435" t="e">
        <f ca="1">_xll.qlRateHelperPillarDate($A74)</f>
        <v>#NAME?</v>
      </c>
      <c r="F74" s="445" t="e">
        <f t="shared" ca="1" si="9"/>
        <v>#N/A</v>
      </c>
      <c r="G74" s="444" t="e">
        <f ca="1">_xll.qlDayCounterYearFraction(DayCounter,D73,D74)</f>
        <v>#NAME?</v>
      </c>
      <c r="I74" s="443" t="b">
        <f t="shared" ca="1" si="10"/>
        <v>0</v>
      </c>
      <c r="J74" s="442" t="e">
        <f ca="1"/>
        <v>#NAME?</v>
      </c>
      <c r="K74" s="441" t="e">
        <f t="shared" ca="1" si="8"/>
        <v>#NAME?</v>
      </c>
      <c r="L74" s="429"/>
      <c r="M74" s="440" t="b">
        <f ca="1">IF(AND(NOT(I74),AND(I$4:I73)),TRUE,I74)</f>
        <v>0</v>
      </c>
      <c r="N74" s="439" t="e">
        <f ca="1">IF(AND(NOT(ISBLANK(Jumpoverwrite1)),AND(NOT(M74),AND(M$4:M73))),($J74*$G74-LN(1+Jumpoverwrite1*O$2))/$G74,_xll.qlInterpolationInterpolate(M$3,$F74,TRUE))</f>
        <v>#NAME?</v>
      </c>
      <c r="O74" s="439" t="str">
        <f ca="1">IF(AND(NOT(M74),AND(M$4:M73)),MIN(EXP((N74-$J74)*$G74),1),"")</f>
        <v/>
      </c>
      <c r="P74" s="428"/>
      <c r="Q74" s="440" t="b">
        <f ca="1">IF(AND(NOT(M74),AND(M$4:M73)),TRUE,M74)</f>
        <v>0</v>
      </c>
      <c r="R74" s="439" t="e">
        <f ca="1">IF(AND(NOT(ISBLANK(Jumpoverwrite2)),AND(NOT(Q74),AND(Q$4:Q73))),($J74*$G74-LN(1+Jumpoverwrite2*S$2))/$G74,_xll.qlInterpolationInterpolate(Q$3,$F74,TRUE))</f>
        <v>#NAME?</v>
      </c>
      <c r="S74" s="439" t="str">
        <f ca="1">IF(AND(NOT(Q74),AND(Q$4:Q73)),MIN(EXP((R74-$J74)*$G74),1),"")</f>
        <v/>
      </c>
      <c r="T74" s="428"/>
      <c r="U74" s="440" t="b">
        <f ca="1">IF(AND(NOT(Q74),AND(Q$4:Q73)),TRUE,Q74)</f>
        <v>0</v>
      </c>
      <c r="V74" s="439" t="e">
        <f ca="1">IF(AND(NOT(ISBLANK(Jumpoverwrite3)),AND(NOT(U74),AND(U$4:U73))),($J74*$G74-LN(1+Jumpoverwrite3*W$2))/$G74,_xll.qlInterpolationInterpolate(U$3,$F74,TRUE))</f>
        <v>#NAME?</v>
      </c>
      <c r="W74" s="439" t="str">
        <f ca="1">IF(AND(NOT(U74),AND(U$4:U73)),MIN(EXP((V74-$J74)*$G74),1),"")</f>
        <v/>
      </c>
      <c r="X74" s="428"/>
      <c r="Y74" s="440" t="b">
        <f ca="1">IF(AND(NOT(U74),AND(U$4:U73)),TRUE,U74)</f>
        <v>0</v>
      </c>
      <c r="Z74" s="439" t="e">
        <f ca="1">IF(AND(NOT(ISBLANK(Jumpoverwrite4)),AND(NOT(Y74),AND(Y$4:Y73))),($J74*$G74-LN(1+Jumpoverwrite4*AA$2))/$G74,_xll.qlInterpolationInterpolate(Y$3,$F74,TRUE))</f>
        <v>#NAME?</v>
      </c>
      <c r="AA74" s="439" t="str">
        <f ca="1">IF(AND(NOT(Y74),AND(Y$4:Y73)),MIN(EXP((Z74-$J74)*$G74),1),"")</f>
        <v/>
      </c>
      <c r="AB74" s="428"/>
      <c r="AC74" s="440" t="b">
        <f ca="1">IF(AND(NOT(Y74),AND(Y$4:Y73)),TRUE,Y74)</f>
        <v>0</v>
      </c>
      <c r="AD74" s="439" t="e">
        <f ca="1">IF(AND(NOT(ISBLANK(Jumpoverwrite5)),AND(NOT(AC74),AND(AC$4:AC73))),($J74*$G74-LN(1+Jumpoverwrite5*AE$2))/$G74,_xll.qlInterpolationInterpolate(AC$3,$F74,TRUE))</f>
        <v>#NAME?</v>
      </c>
      <c r="AE74" s="439" t="str">
        <f ca="1">IF(AND(NOT(AC74),AND(AC$4:AC73)),MIN(EXP((AD74-$J74)*$G74),1),"")</f>
        <v/>
      </c>
      <c r="AF74" s="428"/>
      <c r="AG74" s="440" t="b">
        <f ca="1">IF(AND(NOT(AC74),AND(AC$4:AC73)),TRUE,AC74)</f>
        <v>0</v>
      </c>
      <c r="AH74" s="439" t="e">
        <f ca="1">IF(AND(NOT(ISBLANK(Jumpoverwrite6)),AND(NOT(AG74),AND(AG$4:AG73))),($J74*$G74-LN(1+Jumpoverwrite6*AI$2))/$G74,_xll.qlInterpolationInterpolate(AG$3,$F74,TRUE))</f>
        <v>#NAME?</v>
      </c>
      <c r="AI74" s="439" t="str">
        <f ca="1">IF(AND(NOT(AG74),AND(AG$4:AG73)),MIN(EXP((AH74-$J74)*$G74),1),"")</f>
        <v/>
      </c>
      <c r="AJ74" s="428"/>
      <c r="AK74" s="440" t="b">
        <f ca="1">IF(AND(NOT(AG74),AND(AG$4:AG73)),TRUE,AG74)</f>
        <v>0</v>
      </c>
      <c r="AL74" s="439" t="e">
        <f ca="1">IF(AND(NOT(ISBLANK(Jumpoverwrite7)),AND(NOT(AK74),AND(AK$4:AK73))),($J74*$G74-LN(1+Jumpoverwrite7*AM$2))/$G74,_xll.qlInterpolationInterpolate(AK$3,$F74,TRUE))</f>
        <v>#NAME?</v>
      </c>
      <c r="AM74" s="439" t="str">
        <f ca="1">IF(AND(NOT(AK74),AND(AK$4:AK73)),MIN(EXP((AL74-$J74)*$G74),1),"")</f>
        <v/>
      </c>
      <c r="AO74" s="440" t="b">
        <f ca="1">IF(AND(NOT(AK74),AND(AK$4:AK73)),TRUE,AK74)</f>
        <v>0</v>
      </c>
      <c r="AP74" s="439" t="e">
        <f ca="1">IF(AND(NOT(ISBLANK(Jumpoverwrite8)),AND(NOT(AO74),AND(AO$4:AO73))),($J74*$G74-LN(1+Jumpoverwrite8*AQ$2))/$G74,_xll.qlInterpolationInterpolate(AO$3,$F74,TRUE))</f>
        <v>#NAME?</v>
      </c>
      <c r="AQ74" s="439" t="str">
        <f ca="1">IF(AND(NOT(AO74),AND(AO$4:AO73)),MIN(EXP((AP74-$J74)*$G74),1),"")</f>
        <v/>
      </c>
      <c r="AS74" s="440" t="b">
        <f ca="1">IF(AND(NOT(AO74),AND(AO$4:AO73)),TRUE,AO74)</f>
        <v>0</v>
      </c>
      <c r="AT74" s="439" t="e">
        <f ca="1">IF(AND(NOT(ISBLANK(Jumpoverwrite9)),AND(NOT(AS74),AND(AS$4:AS73))),($J74*$G74-LN(1+Jumpoverwrite9*AU$2))/$G74,_xll.qlInterpolationInterpolate(AS$3,$F74,TRUE))</f>
        <v>#NAME?</v>
      </c>
      <c r="AU74" s="439" t="str">
        <f ca="1">IF(AND(NOT(AS74),AND(AS$4:AS73)),MIN(EXP((AT74-$J74)*$G74),1),"")</f>
        <v/>
      </c>
      <c r="AW74" s="440" t="b">
        <f ca="1">IF(AND(NOT(AS74),AND(AS$4:AS73)),TRUE,AS74)</f>
        <v>0</v>
      </c>
      <c r="AX74" s="439" t="e">
        <f ca="1">IF(AND(NOT(ISBLANK(Jumpoverwrite10)),AND(NOT(AW74),AND(AW$4:AW73))),($J74*$G74-LN(1+Jumpoverwrite10*AY$2))/$G74,_xll.qlInterpolationInterpolate(AW$3,$F74,TRUE))</f>
        <v>#NAME?</v>
      </c>
      <c r="AY74" s="439" t="str">
        <f ca="1">IF(AND(NOT(AW74),AND(AW$4:AW73)),MIN(EXP((AX74-$J74)*$G74),1),"")</f>
        <v/>
      </c>
      <c r="BA74" s="440" t="b">
        <f ca="1">IF(AND(NOT(AW74),AND(AW$4:AW73)),TRUE,AW74)</f>
        <v>0</v>
      </c>
      <c r="BB74" s="439" t="e">
        <f ca="1">IF(AND(NOT(ISBLANK(Jumpoverwrite11)),AND(NOT(BA74),AND(BA$4:BA73))),($J74*$G74-LN(1+Jumpoverwrite11*BC$2))/$G74,_xll.qlInterpolationInterpolate(BA$3,$F74,TRUE))</f>
        <v>#NAME?</v>
      </c>
      <c r="BC74" s="439" t="str">
        <f ca="1">IF(AND(NOT(BA74),AND(BA$4:BA73)),MIN(EXP((BB74-$J74)*$G74),1),"")</f>
        <v/>
      </c>
      <c r="BE74" s="440" t="b">
        <f ca="1">IF(AND(NOT(BA74),AND(BA$4:BA73)),TRUE,BA74)</f>
        <v>0</v>
      </c>
      <c r="BF74" s="439" t="e">
        <f ca="1">IF(AND(NOT(ISBLANK(Jumpoverwrite12)),AND(NOT(BE74),AND(BE$4:BE73))),($J74*$G74-LN(1+Jumpoverwrite12*BG$2))/$G74,_xll.qlInterpolationInterpolate(BE$3,$F74,TRUE))</f>
        <v>#NAME?</v>
      </c>
      <c r="BG74" s="439" t="str">
        <f ca="1">IF(AND(NOT(BE74),AND(BE$4:BE73)),MIN(EXP((BF74-$J74)*$G74),1),"")</f>
        <v/>
      </c>
      <c r="BI74" s="440" t="b">
        <f t="shared" ca="1" si="11"/>
        <v>0</v>
      </c>
      <c r="BJ74" s="439" t="e">
        <f ca="1">IF(AND(NOT(ISBLANK(jumpoverwrite13)),AND(NOT(BI74),AND(BI$4:BI73))),($J74*$G74-LN(1+jumpoverwrite13*BK$2))/$G74,_xll.qlInterpolationInterpolate(BI$3,$F74,TRUE))</f>
        <v>#NAME?</v>
      </c>
      <c r="BK74" s="439" t="str">
        <f ca="1">IF(AND(NOT(BI74),AND(BI$4:BI73)),MIN(EXP((BJ74-$J74)*$G74),1),"")</f>
        <v/>
      </c>
    </row>
    <row r="75" spans="1:63" x14ac:dyDescent="0.2">
      <c r="A75" s="438" t="e">
        <f ca="1"/>
        <v>#NAME?</v>
      </c>
      <c r="B75" s="437" t="e">
        <f ca="1">_xll.qlRateHelperRate($A75,InterestRatesTrigger)</f>
        <v>#NAME?</v>
      </c>
      <c r="C75" s="436" t="e">
        <f ca="1">_xll.qlRateHelperEarliestDate($A75)</f>
        <v>#NAME?</v>
      </c>
      <c r="D75" s="435" t="e">
        <f ca="1">_xll.qlRateHelperPillarDate($A75)</f>
        <v>#NAME?</v>
      </c>
      <c r="F75" s="445" t="e">
        <f t="shared" ca="1" si="9"/>
        <v>#N/A</v>
      </c>
      <c r="G75" s="444" t="e">
        <f ca="1">_xll.qlDayCounterYearFraction(DayCounter,D74,D75)</f>
        <v>#NAME?</v>
      </c>
      <c r="I75" s="443" t="b">
        <f t="shared" ca="1" si="10"/>
        <v>0</v>
      </c>
      <c r="J75" s="442" t="e">
        <f ca="1"/>
        <v>#NAME?</v>
      </c>
      <c r="K75" s="441" t="e">
        <f t="shared" ca="1" si="8"/>
        <v>#NAME?</v>
      </c>
      <c r="L75" s="429"/>
      <c r="M75" s="440" t="b">
        <f ca="1">IF(AND(NOT(I75),AND(I$4:I74)),TRUE,I75)</f>
        <v>0</v>
      </c>
      <c r="N75" s="439" t="e">
        <f ca="1">IF(AND(NOT(ISBLANK(Jumpoverwrite1)),AND(NOT(M75),AND(M$4:M74))),($J75*$G75-LN(1+Jumpoverwrite1*O$2))/$G75,_xll.qlInterpolationInterpolate(M$3,$F75,TRUE))</f>
        <v>#NAME?</v>
      </c>
      <c r="O75" s="439" t="str">
        <f ca="1">IF(AND(NOT(M75),AND(M$4:M74)),MIN(EXP((N75-$J75)*$G75),1),"")</f>
        <v/>
      </c>
      <c r="P75" s="428"/>
      <c r="Q75" s="440" t="b">
        <f ca="1">IF(AND(NOT(M75),AND(M$4:M74)),TRUE,M75)</f>
        <v>0</v>
      </c>
      <c r="R75" s="439" t="e">
        <f ca="1">IF(AND(NOT(ISBLANK(Jumpoverwrite2)),AND(NOT(Q75),AND(Q$4:Q74))),($J75*$G75-LN(1+Jumpoverwrite2*S$2))/$G75,_xll.qlInterpolationInterpolate(Q$3,$F75,TRUE))</f>
        <v>#NAME?</v>
      </c>
      <c r="S75" s="439" t="str">
        <f ca="1">IF(AND(NOT(Q75),AND(Q$4:Q74)),MIN(EXP((R75-$J75)*$G75),1),"")</f>
        <v/>
      </c>
      <c r="T75" s="428"/>
      <c r="U75" s="440" t="b">
        <f ca="1">IF(AND(NOT(Q75),AND(Q$4:Q74)),TRUE,Q75)</f>
        <v>0</v>
      </c>
      <c r="V75" s="439" t="e">
        <f ca="1">IF(AND(NOT(ISBLANK(Jumpoverwrite3)),AND(NOT(U75),AND(U$4:U74))),($J75*$G75-LN(1+Jumpoverwrite3*W$2))/$G75,_xll.qlInterpolationInterpolate(U$3,$F75,TRUE))</f>
        <v>#NAME?</v>
      </c>
      <c r="W75" s="439" t="str">
        <f ca="1">IF(AND(NOT(U75),AND(U$4:U74)),MIN(EXP((V75-$J75)*$G75),1),"")</f>
        <v/>
      </c>
      <c r="X75" s="428"/>
      <c r="Y75" s="440" t="b">
        <f ca="1">IF(AND(NOT(U75),AND(U$4:U74)),TRUE,U75)</f>
        <v>0</v>
      </c>
      <c r="Z75" s="439" t="e">
        <f ca="1">IF(AND(NOT(ISBLANK(Jumpoverwrite4)),AND(NOT(Y75),AND(Y$4:Y74))),($J75*$G75-LN(1+Jumpoverwrite4*AA$2))/$G75,_xll.qlInterpolationInterpolate(Y$3,$F75,TRUE))</f>
        <v>#NAME?</v>
      </c>
      <c r="AA75" s="439" t="str">
        <f ca="1">IF(AND(NOT(Y75),AND(Y$4:Y74)),MIN(EXP((Z75-$J75)*$G75),1),"")</f>
        <v/>
      </c>
      <c r="AB75" s="428"/>
      <c r="AC75" s="440" t="b">
        <f ca="1">IF(AND(NOT(Y75),AND(Y$4:Y74)),TRUE,Y75)</f>
        <v>0</v>
      </c>
      <c r="AD75" s="439" t="e">
        <f ca="1">IF(AND(NOT(ISBLANK(Jumpoverwrite5)),AND(NOT(AC75),AND(AC$4:AC74))),($J75*$G75-LN(1+Jumpoverwrite5*AE$2))/$G75,_xll.qlInterpolationInterpolate(AC$3,$F75,TRUE))</f>
        <v>#NAME?</v>
      </c>
      <c r="AE75" s="439" t="str">
        <f ca="1">IF(AND(NOT(AC75),AND(AC$4:AC74)),MIN(EXP((AD75-$J75)*$G75),1),"")</f>
        <v/>
      </c>
      <c r="AF75" s="428"/>
      <c r="AG75" s="440" t="b">
        <f ca="1">IF(AND(NOT(AC75),AND(AC$4:AC74)),TRUE,AC75)</f>
        <v>0</v>
      </c>
      <c r="AH75" s="439" t="e">
        <f ca="1">IF(AND(NOT(ISBLANK(Jumpoverwrite6)),AND(NOT(AG75),AND(AG$4:AG74))),($J75*$G75-LN(1+Jumpoverwrite6*AI$2))/$G75,_xll.qlInterpolationInterpolate(AG$3,$F75,TRUE))</f>
        <v>#NAME?</v>
      </c>
      <c r="AI75" s="439" t="str">
        <f ca="1">IF(AND(NOT(AG75),AND(AG$4:AG74)),MIN(EXP((AH75-$J75)*$G75),1),"")</f>
        <v/>
      </c>
      <c r="AJ75" s="428"/>
      <c r="AK75" s="440" t="b">
        <f ca="1">IF(AND(NOT(AG75),AND(AG$4:AG74)),TRUE,AG75)</f>
        <v>0</v>
      </c>
      <c r="AL75" s="439" t="e">
        <f ca="1">IF(AND(NOT(ISBLANK(Jumpoverwrite7)),AND(NOT(AK75),AND(AK$4:AK74))),($J75*$G75-LN(1+Jumpoverwrite7*AM$2))/$G75,_xll.qlInterpolationInterpolate(AK$3,$F75,TRUE))</f>
        <v>#NAME?</v>
      </c>
      <c r="AM75" s="439" t="str">
        <f ca="1">IF(AND(NOT(AK75),AND(AK$4:AK74)),MIN(EXP((AL75-$J75)*$G75),1),"")</f>
        <v/>
      </c>
      <c r="AO75" s="440" t="b">
        <f ca="1">IF(AND(NOT(AK75),AND(AK$4:AK74)),TRUE,AK75)</f>
        <v>0</v>
      </c>
      <c r="AP75" s="439" t="e">
        <f ca="1">IF(AND(NOT(ISBLANK(Jumpoverwrite8)),AND(NOT(AO75),AND(AO$4:AO74))),($J75*$G75-LN(1+Jumpoverwrite8*AQ$2))/$G75,_xll.qlInterpolationInterpolate(AO$3,$F75,TRUE))</f>
        <v>#NAME?</v>
      </c>
      <c r="AQ75" s="439" t="str">
        <f ca="1">IF(AND(NOT(AO75),AND(AO$4:AO74)),MIN(EXP((AP75-$J75)*$G75),1),"")</f>
        <v/>
      </c>
      <c r="AS75" s="440" t="b">
        <f ca="1">IF(AND(NOT(AO75),AND(AO$4:AO74)),TRUE,AO75)</f>
        <v>0</v>
      </c>
      <c r="AT75" s="439" t="e">
        <f ca="1">IF(AND(NOT(ISBLANK(Jumpoverwrite9)),AND(NOT(AS75),AND(AS$4:AS74))),($J75*$G75-LN(1+Jumpoverwrite9*AU$2))/$G75,_xll.qlInterpolationInterpolate(AS$3,$F75,TRUE))</f>
        <v>#NAME?</v>
      </c>
      <c r="AU75" s="439" t="str">
        <f ca="1">IF(AND(NOT(AS75),AND(AS$4:AS74)),MIN(EXP((AT75-$J75)*$G75),1),"")</f>
        <v/>
      </c>
      <c r="AW75" s="440" t="b">
        <f ca="1">IF(AND(NOT(AS75),AND(AS$4:AS74)),TRUE,AS75)</f>
        <v>0</v>
      </c>
      <c r="AX75" s="439" t="e">
        <f ca="1">IF(AND(NOT(ISBLANK(Jumpoverwrite10)),AND(NOT(AW75),AND(AW$4:AW74))),($J75*$G75-LN(1+Jumpoverwrite10*AY$2))/$G75,_xll.qlInterpolationInterpolate(AW$3,$F75,TRUE))</f>
        <v>#NAME?</v>
      </c>
      <c r="AY75" s="439" t="str">
        <f ca="1">IF(AND(NOT(AW75),AND(AW$4:AW74)),MIN(EXP((AX75-$J75)*$G75),1),"")</f>
        <v/>
      </c>
      <c r="BA75" s="440" t="b">
        <f ca="1">IF(AND(NOT(AW75),AND(AW$4:AW74)),TRUE,AW75)</f>
        <v>0</v>
      </c>
      <c r="BB75" s="439" t="e">
        <f ca="1">IF(AND(NOT(ISBLANK(Jumpoverwrite11)),AND(NOT(BA75),AND(BA$4:BA74))),($J75*$G75-LN(1+Jumpoverwrite11*BC$2))/$G75,_xll.qlInterpolationInterpolate(BA$3,$F75,TRUE))</f>
        <v>#NAME?</v>
      </c>
      <c r="BC75" s="439" t="str">
        <f ca="1">IF(AND(NOT(BA75),AND(BA$4:BA74)),MIN(EXP((BB75-$J75)*$G75),1),"")</f>
        <v/>
      </c>
      <c r="BE75" s="440" t="b">
        <f ca="1">IF(AND(NOT(BA75),AND(BA$4:BA74)),TRUE,BA75)</f>
        <v>0</v>
      </c>
      <c r="BF75" s="439" t="e">
        <f ca="1">IF(AND(NOT(ISBLANK(Jumpoverwrite12)),AND(NOT(BE75),AND(BE$4:BE74))),($J75*$G75-LN(1+Jumpoverwrite12*BG$2))/$G75,_xll.qlInterpolationInterpolate(BE$3,$F75,TRUE))</f>
        <v>#NAME?</v>
      </c>
      <c r="BG75" s="439" t="str">
        <f ca="1">IF(AND(NOT(BE75),AND(BE$4:BE74)),MIN(EXP((BF75-$J75)*$G75),1),"")</f>
        <v/>
      </c>
      <c r="BI75" s="440" t="b">
        <f t="shared" ca="1" si="11"/>
        <v>0</v>
      </c>
      <c r="BJ75" s="439" t="e">
        <f ca="1">IF(AND(NOT(ISBLANK(jumpoverwrite13)),AND(NOT(BI75),AND(BI$4:BI74))),($J75*$G75-LN(1+jumpoverwrite13*BK$2))/$G75,_xll.qlInterpolationInterpolate(BI$3,$F75,TRUE))</f>
        <v>#NAME?</v>
      </c>
      <c r="BK75" s="439" t="str">
        <f ca="1">IF(AND(NOT(BI75),AND(BI$4:BI74)),MIN(EXP((BJ75-$J75)*$G75),1),"")</f>
        <v/>
      </c>
    </row>
    <row r="76" spans="1:63" x14ac:dyDescent="0.2">
      <c r="A76" s="438" t="e">
        <f ca="1"/>
        <v>#NAME?</v>
      </c>
      <c r="B76" s="437" t="e">
        <f ca="1">_xll.qlRateHelperRate($A76,InterestRatesTrigger)</f>
        <v>#NAME?</v>
      </c>
      <c r="C76" s="436" t="e">
        <f ca="1">_xll.qlRateHelperEarliestDate($A76)</f>
        <v>#NAME?</v>
      </c>
      <c r="D76" s="435" t="e">
        <f ca="1">_xll.qlRateHelperPillarDate($A76)</f>
        <v>#NAME?</v>
      </c>
      <c r="F76" s="445" t="e">
        <f t="shared" ca="1" si="9"/>
        <v>#N/A</v>
      </c>
      <c r="G76" s="444" t="e">
        <f ca="1">_xll.qlDayCounterYearFraction(DayCounter,D75,D76)</f>
        <v>#NAME?</v>
      </c>
      <c r="I76" s="443" t="b">
        <f t="shared" ca="1" si="10"/>
        <v>0</v>
      </c>
      <c r="J76" s="442" t="e">
        <f ca="1"/>
        <v>#NAME?</v>
      </c>
      <c r="K76" s="441" t="e">
        <f t="shared" ca="1" si="8"/>
        <v>#NAME?</v>
      </c>
      <c r="L76" s="429"/>
      <c r="M76" s="440" t="b">
        <f ca="1">IF(AND(NOT(I76),AND(I$4:I75)),TRUE,I76)</f>
        <v>0</v>
      </c>
      <c r="N76" s="439" t="e">
        <f ca="1">IF(AND(NOT(ISBLANK(Jumpoverwrite1)),AND(NOT(M76),AND(M$4:M75))),($J76*$G76-LN(1+Jumpoverwrite1*O$2))/$G76,_xll.qlInterpolationInterpolate(M$3,$F76,TRUE))</f>
        <v>#NAME?</v>
      </c>
      <c r="O76" s="439" t="str">
        <f ca="1">IF(AND(NOT(M76),AND(M$4:M75)),MIN(EXP((N76-$J76)*$G76),1),"")</f>
        <v/>
      </c>
      <c r="P76" s="428"/>
      <c r="Q76" s="440" t="b">
        <f ca="1">IF(AND(NOT(M76),AND(M$4:M75)),TRUE,M76)</f>
        <v>0</v>
      </c>
      <c r="R76" s="439" t="e">
        <f ca="1">IF(AND(NOT(ISBLANK(Jumpoverwrite2)),AND(NOT(Q76),AND(Q$4:Q75))),($J76*$G76-LN(1+Jumpoverwrite2*S$2))/$G76,_xll.qlInterpolationInterpolate(Q$3,$F76,TRUE))</f>
        <v>#NAME?</v>
      </c>
      <c r="S76" s="439" t="str">
        <f ca="1">IF(AND(NOT(Q76),AND(Q$4:Q75)),MIN(EXP((R76-$J76)*$G76),1),"")</f>
        <v/>
      </c>
      <c r="T76" s="428"/>
      <c r="U76" s="440" t="b">
        <f ca="1">IF(AND(NOT(Q76),AND(Q$4:Q75)),TRUE,Q76)</f>
        <v>0</v>
      </c>
      <c r="V76" s="439" t="e">
        <f ca="1">IF(AND(NOT(ISBLANK(Jumpoverwrite3)),AND(NOT(U76),AND(U$4:U75))),($J76*$G76-LN(1+Jumpoverwrite3*W$2))/$G76,_xll.qlInterpolationInterpolate(U$3,$F76,TRUE))</f>
        <v>#NAME?</v>
      </c>
      <c r="W76" s="439" t="str">
        <f ca="1">IF(AND(NOT(U76),AND(U$4:U75)),MIN(EXP((V76-$J76)*$G76),1),"")</f>
        <v/>
      </c>
      <c r="X76" s="428"/>
      <c r="Y76" s="440" t="b">
        <f ca="1">IF(AND(NOT(U76),AND(U$4:U75)),TRUE,U76)</f>
        <v>0</v>
      </c>
      <c r="Z76" s="439" t="e">
        <f ca="1">IF(AND(NOT(ISBLANK(Jumpoverwrite4)),AND(NOT(Y76),AND(Y$4:Y75))),($J76*$G76-LN(1+Jumpoverwrite4*AA$2))/$G76,_xll.qlInterpolationInterpolate(Y$3,$F76,TRUE))</f>
        <v>#NAME?</v>
      </c>
      <c r="AA76" s="439" t="str">
        <f ca="1">IF(AND(NOT(Y76),AND(Y$4:Y75)),MIN(EXP((Z76-$J76)*$G76),1),"")</f>
        <v/>
      </c>
      <c r="AB76" s="428"/>
      <c r="AC76" s="440" t="b">
        <f ca="1">IF(AND(NOT(Y76),AND(Y$4:Y75)),TRUE,Y76)</f>
        <v>0</v>
      </c>
      <c r="AD76" s="439" t="e">
        <f ca="1">IF(AND(NOT(ISBLANK(Jumpoverwrite5)),AND(NOT(AC76),AND(AC$4:AC75))),($J76*$G76-LN(1+Jumpoverwrite5*AE$2))/$G76,_xll.qlInterpolationInterpolate(AC$3,$F76,TRUE))</f>
        <v>#NAME?</v>
      </c>
      <c r="AE76" s="439" t="str">
        <f ca="1">IF(AND(NOT(AC76),AND(AC$4:AC75)),MIN(EXP((AD76-$J76)*$G76),1),"")</f>
        <v/>
      </c>
      <c r="AF76" s="428"/>
      <c r="AG76" s="440" t="b">
        <f ca="1">IF(AND(NOT(AC76),AND(AC$4:AC75)),TRUE,AC76)</f>
        <v>0</v>
      </c>
      <c r="AH76" s="439" t="e">
        <f ca="1">IF(AND(NOT(ISBLANK(Jumpoverwrite6)),AND(NOT(AG76),AND(AG$4:AG75))),($J76*$G76-LN(1+Jumpoverwrite6*AI$2))/$G76,_xll.qlInterpolationInterpolate(AG$3,$F76,TRUE))</f>
        <v>#NAME?</v>
      </c>
      <c r="AI76" s="439" t="str">
        <f ca="1">IF(AND(NOT(AG76),AND(AG$4:AG75)),MIN(EXP((AH76-$J76)*$G76),1),"")</f>
        <v/>
      </c>
      <c r="AJ76" s="428"/>
      <c r="AK76" s="440" t="b">
        <f ca="1">IF(AND(NOT(AG76),AND(AG$4:AG75)),TRUE,AG76)</f>
        <v>0</v>
      </c>
      <c r="AL76" s="439" t="e">
        <f ca="1">IF(AND(NOT(ISBLANK(Jumpoverwrite7)),AND(NOT(AK76),AND(AK$4:AK75))),($J76*$G76-LN(1+Jumpoverwrite7*AM$2))/$G76,_xll.qlInterpolationInterpolate(AK$3,$F76,TRUE))</f>
        <v>#NAME?</v>
      </c>
      <c r="AM76" s="439" t="str">
        <f ca="1">IF(AND(NOT(AK76),AND(AK$4:AK75)),MIN(EXP((AL76-$J76)*$G76),1),"")</f>
        <v/>
      </c>
      <c r="AO76" s="440" t="b">
        <f ca="1">IF(AND(NOT(AK76),AND(AK$4:AK75)),TRUE,AK76)</f>
        <v>0</v>
      </c>
      <c r="AP76" s="439" t="e">
        <f ca="1">IF(AND(NOT(ISBLANK(Jumpoverwrite8)),AND(NOT(AO76),AND(AO$4:AO75))),($J76*$G76-LN(1+Jumpoverwrite8*AQ$2))/$G76,_xll.qlInterpolationInterpolate(AO$3,$F76,TRUE))</f>
        <v>#NAME?</v>
      </c>
      <c r="AQ76" s="439" t="str">
        <f ca="1">IF(AND(NOT(AO76),AND(AO$4:AO75)),MIN(EXP((AP76-$J76)*$G76),1),"")</f>
        <v/>
      </c>
      <c r="AS76" s="440" t="b">
        <f ca="1">IF(AND(NOT(AO76),AND(AO$4:AO75)),TRUE,AO76)</f>
        <v>0</v>
      </c>
      <c r="AT76" s="439" t="e">
        <f ca="1">IF(AND(NOT(ISBLANK(Jumpoverwrite9)),AND(NOT(AS76),AND(AS$4:AS75))),($J76*$G76-LN(1+Jumpoverwrite9*AU$2))/$G76,_xll.qlInterpolationInterpolate(AS$3,$F76,TRUE))</f>
        <v>#NAME?</v>
      </c>
      <c r="AU76" s="439" t="str">
        <f ca="1">IF(AND(NOT(AS76),AND(AS$4:AS75)),MIN(EXP((AT76-$J76)*$G76),1),"")</f>
        <v/>
      </c>
      <c r="AW76" s="440" t="b">
        <f ca="1">IF(AND(NOT(AS76),AND(AS$4:AS75)),TRUE,AS76)</f>
        <v>0</v>
      </c>
      <c r="AX76" s="439" t="e">
        <f ca="1">IF(AND(NOT(ISBLANK(Jumpoverwrite10)),AND(NOT(AW76),AND(AW$4:AW75))),($J76*$G76-LN(1+Jumpoverwrite10*AY$2))/$G76,_xll.qlInterpolationInterpolate(AW$3,$F76,TRUE))</f>
        <v>#NAME?</v>
      </c>
      <c r="AY76" s="439" t="str">
        <f ca="1">IF(AND(NOT(AW76),AND(AW$4:AW75)),MIN(EXP((AX76-$J76)*$G76),1),"")</f>
        <v/>
      </c>
      <c r="BA76" s="440" t="b">
        <f ca="1">IF(AND(NOT(AW76),AND(AW$4:AW75)),TRUE,AW76)</f>
        <v>0</v>
      </c>
      <c r="BB76" s="439" t="e">
        <f ca="1">IF(AND(NOT(ISBLANK(Jumpoverwrite11)),AND(NOT(BA76),AND(BA$4:BA75))),($J76*$G76-LN(1+Jumpoverwrite11*BC$2))/$G76,_xll.qlInterpolationInterpolate(BA$3,$F76,TRUE))</f>
        <v>#NAME?</v>
      </c>
      <c r="BC76" s="439" t="str">
        <f ca="1">IF(AND(NOT(BA76),AND(BA$4:BA75)),MIN(EXP((BB76-$J76)*$G76),1),"")</f>
        <v/>
      </c>
      <c r="BE76" s="440" t="b">
        <f ca="1">IF(AND(NOT(BA76),AND(BA$4:BA75)),TRUE,BA76)</f>
        <v>0</v>
      </c>
      <c r="BF76" s="439" t="e">
        <f ca="1">IF(AND(NOT(ISBLANK(Jumpoverwrite12)),AND(NOT(BE76),AND(BE$4:BE75))),($J76*$G76-LN(1+Jumpoverwrite12*BG$2))/$G76,_xll.qlInterpolationInterpolate(BE$3,$F76,TRUE))</f>
        <v>#NAME?</v>
      </c>
      <c r="BG76" s="439" t="str">
        <f ca="1">IF(AND(NOT(BE76),AND(BE$4:BE75)),MIN(EXP((BF76-$J76)*$G76),1),"")</f>
        <v/>
      </c>
      <c r="BI76" s="440" t="b">
        <f t="shared" ca="1" si="11"/>
        <v>0</v>
      </c>
      <c r="BJ76" s="439" t="e">
        <f ca="1">IF(AND(NOT(ISBLANK(jumpoverwrite13)),AND(NOT(BI76),AND(BI$4:BI75))),($J76*$G76-LN(1+jumpoverwrite13*BK$2))/$G76,_xll.qlInterpolationInterpolate(BI$3,$F76,TRUE))</f>
        <v>#NAME?</v>
      </c>
      <c r="BK76" s="439" t="str">
        <f ca="1">IF(AND(NOT(BI76),AND(BI$4:BI75)),MIN(EXP((BJ76-$J76)*$G76),1),"")</f>
        <v/>
      </c>
    </row>
    <row r="77" spans="1:63" x14ac:dyDescent="0.2">
      <c r="A77" s="438" t="e">
        <f ca="1"/>
        <v>#NAME?</v>
      </c>
      <c r="B77" s="437" t="e">
        <f ca="1">_xll.qlRateHelperRate($A77,InterestRatesTrigger)</f>
        <v>#NAME?</v>
      </c>
      <c r="C77" s="436" t="e">
        <f ca="1">_xll.qlRateHelperEarliestDate($A77)</f>
        <v>#NAME?</v>
      </c>
      <c r="D77" s="435" t="e">
        <f ca="1">_xll.qlRateHelperPillarDate($A77)</f>
        <v>#NAME?</v>
      </c>
      <c r="F77" s="445" t="e">
        <f t="shared" ca="1" si="9"/>
        <v>#N/A</v>
      </c>
      <c r="G77" s="444" t="e">
        <f ca="1">_xll.qlDayCounterYearFraction(DayCounter,D76,D77)</f>
        <v>#NAME?</v>
      </c>
      <c r="I77" s="443" t="b">
        <f t="shared" ca="1" si="10"/>
        <v>0</v>
      </c>
      <c r="J77" s="442" t="e">
        <f ca="1"/>
        <v>#NAME?</v>
      </c>
      <c r="K77" s="441" t="e">
        <f t="shared" ca="1" si="8"/>
        <v>#NAME?</v>
      </c>
      <c r="L77" s="429"/>
      <c r="M77" s="440" t="b">
        <f ca="1">IF(AND(NOT(I77),AND(I$4:I76)),TRUE,I77)</f>
        <v>0</v>
      </c>
      <c r="N77" s="439" t="e">
        <f ca="1">IF(AND(NOT(ISBLANK(Jumpoverwrite1)),AND(NOT(M77),AND(M$4:M76))),($J77*$G77-LN(1+Jumpoverwrite1*O$2))/$G77,_xll.qlInterpolationInterpolate(M$3,$F77,TRUE))</f>
        <v>#NAME?</v>
      </c>
      <c r="O77" s="439" t="str">
        <f ca="1">IF(AND(NOT(M77),AND(M$4:M76)),MIN(EXP((N77-$J77)*$G77),1),"")</f>
        <v/>
      </c>
      <c r="P77" s="428"/>
      <c r="Q77" s="440" t="b">
        <f ca="1">IF(AND(NOT(M77),AND(M$4:M76)),TRUE,M77)</f>
        <v>0</v>
      </c>
      <c r="R77" s="439" t="e">
        <f ca="1">IF(AND(NOT(ISBLANK(Jumpoverwrite2)),AND(NOT(Q77),AND(Q$4:Q76))),($J77*$G77-LN(1+Jumpoverwrite2*S$2))/$G77,_xll.qlInterpolationInterpolate(Q$3,$F77,TRUE))</f>
        <v>#NAME?</v>
      </c>
      <c r="S77" s="439" t="str">
        <f ca="1">IF(AND(NOT(Q77),AND(Q$4:Q76)),MIN(EXP((R77-$J77)*$G77),1),"")</f>
        <v/>
      </c>
      <c r="T77" s="428"/>
      <c r="U77" s="440" t="b">
        <f ca="1">IF(AND(NOT(Q77),AND(Q$4:Q76)),TRUE,Q77)</f>
        <v>0</v>
      </c>
      <c r="V77" s="439" t="e">
        <f ca="1">IF(AND(NOT(ISBLANK(Jumpoverwrite3)),AND(NOT(U77),AND(U$4:U76))),($J77*$G77-LN(1+Jumpoverwrite3*W$2))/$G77,_xll.qlInterpolationInterpolate(U$3,$F77,TRUE))</f>
        <v>#NAME?</v>
      </c>
      <c r="W77" s="439" t="str">
        <f ca="1">IF(AND(NOT(U77),AND(U$4:U76)),MIN(EXP((V77-$J77)*$G77),1),"")</f>
        <v/>
      </c>
      <c r="X77" s="428"/>
      <c r="Y77" s="440" t="b">
        <f ca="1">IF(AND(NOT(U77),AND(U$4:U76)),TRUE,U77)</f>
        <v>0</v>
      </c>
      <c r="Z77" s="439" t="e">
        <f ca="1">IF(AND(NOT(ISBLANK(Jumpoverwrite4)),AND(NOT(Y77),AND(Y$4:Y76))),($J77*$G77-LN(1+Jumpoverwrite4*AA$2))/$G77,_xll.qlInterpolationInterpolate(Y$3,$F77,TRUE))</f>
        <v>#NAME?</v>
      </c>
      <c r="AA77" s="439" t="str">
        <f ca="1">IF(AND(NOT(Y77),AND(Y$4:Y76)),MIN(EXP((Z77-$J77)*$G77),1),"")</f>
        <v/>
      </c>
      <c r="AB77" s="428"/>
      <c r="AC77" s="440" t="b">
        <f ca="1">IF(AND(NOT(Y77),AND(Y$4:Y76)),TRUE,Y77)</f>
        <v>0</v>
      </c>
      <c r="AD77" s="439" t="e">
        <f ca="1">IF(AND(NOT(ISBLANK(Jumpoverwrite5)),AND(NOT(AC77),AND(AC$4:AC76))),($J77*$G77-LN(1+Jumpoverwrite5*AE$2))/$G77,_xll.qlInterpolationInterpolate(AC$3,$F77,TRUE))</f>
        <v>#NAME?</v>
      </c>
      <c r="AE77" s="439" t="str">
        <f ca="1">IF(AND(NOT(AC77),AND(AC$4:AC76)),MIN(EXP((AD77-$J77)*$G77),1),"")</f>
        <v/>
      </c>
      <c r="AF77" s="428"/>
      <c r="AG77" s="440" t="b">
        <f ca="1">IF(AND(NOT(AC77),AND(AC$4:AC76)),TRUE,AC77)</f>
        <v>0</v>
      </c>
      <c r="AH77" s="439" t="e">
        <f ca="1">IF(AND(NOT(ISBLANK(Jumpoverwrite6)),AND(NOT(AG77),AND(AG$4:AG76))),($J77*$G77-LN(1+Jumpoverwrite6*AI$2))/$G77,_xll.qlInterpolationInterpolate(AG$3,$F77,TRUE))</f>
        <v>#NAME?</v>
      </c>
      <c r="AI77" s="439" t="str">
        <f ca="1">IF(AND(NOT(AG77),AND(AG$4:AG76)),MIN(EXP((AH77-$J77)*$G77),1),"")</f>
        <v/>
      </c>
      <c r="AJ77" s="428"/>
      <c r="AK77" s="440" t="b">
        <f ca="1">IF(AND(NOT(AG77),AND(AG$4:AG76)),TRUE,AG77)</f>
        <v>0</v>
      </c>
      <c r="AL77" s="439" t="e">
        <f ca="1">IF(AND(NOT(ISBLANK(Jumpoverwrite7)),AND(NOT(AK77),AND(AK$4:AK76))),($J77*$G77-LN(1+Jumpoverwrite7*AM$2))/$G77,_xll.qlInterpolationInterpolate(AK$3,$F77,TRUE))</f>
        <v>#NAME?</v>
      </c>
      <c r="AM77" s="439" t="str">
        <f ca="1">IF(AND(NOT(AK77),AND(AK$4:AK76)),MIN(EXP((AL77-$J77)*$G77),1),"")</f>
        <v/>
      </c>
      <c r="AO77" s="440" t="b">
        <f ca="1">IF(AND(NOT(AK77),AND(AK$4:AK76)),TRUE,AK77)</f>
        <v>0</v>
      </c>
      <c r="AP77" s="439" t="e">
        <f ca="1">IF(AND(NOT(ISBLANK(Jumpoverwrite8)),AND(NOT(AO77),AND(AO$4:AO76))),($J77*$G77-LN(1+Jumpoverwrite8*AQ$2))/$G77,_xll.qlInterpolationInterpolate(AO$3,$F77,TRUE))</f>
        <v>#NAME?</v>
      </c>
      <c r="AQ77" s="439" t="str">
        <f ca="1">IF(AND(NOT(AO77),AND(AO$4:AO76)),MIN(EXP((AP77-$J77)*$G77),1),"")</f>
        <v/>
      </c>
      <c r="AS77" s="440" t="b">
        <f ca="1">IF(AND(NOT(AO77),AND(AO$4:AO76)),TRUE,AO77)</f>
        <v>0</v>
      </c>
      <c r="AT77" s="439" t="e">
        <f ca="1">IF(AND(NOT(ISBLANK(Jumpoverwrite9)),AND(NOT(AS77),AND(AS$4:AS76))),($J77*$G77-LN(1+Jumpoverwrite9*AU$2))/$G77,_xll.qlInterpolationInterpolate(AS$3,$F77,TRUE))</f>
        <v>#NAME?</v>
      </c>
      <c r="AU77" s="439" t="str">
        <f ca="1">IF(AND(NOT(AS77),AND(AS$4:AS76)),MIN(EXP((AT77-$J77)*$G77),1),"")</f>
        <v/>
      </c>
      <c r="AW77" s="440" t="b">
        <f ca="1">IF(AND(NOT(AS77),AND(AS$4:AS76)),TRUE,AS77)</f>
        <v>0</v>
      </c>
      <c r="AX77" s="439" t="e">
        <f ca="1">IF(AND(NOT(ISBLANK(Jumpoverwrite10)),AND(NOT(AW77),AND(AW$4:AW76))),($J77*$G77-LN(1+Jumpoverwrite10*AY$2))/$G77,_xll.qlInterpolationInterpolate(AW$3,$F77,TRUE))</f>
        <v>#NAME?</v>
      </c>
      <c r="AY77" s="439" t="str">
        <f ca="1">IF(AND(NOT(AW77),AND(AW$4:AW76)),MIN(EXP((AX77-$J77)*$G77),1),"")</f>
        <v/>
      </c>
      <c r="BA77" s="440" t="b">
        <f ca="1">IF(AND(NOT(AW77),AND(AW$4:AW76)),TRUE,AW77)</f>
        <v>0</v>
      </c>
      <c r="BB77" s="439" t="e">
        <f ca="1">IF(AND(NOT(ISBLANK(Jumpoverwrite11)),AND(NOT(BA77),AND(BA$4:BA76))),($J77*$G77-LN(1+Jumpoverwrite11*BC$2))/$G77,_xll.qlInterpolationInterpolate(BA$3,$F77,TRUE))</f>
        <v>#NAME?</v>
      </c>
      <c r="BC77" s="439" t="str">
        <f ca="1">IF(AND(NOT(BA77),AND(BA$4:BA76)),MIN(EXP((BB77-$J77)*$G77),1),"")</f>
        <v/>
      </c>
      <c r="BE77" s="440" t="b">
        <f ca="1">IF(AND(NOT(BA77),AND(BA$4:BA76)),TRUE,BA77)</f>
        <v>0</v>
      </c>
      <c r="BF77" s="439" t="e">
        <f ca="1">IF(AND(NOT(ISBLANK(Jumpoverwrite12)),AND(NOT(BE77),AND(BE$4:BE76))),($J77*$G77-LN(1+Jumpoverwrite12*BG$2))/$G77,_xll.qlInterpolationInterpolate(BE$3,$F77,TRUE))</f>
        <v>#NAME?</v>
      </c>
      <c r="BG77" s="439" t="str">
        <f ca="1">IF(AND(NOT(BE77),AND(BE$4:BE76)),MIN(EXP((BF77-$J77)*$G77),1),"")</f>
        <v/>
      </c>
      <c r="BI77" s="440" t="b">
        <f t="shared" ca="1" si="11"/>
        <v>0</v>
      </c>
      <c r="BJ77" s="439" t="e">
        <f ca="1">IF(AND(NOT(ISBLANK(jumpoverwrite13)),AND(NOT(BI77),AND(BI$4:BI76))),($J77*$G77-LN(1+jumpoverwrite13*BK$2))/$G77,_xll.qlInterpolationInterpolate(BI$3,$F77,TRUE))</f>
        <v>#NAME?</v>
      </c>
      <c r="BK77" s="439" t="str">
        <f ca="1">IF(AND(NOT(BI77),AND(BI$4:BI76)),MIN(EXP((BJ77-$J77)*$G77),1),"")</f>
        <v/>
      </c>
    </row>
    <row r="78" spans="1:63" x14ac:dyDescent="0.2">
      <c r="A78" s="438" t="e">
        <f ca="1"/>
        <v>#NAME?</v>
      </c>
      <c r="B78" s="437" t="e">
        <f ca="1">_xll.qlRateHelperRate($A78,InterestRatesTrigger)</f>
        <v>#NAME?</v>
      </c>
      <c r="C78" s="436" t="e">
        <f ca="1">_xll.qlRateHelperEarliestDate($A78)</f>
        <v>#NAME?</v>
      </c>
      <c r="D78" s="435" t="e">
        <f ca="1">_xll.qlRateHelperPillarDate($A78)</f>
        <v>#NAME?</v>
      </c>
      <c r="F78" s="445" t="e">
        <f t="shared" ca="1" si="9"/>
        <v>#N/A</v>
      </c>
      <c r="G78" s="444" t="e">
        <f ca="1">_xll.qlDayCounterYearFraction(DayCounter,D77,D78)</f>
        <v>#NAME?</v>
      </c>
      <c r="I78" s="443" t="b">
        <f t="shared" ca="1" si="10"/>
        <v>0</v>
      </c>
      <c r="J78" s="442" t="e">
        <f ca="1"/>
        <v>#NAME?</v>
      </c>
      <c r="K78" s="441" t="e">
        <f t="shared" ca="1" si="8"/>
        <v>#NAME?</v>
      </c>
      <c r="L78" s="429"/>
      <c r="M78" s="440" t="b">
        <f ca="1">IF(AND(NOT(I78),AND(I$4:I77)),TRUE,I78)</f>
        <v>0</v>
      </c>
      <c r="N78" s="439" t="e">
        <f ca="1">IF(AND(NOT(ISBLANK(Jumpoverwrite1)),AND(NOT(M78),AND(M$4:M77))),($J78*$G78-LN(1+Jumpoverwrite1*O$2))/$G78,_xll.qlInterpolationInterpolate(M$3,$F78,TRUE))</f>
        <v>#NAME?</v>
      </c>
      <c r="O78" s="439" t="str">
        <f ca="1">IF(AND(NOT(M78),AND(M$4:M77)),MIN(EXP((N78-$J78)*$G78),1),"")</f>
        <v/>
      </c>
      <c r="P78" s="428"/>
      <c r="Q78" s="440" t="b">
        <f ca="1">IF(AND(NOT(M78),AND(M$4:M77)),TRUE,M78)</f>
        <v>0</v>
      </c>
      <c r="R78" s="439" t="e">
        <f ca="1">IF(AND(NOT(ISBLANK(Jumpoverwrite2)),AND(NOT(Q78),AND(Q$4:Q77))),($J78*$G78-LN(1+Jumpoverwrite2*S$2))/$G78,_xll.qlInterpolationInterpolate(Q$3,$F78,TRUE))</f>
        <v>#NAME?</v>
      </c>
      <c r="S78" s="439" t="str">
        <f ca="1">IF(AND(NOT(Q78),AND(Q$4:Q77)),MIN(EXP((R78-$J78)*$G78),1),"")</f>
        <v/>
      </c>
      <c r="T78" s="428"/>
      <c r="U78" s="440" t="b">
        <f ca="1">IF(AND(NOT(Q78),AND(Q$4:Q77)),TRUE,Q78)</f>
        <v>0</v>
      </c>
      <c r="V78" s="439" t="e">
        <f ca="1">IF(AND(NOT(ISBLANK(Jumpoverwrite3)),AND(NOT(U78),AND(U$4:U77))),($J78*$G78-LN(1+Jumpoverwrite3*W$2))/$G78,_xll.qlInterpolationInterpolate(U$3,$F78,TRUE))</f>
        <v>#NAME?</v>
      </c>
      <c r="W78" s="439" t="str">
        <f ca="1">IF(AND(NOT(U78),AND(U$4:U77)),MIN(EXP((V78-$J78)*$G78),1),"")</f>
        <v/>
      </c>
      <c r="X78" s="428"/>
      <c r="Y78" s="440" t="b">
        <f ca="1">IF(AND(NOT(U78),AND(U$4:U77)),TRUE,U78)</f>
        <v>0</v>
      </c>
      <c r="Z78" s="439" t="e">
        <f ca="1">IF(AND(NOT(ISBLANK(Jumpoverwrite4)),AND(NOT(Y78),AND(Y$4:Y77))),($J78*$G78-LN(1+Jumpoverwrite4*AA$2))/$G78,_xll.qlInterpolationInterpolate(Y$3,$F78,TRUE))</f>
        <v>#NAME?</v>
      </c>
      <c r="AA78" s="439" t="str">
        <f ca="1">IF(AND(NOT(Y78),AND(Y$4:Y77)),MIN(EXP((Z78-$J78)*$G78),1),"")</f>
        <v/>
      </c>
      <c r="AB78" s="428"/>
      <c r="AC78" s="440" t="b">
        <f ca="1">IF(AND(NOT(Y78),AND(Y$4:Y77)),TRUE,Y78)</f>
        <v>0</v>
      </c>
      <c r="AD78" s="439" t="e">
        <f ca="1">IF(AND(NOT(ISBLANK(Jumpoverwrite5)),AND(NOT(AC78),AND(AC$4:AC77))),($J78*$G78-LN(1+Jumpoverwrite5*AE$2))/$G78,_xll.qlInterpolationInterpolate(AC$3,$F78,TRUE))</f>
        <v>#NAME?</v>
      </c>
      <c r="AE78" s="439" t="str">
        <f ca="1">IF(AND(NOT(AC78),AND(AC$4:AC77)),MIN(EXP((AD78-$J78)*$G78),1),"")</f>
        <v/>
      </c>
      <c r="AF78" s="428"/>
      <c r="AG78" s="440" t="b">
        <f ca="1">IF(AND(NOT(AC78),AND(AC$4:AC77)),TRUE,AC78)</f>
        <v>0</v>
      </c>
      <c r="AH78" s="439" t="e">
        <f ca="1">IF(AND(NOT(ISBLANK(Jumpoverwrite6)),AND(NOT(AG78),AND(AG$4:AG77))),($J78*$G78-LN(1+Jumpoverwrite6*AI$2))/$G78,_xll.qlInterpolationInterpolate(AG$3,$F78,TRUE))</f>
        <v>#NAME?</v>
      </c>
      <c r="AI78" s="439" t="str">
        <f ca="1">IF(AND(NOT(AG78),AND(AG$4:AG77)),MIN(EXP((AH78-$J78)*$G78),1),"")</f>
        <v/>
      </c>
      <c r="AJ78" s="428"/>
      <c r="AK78" s="440" t="b">
        <f ca="1">IF(AND(NOT(AG78),AND(AG$4:AG77)),TRUE,AG78)</f>
        <v>0</v>
      </c>
      <c r="AL78" s="439" t="e">
        <f ca="1">IF(AND(NOT(ISBLANK(Jumpoverwrite7)),AND(NOT(AK78),AND(AK$4:AK77))),($J78*$G78-LN(1+Jumpoverwrite7*AM$2))/$G78,_xll.qlInterpolationInterpolate(AK$3,$F78,TRUE))</f>
        <v>#NAME?</v>
      </c>
      <c r="AM78" s="439" t="str">
        <f ca="1">IF(AND(NOT(AK78),AND(AK$4:AK77)),MIN(EXP((AL78-$J78)*$G78),1),"")</f>
        <v/>
      </c>
      <c r="AO78" s="440" t="b">
        <f ca="1">IF(AND(NOT(AK78),AND(AK$4:AK77)),TRUE,AK78)</f>
        <v>0</v>
      </c>
      <c r="AP78" s="439" t="e">
        <f ca="1">IF(AND(NOT(ISBLANK(Jumpoverwrite8)),AND(NOT(AO78),AND(AO$4:AO77))),($J78*$G78-LN(1+Jumpoverwrite8*AQ$2))/$G78,_xll.qlInterpolationInterpolate(AO$3,$F78,TRUE))</f>
        <v>#NAME?</v>
      </c>
      <c r="AQ78" s="439" t="str">
        <f ca="1">IF(AND(NOT(AO78),AND(AO$4:AO77)),MIN(EXP((AP78-$J78)*$G78),1),"")</f>
        <v/>
      </c>
      <c r="AS78" s="440" t="b">
        <f ca="1">IF(AND(NOT(AO78),AND(AO$4:AO77)),TRUE,AO78)</f>
        <v>0</v>
      </c>
      <c r="AT78" s="439" t="e">
        <f ca="1">IF(AND(NOT(ISBLANK(Jumpoverwrite9)),AND(NOT(AS78),AND(AS$4:AS77))),($J78*$G78-LN(1+Jumpoverwrite9*AU$2))/$G78,_xll.qlInterpolationInterpolate(AS$3,$F78,TRUE))</f>
        <v>#NAME?</v>
      </c>
      <c r="AU78" s="439" t="str">
        <f ca="1">IF(AND(NOT(AS78),AND(AS$4:AS77)),MIN(EXP((AT78-$J78)*$G78),1),"")</f>
        <v/>
      </c>
      <c r="AW78" s="440" t="b">
        <f ca="1">IF(AND(NOT(AS78),AND(AS$4:AS77)),TRUE,AS78)</f>
        <v>0</v>
      </c>
      <c r="AX78" s="439" t="e">
        <f ca="1">IF(AND(NOT(ISBLANK(Jumpoverwrite10)),AND(NOT(AW78),AND(AW$4:AW77))),($J78*$G78-LN(1+Jumpoverwrite10*AY$2))/$G78,_xll.qlInterpolationInterpolate(AW$3,$F78,TRUE))</f>
        <v>#NAME?</v>
      </c>
      <c r="AY78" s="439" t="str">
        <f ca="1">IF(AND(NOT(AW78),AND(AW$4:AW77)),MIN(EXP((AX78-$J78)*$G78),1),"")</f>
        <v/>
      </c>
      <c r="BA78" s="440" t="b">
        <f ca="1">IF(AND(NOT(AW78),AND(AW$4:AW77)),TRUE,AW78)</f>
        <v>0</v>
      </c>
      <c r="BB78" s="439" t="e">
        <f ca="1">IF(AND(NOT(ISBLANK(Jumpoverwrite11)),AND(NOT(BA78),AND(BA$4:BA77))),($J78*$G78-LN(1+Jumpoverwrite11*BC$2))/$G78,_xll.qlInterpolationInterpolate(BA$3,$F78,TRUE))</f>
        <v>#NAME?</v>
      </c>
      <c r="BC78" s="439" t="str">
        <f ca="1">IF(AND(NOT(BA78),AND(BA$4:BA77)),MIN(EXP((BB78-$J78)*$G78),1),"")</f>
        <v/>
      </c>
      <c r="BE78" s="440" t="b">
        <f ca="1">IF(AND(NOT(BA78),AND(BA$4:BA77)),TRUE,BA78)</f>
        <v>0</v>
      </c>
      <c r="BF78" s="439" t="e">
        <f ca="1">IF(AND(NOT(ISBLANK(Jumpoverwrite12)),AND(NOT(BE78),AND(BE$4:BE77))),($J78*$G78-LN(1+Jumpoverwrite12*BG$2))/$G78,_xll.qlInterpolationInterpolate(BE$3,$F78,TRUE))</f>
        <v>#NAME?</v>
      </c>
      <c r="BG78" s="439" t="str">
        <f ca="1">IF(AND(NOT(BE78),AND(BE$4:BE77)),MIN(EXP((BF78-$J78)*$G78),1),"")</f>
        <v/>
      </c>
      <c r="BI78" s="440" t="b">
        <f t="shared" ca="1" si="11"/>
        <v>0</v>
      </c>
      <c r="BJ78" s="439" t="e">
        <f ca="1">IF(AND(NOT(ISBLANK(jumpoverwrite13)),AND(NOT(BI78),AND(BI$4:BI77))),($J78*$G78-LN(1+jumpoverwrite13*BK$2))/$G78,_xll.qlInterpolationInterpolate(BI$3,$F78,TRUE))</f>
        <v>#NAME?</v>
      </c>
      <c r="BK78" s="439" t="str">
        <f ca="1">IF(AND(NOT(BI78),AND(BI$4:BI77)),MIN(EXP((BJ78-$J78)*$G78),1),"")</f>
        <v/>
      </c>
    </row>
    <row r="79" spans="1:63" x14ac:dyDescent="0.2">
      <c r="A79" s="438" t="e">
        <f ca="1"/>
        <v>#NAME?</v>
      </c>
      <c r="B79" s="437" t="e">
        <f ca="1">_xll.qlRateHelperRate($A79,InterestRatesTrigger)</f>
        <v>#NAME?</v>
      </c>
      <c r="C79" s="436" t="e">
        <f ca="1">_xll.qlRateHelperEarliestDate($A79)</f>
        <v>#NAME?</v>
      </c>
      <c r="D79" s="435" t="e">
        <f ca="1">_xll.qlRateHelperPillarDate($A79)</f>
        <v>#NAME?</v>
      </c>
      <c r="F79" s="445" t="e">
        <f t="shared" ca="1" si="9"/>
        <v>#N/A</v>
      </c>
      <c r="G79" s="444" t="e">
        <f ca="1">_xll.qlDayCounterYearFraction(DayCounter,D78,D79)</f>
        <v>#NAME?</v>
      </c>
      <c r="I79" s="443" t="b">
        <f t="shared" ca="1" si="10"/>
        <v>0</v>
      </c>
      <c r="J79" s="442" t="e">
        <f ca="1"/>
        <v>#NAME?</v>
      </c>
      <c r="K79" s="441" t="e">
        <f t="shared" ca="1" si="8"/>
        <v>#NAME?</v>
      </c>
      <c r="L79" s="429"/>
      <c r="M79" s="440" t="b">
        <f ca="1">IF(AND(NOT(I79),AND(I$4:I78)),TRUE,I79)</f>
        <v>0</v>
      </c>
      <c r="N79" s="439" t="e">
        <f ca="1">IF(AND(NOT(ISBLANK(Jumpoverwrite1)),AND(NOT(M79),AND(M$4:M78))),($J79*$G79-LN(1+Jumpoverwrite1*O$2))/$G79,_xll.qlInterpolationInterpolate(M$3,$F79,TRUE))</f>
        <v>#NAME?</v>
      </c>
      <c r="O79" s="439" t="str">
        <f ca="1">IF(AND(NOT(M79),AND(M$4:M78)),MIN(EXP((N79-$J79)*$G79),1),"")</f>
        <v/>
      </c>
      <c r="P79" s="428"/>
      <c r="Q79" s="440" t="b">
        <f ca="1">IF(AND(NOT(M79),AND(M$4:M78)),TRUE,M79)</f>
        <v>0</v>
      </c>
      <c r="R79" s="439" t="e">
        <f ca="1">IF(AND(NOT(ISBLANK(Jumpoverwrite2)),AND(NOT(Q79),AND(Q$4:Q78))),($J79*$G79-LN(1+Jumpoverwrite2*S$2))/$G79,_xll.qlInterpolationInterpolate(Q$3,$F79,TRUE))</f>
        <v>#NAME?</v>
      </c>
      <c r="S79" s="439" t="str">
        <f ca="1">IF(AND(NOT(Q79),AND(Q$4:Q78)),MIN(EXP((R79-$J79)*$G79),1),"")</f>
        <v/>
      </c>
      <c r="T79" s="428"/>
      <c r="U79" s="440" t="b">
        <f ca="1">IF(AND(NOT(Q79),AND(Q$4:Q78)),TRUE,Q79)</f>
        <v>0</v>
      </c>
      <c r="V79" s="439" t="e">
        <f ca="1">IF(AND(NOT(ISBLANK(Jumpoverwrite3)),AND(NOT(U79),AND(U$4:U78))),($J79*$G79-LN(1+Jumpoverwrite3*W$2))/$G79,_xll.qlInterpolationInterpolate(U$3,$F79,TRUE))</f>
        <v>#NAME?</v>
      </c>
      <c r="W79" s="439" t="str">
        <f ca="1">IF(AND(NOT(U79),AND(U$4:U78)),MIN(EXP((V79-$J79)*$G79),1),"")</f>
        <v/>
      </c>
      <c r="X79" s="428"/>
      <c r="Y79" s="440" t="b">
        <f ca="1">IF(AND(NOT(U79),AND(U$4:U78)),TRUE,U79)</f>
        <v>0</v>
      </c>
      <c r="Z79" s="439" t="e">
        <f ca="1">IF(AND(NOT(ISBLANK(Jumpoverwrite4)),AND(NOT(Y79),AND(Y$4:Y78))),($J79*$G79-LN(1+Jumpoverwrite4*AA$2))/$G79,_xll.qlInterpolationInterpolate(Y$3,$F79,TRUE))</f>
        <v>#NAME?</v>
      </c>
      <c r="AA79" s="439" t="str">
        <f ca="1">IF(AND(NOT(Y79),AND(Y$4:Y78)),MIN(EXP((Z79-$J79)*$G79),1),"")</f>
        <v/>
      </c>
      <c r="AB79" s="428"/>
      <c r="AC79" s="440" t="b">
        <f ca="1">IF(AND(NOT(Y79),AND(Y$4:Y78)),TRUE,Y79)</f>
        <v>0</v>
      </c>
      <c r="AD79" s="439" t="e">
        <f ca="1">IF(AND(NOT(ISBLANK(Jumpoverwrite5)),AND(NOT(AC79),AND(AC$4:AC78))),($J79*$G79-LN(1+Jumpoverwrite5*AE$2))/$G79,_xll.qlInterpolationInterpolate(AC$3,$F79,TRUE))</f>
        <v>#NAME?</v>
      </c>
      <c r="AE79" s="439" t="str">
        <f ca="1">IF(AND(NOT(AC79),AND(AC$4:AC78)),MIN(EXP((AD79-$J79)*$G79),1),"")</f>
        <v/>
      </c>
      <c r="AF79" s="428"/>
      <c r="AG79" s="440" t="b">
        <f ca="1">IF(AND(NOT(AC79),AND(AC$4:AC78)),TRUE,AC79)</f>
        <v>0</v>
      </c>
      <c r="AH79" s="439" t="e">
        <f ca="1">IF(AND(NOT(ISBLANK(Jumpoverwrite6)),AND(NOT(AG79),AND(AG$4:AG78))),($J79*$G79-LN(1+Jumpoverwrite6*AI$2))/$G79,_xll.qlInterpolationInterpolate(AG$3,$F79,TRUE))</f>
        <v>#NAME?</v>
      </c>
      <c r="AI79" s="439" t="str">
        <f ca="1">IF(AND(NOT(AG79),AND(AG$4:AG78)),MIN(EXP((AH79-$J79)*$G79),1),"")</f>
        <v/>
      </c>
      <c r="AJ79" s="428"/>
      <c r="AK79" s="440" t="b">
        <f ca="1">IF(AND(NOT(AG79),AND(AG$4:AG78)),TRUE,AG79)</f>
        <v>0</v>
      </c>
      <c r="AL79" s="439" t="e">
        <f ca="1">IF(AND(NOT(ISBLANK(Jumpoverwrite7)),AND(NOT(AK79),AND(AK$4:AK78))),($J79*$G79-LN(1+Jumpoverwrite7*AM$2))/$G79,_xll.qlInterpolationInterpolate(AK$3,$F79,TRUE))</f>
        <v>#NAME?</v>
      </c>
      <c r="AM79" s="439" t="str">
        <f ca="1">IF(AND(NOT(AK79),AND(AK$4:AK78)),MIN(EXP((AL79-$J79)*$G79),1),"")</f>
        <v/>
      </c>
      <c r="AO79" s="440" t="b">
        <f ca="1">IF(AND(NOT(AK79),AND(AK$4:AK78)),TRUE,AK79)</f>
        <v>0</v>
      </c>
      <c r="AP79" s="439" t="e">
        <f ca="1">IF(AND(NOT(ISBLANK(Jumpoverwrite8)),AND(NOT(AO79),AND(AO$4:AO78))),($J79*$G79-LN(1+Jumpoverwrite8*AQ$2))/$G79,_xll.qlInterpolationInterpolate(AO$3,$F79,TRUE))</f>
        <v>#NAME?</v>
      </c>
      <c r="AQ79" s="439" t="str">
        <f ca="1">IF(AND(NOT(AO79),AND(AO$4:AO78)),MIN(EXP((AP79-$J79)*$G79),1),"")</f>
        <v/>
      </c>
      <c r="AS79" s="440" t="b">
        <f ca="1">IF(AND(NOT(AO79),AND(AO$4:AO78)),TRUE,AO79)</f>
        <v>0</v>
      </c>
      <c r="AT79" s="439" t="e">
        <f ca="1">IF(AND(NOT(ISBLANK(Jumpoverwrite9)),AND(NOT(AS79),AND(AS$4:AS78))),($J79*$G79-LN(1+Jumpoverwrite9*AU$2))/$G79,_xll.qlInterpolationInterpolate(AS$3,$F79,TRUE))</f>
        <v>#NAME?</v>
      </c>
      <c r="AU79" s="439" t="str">
        <f ca="1">IF(AND(NOT(AS79),AND(AS$4:AS78)),MIN(EXP((AT79-$J79)*$G79),1),"")</f>
        <v/>
      </c>
      <c r="AW79" s="440" t="b">
        <f ca="1">IF(AND(NOT(AS79),AND(AS$4:AS78)),TRUE,AS79)</f>
        <v>0</v>
      </c>
      <c r="AX79" s="439" t="e">
        <f ca="1">IF(AND(NOT(ISBLANK(Jumpoverwrite10)),AND(NOT(AW79),AND(AW$4:AW78))),($J79*$G79-LN(1+Jumpoverwrite10*AY$2))/$G79,_xll.qlInterpolationInterpolate(AW$3,$F79,TRUE))</f>
        <v>#NAME?</v>
      </c>
      <c r="AY79" s="439" t="str">
        <f ca="1">IF(AND(NOT(AW79),AND(AW$4:AW78)),MIN(EXP((AX79-$J79)*$G79),1),"")</f>
        <v/>
      </c>
      <c r="BA79" s="440" t="b">
        <f ca="1">IF(AND(NOT(AW79),AND(AW$4:AW78)),TRUE,AW79)</f>
        <v>0</v>
      </c>
      <c r="BB79" s="439" t="e">
        <f ca="1">IF(AND(NOT(ISBLANK(Jumpoverwrite11)),AND(NOT(BA79),AND(BA$4:BA78))),($J79*$G79-LN(1+Jumpoverwrite11*BC$2))/$G79,_xll.qlInterpolationInterpolate(BA$3,$F79,TRUE))</f>
        <v>#NAME?</v>
      </c>
      <c r="BC79" s="439" t="str">
        <f ca="1">IF(AND(NOT(BA79),AND(BA$4:BA78)),MIN(EXP((BB79-$J79)*$G79),1),"")</f>
        <v/>
      </c>
      <c r="BE79" s="440" t="b">
        <f ca="1">IF(AND(NOT(BA79),AND(BA$4:BA78)),TRUE,BA79)</f>
        <v>0</v>
      </c>
      <c r="BF79" s="439" t="e">
        <f ca="1">IF(AND(NOT(ISBLANK(Jumpoverwrite12)),AND(NOT(BE79),AND(BE$4:BE78))),($J79*$G79-LN(1+Jumpoverwrite12*BG$2))/$G79,_xll.qlInterpolationInterpolate(BE$3,$F79,TRUE))</f>
        <v>#NAME?</v>
      </c>
      <c r="BG79" s="439" t="str">
        <f ca="1">IF(AND(NOT(BE79),AND(BE$4:BE78)),MIN(EXP((BF79-$J79)*$G79),1),"")</f>
        <v/>
      </c>
      <c r="BI79" s="440" t="b">
        <f t="shared" ca="1" si="11"/>
        <v>0</v>
      </c>
      <c r="BJ79" s="439" t="e">
        <f ca="1">IF(AND(NOT(ISBLANK(jumpoverwrite13)),AND(NOT(BI79),AND(BI$4:BI78))),($J79*$G79-LN(1+jumpoverwrite13*BK$2))/$G79,_xll.qlInterpolationInterpolate(BI$3,$F79,TRUE))</f>
        <v>#NAME?</v>
      </c>
      <c r="BK79" s="439" t="str">
        <f ca="1">IF(AND(NOT(BI79),AND(BI$4:BI78)),MIN(EXP((BJ79-$J79)*$G79),1),"")</f>
        <v/>
      </c>
    </row>
    <row r="80" spans="1:63" x14ac:dyDescent="0.2">
      <c r="A80" s="438" t="e">
        <f ca="1"/>
        <v>#NAME?</v>
      </c>
      <c r="B80" s="437" t="e">
        <f ca="1">_xll.qlRateHelperRate($A80,InterestRatesTrigger)</f>
        <v>#NAME?</v>
      </c>
      <c r="C80" s="436" t="e">
        <f ca="1">_xll.qlRateHelperEarliestDate($A80)</f>
        <v>#NAME?</v>
      </c>
      <c r="D80" s="435" t="e">
        <f ca="1">_xll.qlRateHelperPillarDate($A80)</f>
        <v>#NAME?</v>
      </c>
      <c r="F80" s="445" t="e">
        <f t="shared" ca="1" si="9"/>
        <v>#N/A</v>
      </c>
      <c r="G80" s="444" t="e">
        <f ca="1">_xll.qlDayCounterYearFraction(DayCounter,D79,D80)</f>
        <v>#NAME?</v>
      </c>
      <c r="I80" s="443" t="b">
        <f t="shared" ca="1" si="10"/>
        <v>0</v>
      </c>
      <c r="J80" s="442" t="e">
        <f ca="1"/>
        <v>#NAME?</v>
      </c>
      <c r="K80" s="441" t="e">
        <f t="shared" ca="1" si="8"/>
        <v>#NAME?</v>
      </c>
      <c r="L80" s="429"/>
      <c r="M80" s="440" t="b">
        <f ca="1">IF(AND(NOT(I80),AND(I$4:I79)),TRUE,I80)</f>
        <v>0</v>
      </c>
      <c r="N80" s="439" t="e">
        <f ca="1">IF(AND(NOT(ISBLANK(Jumpoverwrite1)),AND(NOT(M80),AND(M$4:M79))),($J80*$G80-LN(1+Jumpoverwrite1*O$2))/$G80,_xll.qlInterpolationInterpolate(M$3,$F80,TRUE))</f>
        <v>#NAME?</v>
      </c>
      <c r="O80" s="439" t="str">
        <f ca="1">IF(AND(NOT(M80),AND(M$4:M79)),MIN(EXP((N80-$J80)*$G80),1),"")</f>
        <v/>
      </c>
      <c r="P80" s="428"/>
      <c r="Q80" s="440" t="b">
        <f ca="1">IF(AND(NOT(M80),AND(M$4:M79)),TRUE,M80)</f>
        <v>0</v>
      </c>
      <c r="R80" s="439" t="e">
        <f ca="1">IF(AND(NOT(ISBLANK(Jumpoverwrite2)),AND(NOT(Q80),AND(Q$4:Q79))),($J80*$G80-LN(1+Jumpoverwrite2*S$2))/$G80,_xll.qlInterpolationInterpolate(Q$3,$F80,TRUE))</f>
        <v>#NAME?</v>
      </c>
      <c r="S80" s="439" t="str">
        <f ca="1">IF(AND(NOT(Q80),AND(Q$4:Q79)),MIN(EXP((R80-$J80)*$G80),1),"")</f>
        <v/>
      </c>
      <c r="T80" s="428"/>
      <c r="U80" s="440" t="b">
        <f ca="1">IF(AND(NOT(Q80),AND(Q$4:Q79)),TRUE,Q80)</f>
        <v>0</v>
      </c>
      <c r="V80" s="439" t="e">
        <f ca="1">IF(AND(NOT(ISBLANK(Jumpoverwrite3)),AND(NOT(U80),AND(U$4:U79))),($J80*$G80-LN(1+Jumpoverwrite3*W$2))/$G80,_xll.qlInterpolationInterpolate(U$3,$F80,TRUE))</f>
        <v>#NAME?</v>
      </c>
      <c r="W80" s="439" t="str">
        <f ca="1">IF(AND(NOT(U80),AND(U$4:U79)),MIN(EXP((V80-$J80)*$G80),1),"")</f>
        <v/>
      </c>
      <c r="X80" s="428"/>
      <c r="Y80" s="440" t="b">
        <f ca="1">IF(AND(NOT(U80),AND(U$4:U79)),TRUE,U80)</f>
        <v>0</v>
      </c>
      <c r="Z80" s="439" t="e">
        <f ca="1">IF(AND(NOT(ISBLANK(Jumpoverwrite4)),AND(NOT(Y80),AND(Y$4:Y79))),($J80*$G80-LN(1+Jumpoverwrite4*AA$2))/$G80,_xll.qlInterpolationInterpolate(Y$3,$F80,TRUE))</f>
        <v>#NAME?</v>
      </c>
      <c r="AA80" s="439" t="str">
        <f ca="1">IF(AND(NOT(Y80),AND(Y$4:Y79)),MIN(EXP((Z80-$J80)*$G80),1),"")</f>
        <v/>
      </c>
      <c r="AB80" s="428"/>
      <c r="AC80" s="440" t="b">
        <f ca="1">IF(AND(NOT(Y80),AND(Y$4:Y79)),TRUE,Y80)</f>
        <v>0</v>
      </c>
      <c r="AD80" s="439" t="e">
        <f ca="1">IF(AND(NOT(ISBLANK(Jumpoverwrite5)),AND(NOT(AC80),AND(AC$4:AC79))),($J80*$G80-LN(1+Jumpoverwrite5*AE$2))/$G80,_xll.qlInterpolationInterpolate(AC$3,$F80,TRUE))</f>
        <v>#NAME?</v>
      </c>
      <c r="AE80" s="439" t="str">
        <f ca="1">IF(AND(NOT(AC80),AND(AC$4:AC79)),MIN(EXP((AD80-$J80)*$G80),1),"")</f>
        <v/>
      </c>
      <c r="AF80" s="428"/>
      <c r="AG80" s="440" t="b">
        <f ca="1">IF(AND(NOT(AC80),AND(AC$4:AC79)),TRUE,AC80)</f>
        <v>0</v>
      </c>
      <c r="AH80" s="439" t="e">
        <f ca="1">IF(AND(NOT(ISBLANK(Jumpoverwrite6)),AND(NOT(AG80),AND(AG$4:AG79))),($J80*$G80-LN(1+Jumpoverwrite6*AI$2))/$G80,_xll.qlInterpolationInterpolate(AG$3,$F80,TRUE))</f>
        <v>#NAME?</v>
      </c>
      <c r="AI80" s="439" t="str">
        <f ca="1">IF(AND(NOT(AG80),AND(AG$4:AG79)),MIN(EXP((AH80-$J80)*$G80),1),"")</f>
        <v/>
      </c>
      <c r="AJ80" s="428"/>
      <c r="AK80" s="440" t="b">
        <f ca="1">IF(AND(NOT(AG80),AND(AG$4:AG79)),TRUE,AG80)</f>
        <v>0</v>
      </c>
      <c r="AL80" s="439" t="e">
        <f ca="1">IF(AND(NOT(ISBLANK(Jumpoverwrite7)),AND(NOT(AK80),AND(AK$4:AK79))),($J80*$G80-LN(1+Jumpoverwrite7*AM$2))/$G80,_xll.qlInterpolationInterpolate(AK$3,$F80,TRUE))</f>
        <v>#NAME?</v>
      </c>
      <c r="AM80" s="439" t="str">
        <f ca="1">IF(AND(NOT(AK80),AND(AK$4:AK79)),MIN(EXP((AL80-$J80)*$G80),1),"")</f>
        <v/>
      </c>
      <c r="AO80" s="440" t="b">
        <f ca="1">IF(AND(NOT(AK80),AND(AK$4:AK79)),TRUE,AK80)</f>
        <v>0</v>
      </c>
      <c r="AP80" s="439" t="e">
        <f ca="1">IF(AND(NOT(ISBLANK(Jumpoverwrite8)),AND(NOT(AO80),AND(AO$4:AO79))),($J80*$G80-LN(1+Jumpoverwrite8*AQ$2))/$G80,_xll.qlInterpolationInterpolate(AO$3,$F80,TRUE))</f>
        <v>#NAME?</v>
      </c>
      <c r="AQ80" s="439" t="str">
        <f ca="1">IF(AND(NOT(AO80),AND(AO$4:AO79)),MIN(EXP((AP80-$J80)*$G80),1),"")</f>
        <v/>
      </c>
      <c r="AS80" s="440" t="b">
        <f ca="1">IF(AND(NOT(AO80),AND(AO$4:AO79)),TRUE,AO80)</f>
        <v>0</v>
      </c>
      <c r="AT80" s="439" t="e">
        <f ca="1">IF(AND(NOT(ISBLANK(Jumpoverwrite9)),AND(NOT(AS80),AND(AS$4:AS79))),($J80*$G80-LN(1+Jumpoverwrite9*AU$2))/$G80,_xll.qlInterpolationInterpolate(AS$3,$F80,TRUE))</f>
        <v>#NAME?</v>
      </c>
      <c r="AU80" s="439" t="str">
        <f ca="1">IF(AND(NOT(AS80),AND(AS$4:AS79)),MIN(EXP((AT80-$J80)*$G80),1),"")</f>
        <v/>
      </c>
      <c r="AW80" s="440" t="b">
        <f ca="1">IF(AND(NOT(AS80),AND(AS$4:AS79)),TRUE,AS80)</f>
        <v>0</v>
      </c>
      <c r="AX80" s="439" t="e">
        <f ca="1">IF(AND(NOT(ISBLANK(Jumpoverwrite10)),AND(NOT(AW80),AND(AW$4:AW79))),($J80*$G80-LN(1+Jumpoverwrite10*AY$2))/$G80,_xll.qlInterpolationInterpolate(AW$3,$F80,TRUE))</f>
        <v>#NAME?</v>
      </c>
      <c r="AY80" s="439" t="str">
        <f ca="1">IF(AND(NOT(AW80),AND(AW$4:AW79)),MIN(EXP((AX80-$J80)*$G80),1),"")</f>
        <v/>
      </c>
      <c r="BA80" s="440" t="b">
        <f ca="1">IF(AND(NOT(AW80),AND(AW$4:AW79)),TRUE,AW80)</f>
        <v>0</v>
      </c>
      <c r="BB80" s="439" t="e">
        <f ca="1">IF(AND(NOT(ISBLANK(Jumpoverwrite11)),AND(NOT(BA80),AND(BA$4:BA79))),($J80*$G80-LN(1+Jumpoverwrite11*BC$2))/$G80,_xll.qlInterpolationInterpolate(BA$3,$F80,TRUE))</f>
        <v>#NAME?</v>
      </c>
      <c r="BC80" s="439" t="str">
        <f ca="1">IF(AND(NOT(BA80),AND(BA$4:BA79)),MIN(EXP((BB80-$J80)*$G80),1),"")</f>
        <v/>
      </c>
      <c r="BE80" s="440" t="b">
        <f ca="1">IF(AND(NOT(BA80),AND(BA$4:BA79)),TRUE,BA80)</f>
        <v>0</v>
      </c>
      <c r="BF80" s="439" t="e">
        <f ca="1">IF(AND(NOT(ISBLANK(Jumpoverwrite12)),AND(NOT(BE80),AND(BE$4:BE79))),($J80*$G80-LN(1+Jumpoverwrite12*BG$2))/$G80,_xll.qlInterpolationInterpolate(BE$3,$F80,TRUE))</f>
        <v>#NAME?</v>
      </c>
      <c r="BG80" s="439" t="str">
        <f ca="1">IF(AND(NOT(BE80),AND(BE$4:BE79)),MIN(EXP((BF80-$J80)*$G80),1),"")</f>
        <v/>
      </c>
      <c r="BI80" s="440" t="b">
        <f t="shared" ca="1" si="11"/>
        <v>0</v>
      </c>
      <c r="BJ80" s="439" t="e">
        <f ca="1">IF(AND(NOT(ISBLANK(jumpoverwrite13)),AND(NOT(BI80),AND(BI$4:BI79))),($J80*$G80-LN(1+jumpoverwrite13*BK$2))/$G80,_xll.qlInterpolationInterpolate(BI$3,$F80,TRUE))</f>
        <v>#NAME?</v>
      </c>
      <c r="BK80" s="439" t="str">
        <f ca="1">IF(AND(NOT(BI80),AND(BI$4:BI79)),MIN(EXP((BJ80-$J80)*$G80),1),"")</f>
        <v/>
      </c>
    </row>
    <row r="81" spans="1:63" x14ac:dyDescent="0.2">
      <c r="A81" s="438" t="e">
        <f ca="1"/>
        <v>#NAME?</v>
      </c>
      <c r="B81" s="437" t="e">
        <f ca="1">_xll.qlRateHelperRate($A81,InterestRatesTrigger)</f>
        <v>#NAME?</v>
      </c>
      <c r="C81" s="436" t="e">
        <f ca="1">_xll.qlRateHelperEarliestDate($A81)</f>
        <v>#NAME?</v>
      </c>
      <c r="D81" s="435" t="e">
        <f ca="1">_xll.qlRateHelperPillarDate($A81)</f>
        <v>#NAME?</v>
      </c>
      <c r="F81" s="445" t="e">
        <f t="shared" ca="1" si="9"/>
        <v>#N/A</v>
      </c>
      <c r="G81" s="444" t="e">
        <f ca="1">_xll.qlDayCounterYearFraction(DayCounter,D80,D81)</f>
        <v>#NAME?</v>
      </c>
      <c r="I81" s="443" t="b">
        <f t="shared" ca="1" si="10"/>
        <v>0</v>
      </c>
      <c r="J81" s="442" t="e">
        <f ca="1"/>
        <v>#NAME?</v>
      </c>
      <c r="K81" s="441" t="e">
        <f t="shared" ca="1" si="8"/>
        <v>#NAME?</v>
      </c>
      <c r="L81" s="429"/>
      <c r="M81" s="440" t="b">
        <f ca="1">IF(AND(NOT(I81),AND(I$4:I80)),TRUE,I81)</f>
        <v>0</v>
      </c>
      <c r="N81" s="439" t="e">
        <f ca="1">IF(AND(NOT(ISBLANK(Jumpoverwrite1)),AND(NOT(M81),AND(M$4:M80))),($J81*$G81-LN(1+Jumpoverwrite1*O$2))/$G81,_xll.qlInterpolationInterpolate(M$3,$F81,TRUE))</f>
        <v>#NAME?</v>
      </c>
      <c r="O81" s="439" t="str">
        <f ca="1">IF(AND(NOT(M81),AND(M$4:M80)),MIN(EXP((N81-$J81)*$G81),1),"")</f>
        <v/>
      </c>
      <c r="P81" s="428"/>
      <c r="Q81" s="440" t="b">
        <f ca="1">IF(AND(NOT(M81),AND(M$4:M80)),TRUE,M81)</f>
        <v>0</v>
      </c>
      <c r="R81" s="439" t="e">
        <f ca="1">IF(AND(NOT(ISBLANK(Jumpoverwrite2)),AND(NOT(Q81),AND(Q$4:Q80))),($J81*$G81-LN(1+Jumpoverwrite2*S$2))/$G81,_xll.qlInterpolationInterpolate(Q$3,$F81,TRUE))</f>
        <v>#NAME?</v>
      </c>
      <c r="S81" s="439" t="str">
        <f ca="1">IF(AND(NOT(Q81),AND(Q$4:Q80)),MIN(EXP((R81-$J81)*$G81),1),"")</f>
        <v/>
      </c>
      <c r="T81" s="428"/>
      <c r="U81" s="440" t="b">
        <f ca="1">IF(AND(NOT(Q81),AND(Q$4:Q80)),TRUE,Q81)</f>
        <v>0</v>
      </c>
      <c r="V81" s="439" t="e">
        <f ca="1">IF(AND(NOT(ISBLANK(Jumpoverwrite3)),AND(NOT(U81),AND(U$4:U80))),($J81*$G81-LN(1+Jumpoverwrite3*W$2))/$G81,_xll.qlInterpolationInterpolate(U$3,$F81,TRUE))</f>
        <v>#NAME?</v>
      </c>
      <c r="W81" s="439" t="str">
        <f ca="1">IF(AND(NOT(U81),AND(U$4:U80)),MIN(EXP((V81-$J81)*$G81),1),"")</f>
        <v/>
      </c>
      <c r="X81" s="428"/>
      <c r="Y81" s="440" t="b">
        <f ca="1">IF(AND(NOT(U81),AND(U$4:U80)),TRUE,U81)</f>
        <v>0</v>
      </c>
      <c r="Z81" s="439" t="e">
        <f ca="1">IF(AND(NOT(ISBLANK(Jumpoverwrite4)),AND(NOT(Y81),AND(Y$4:Y80))),($J81*$G81-LN(1+Jumpoverwrite4*AA$2))/$G81,_xll.qlInterpolationInterpolate(Y$3,$F81,TRUE))</f>
        <v>#NAME?</v>
      </c>
      <c r="AA81" s="439" t="str">
        <f ca="1">IF(AND(NOT(Y81),AND(Y$4:Y80)),MIN(EXP((Z81-$J81)*$G81),1),"")</f>
        <v/>
      </c>
      <c r="AB81" s="428"/>
      <c r="AC81" s="440" t="b">
        <f ca="1">IF(AND(NOT(Y81),AND(Y$4:Y80)),TRUE,Y81)</f>
        <v>0</v>
      </c>
      <c r="AD81" s="439" t="e">
        <f ca="1">IF(AND(NOT(ISBLANK(Jumpoverwrite5)),AND(NOT(AC81),AND(AC$4:AC80))),($J81*$G81-LN(1+Jumpoverwrite5*AE$2))/$G81,_xll.qlInterpolationInterpolate(AC$3,$F81,TRUE))</f>
        <v>#NAME?</v>
      </c>
      <c r="AE81" s="439" t="str">
        <f ca="1">IF(AND(NOT(AC81),AND(AC$4:AC80)),MIN(EXP((AD81-$J81)*$G81),1),"")</f>
        <v/>
      </c>
      <c r="AF81" s="428"/>
      <c r="AG81" s="440" t="b">
        <f ca="1">IF(AND(NOT(AC81),AND(AC$4:AC80)),TRUE,AC81)</f>
        <v>0</v>
      </c>
      <c r="AH81" s="439" t="e">
        <f ca="1">IF(AND(NOT(ISBLANK(Jumpoverwrite6)),AND(NOT(AG81),AND(AG$4:AG80))),($J81*$G81-LN(1+Jumpoverwrite6*AI$2))/$G81,_xll.qlInterpolationInterpolate(AG$3,$F81,TRUE))</f>
        <v>#NAME?</v>
      </c>
      <c r="AI81" s="439" t="str">
        <f ca="1">IF(AND(NOT(AG81),AND(AG$4:AG80)),MIN(EXP((AH81-$J81)*$G81),1),"")</f>
        <v/>
      </c>
      <c r="AJ81" s="428"/>
      <c r="AK81" s="440" t="b">
        <f ca="1">IF(AND(NOT(AG81),AND(AG$4:AG80)),TRUE,AG81)</f>
        <v>0</v>
      </c>
      <c r="AL81" s="439" t="e">
        <f ca="1">IF(AND(NOT(ISBLANK(Jumpoverwrite7)),AND(NOT(AK81),AND(AK$4:AK80))),($J81*$G81-LN(1+Jumpoverwrite7*AM$2))/$G81,_xll.qlInterpolationInterpolate(AK$3,$F81,TRUE))</f>
        <v>#NAME?</v>
      </c>
      <c r="AM81" s="439" t="str">
        <f ca="1">IF(AND(NOT(AK81),AND(AK$4:AK80)),MIN(EXP((AL81-$J81)*$G81),1),"")</f>
        <v/>
      </c>
      <c r="AO81" s="440" t="b">
        <f ca="1">IF(AND(NOT(AK81),AND(AK$4:AK80)),TRUE,AK81)</f>
        <v>0</v>
      </c>
      <c r="AP81" s="439" t="e">
        <f ca="1">IF(AND(NOT(ISBLANK(Jumpoverwrite8)),AND(NOT(AO81),AND(AO$4:AO80))),($J81*$G81-LN(1+Jumpoverwrite8*AQ$2))/$G81,_xll.qlInterpolationInterpolate(AO$3,$F81,TRUE))</f>
        <v>#NAME?</v>
      </c>
      <c r="AQ81" s="439" t="str">
        <f ca="1">IF(AND(NOT(AO81),AND(AO$4:AO80)),MIN(EXP((AP81-$J81)*$G81),1),"")</f>
        <v/>
      </c>
      <c r="AS81" s="440" t="b">
        <f ca="1">IF(AND(NOT(AO81),AND(AO$4:AO80)),TRUE,AO81)</f>
        <v>0</v>
      </c>
      <c r="AT81" s="439" t="e">
        <f ca="1">IF(AND(NOT(ISBLANK(Jumpoverwrite9)),AND(NOT(AS81),AND(AS$4:AS80))),($J81*$G81-LN(1+Jumpoverwrite9*AU$2))/$G81,_xll.qlInterpolationInterpolate(AS$3,$F81,TRUE))</f>
        <v>#NAME?</v>
      </c>
      <c r="AU81" s="439" t="str">
        <f ca="1">IF(AND(NOT(AS81),AND(AS$4:AS80)),MIN(EXP((AT81-$J81)*$G81),1),"")</f>
        <v/>
      </c>
      <c r="AW81" s="440" t="b">
        <f ca="1">IF(AND(NOT(AS81),AND(AS$4:AS80)),TRUE,AS81)</f>
        <v>0</v>
      </c>
      <c r="AX81" s="439" t="e">
        <f ca="1">IF(AND(NOT(ISBLANK(Jumpoverwrite10)),AND(NOT(AW81),AND(AW$4:AW80))),($J81*$G81-LN(1+Jumpoverwrite10*AY$2))/$G81,_xll.qlInterpolationInterpolate(AW$3,$F81,TRUE))</f>
        <v>#NAME?</v>
      </c>
      <c r="AY81" s="439" t="str">
        <f ca="1">IF(AND(NOT(AW81),AND(AW$4:AW80)),MIN(EXP((AX81-$J81)*$G81),1),"")</f>
        <v/>
      </c>
      <c r="BA81" s="440" t="b">
        <f ca="1">IF(AND(NOT(AW81),AND(AW$4:AW80)),TRUE,AW81)</f>
        <v>0</v>
      </c>
      <c r="BB81" s="439" t="e">
        <f ca="1">IF(AND(NOT(ISBLANK(Jumpoverwrite11)),AND(NOT(BA81),AND(BA$4:BA80))),($J81*$G81-LN(1+Jumpoverwrite11*BC$2))/$G81,_xll.qlInterpolationInterpolate(BA$3,$F81,TRUE))</f>
        <v>#NAME?</v>
      </c>
      <c r="BC81" s="439" t="str">
        <f ca="1">IF(AND(NOT(BA81),AND(BA$4:BA80)),MIN(EXP((BB81-$J81)*$G81),1),"")</f>
        <v/>
      </c>
      <c r="BE81" s="440" t="b">
        <f ca="1">IF(AND(NOT(BA81),AND(BA$4:BA80)),TRUE,BA81)</f>
        <v>0</v>
      </c>
      <c r="BF81" s="439" t="e">
        <f ca="1">IF(AND(NOT(ISBLANK(Jumpoverwrite12)),AND(NOT(BE81),AND(BE$4:BE80))),($J81*$G81-LN(1+Jumpoverwrite12*BG$2))/$G81,_xll.qlInterpolationInterpolate(BE$3,$F81,TRUE))</f>
        <v>#NAME?</v>
      </c>
      <c r="BG81" s="439" t="str">
        <f ca="1">IF(AND(NOT(BE81),AND(BE$4:BE80)),MIN(EXP((BF81-$J81)*$G81),1),"")</f>
        <v/>
      </c>
      <c r="BI81" s="440" t="b">
        <f t="shared" ca="1" si="11"/>
        <v>0</v>
      </c>
      <c r="BJ81" s="439" t="e">
        <f ca="1">IF(AND(NOT(ISBLANK(jumpoverwrite13)),AND(NOT(BI81),AND(BI$4:BI80))),($J81*$G81-LN(1+jumpoverwrite13*BK$2))/$G81,_xll.qlInterpolationInterpolate(BI$3,$F81,TRUE))</f>
        <v>#NAME?</v>
      </c>
      <c r="BK81" s="439" t="str">
        <f ca="1">IF(AND(NOT(BI81),AND(BI$4:BI80)),MIN(EXP((BJ81-$J81)*$G81),1),"")</f>
        <v/>
      </c>
    </row>
    <row r="82" spans="1:63" x14ac:dyDescent="0.2">
      <c r="A82" s="438" t="e">
        <f ca="1"/>
        <v>#NAME?</v>
      </c>
      <c r="B82" s="437" t="e">
        <f ca="1">_xll.qlRateHelperRate($A82,InterestRatesTrigger)</f>
        <v>#NAME?</v>
      </c>
      <c r="C82" s="436" t="e">
        <f ca="1">_xll.qlRateHelperEarliestDate($A82)</f>
        <v>#NAME?</v>
      </c>
      <c r="D82" s="435" t="e">
        <f ca="1">_xll.qlRateHelperPillarDate($A82)</f>
        <v>#NAME?</v>
      </c>
      <c r="F82" s="445" t="e">
        <f t="shared" ca="1" si="9"/>
        <v>#N/A</v>
      </c>
      <c r="G82" s="444" t="e">
        <f ca="1">_xll.qlDayCounterYearFraction(DayCounter,D81,D82)</f>
        <v>#NAME?</v>
      </c>
      <c r="I82" s="443" t="b">
        <f t="shared" ca="1" si="10"/>
        <v>0</v>
      </c>
      <c r="J82" s="442" t="e">
        <f ca="1"/>
        <v>#NAME?</v>
      </c>
      <c r="K82" s="441" t="e">
        <f t="shared" ca="1" si="8"/>
        <v>#NAME?</v>
      </c>
      <c r="L82" s="429"/>
      <c r="M82" s="440" t="b">
        <f ca="1">IF(AND(NOT(I82),AND(I$4:I81)),TRUE,I82)</f>
        <v>0</v>
      </c>
      <c r="N82" s="439" t="e">
        <f ca="1">IF(AND(NOT(ISBLANK(Jumpoverwrite1)),AND(NOT(M82),AND(M$4:M81))),($J82*$G82-LN(1+Jumpoverwrite1*O$2))/$G82,_xll.qlInterpolationInterpolate(M$3,$F82,TRUE))</f>
        <v>#NAME?</v>
      </c>
      <c r="O82" s="439" t="str">
        <f ca="1">IF(AND(NOT(M82),AND(M$4:M81)),MIN(EXP((N82-$J82)*$G82),1),"")</f>
        <v/>
      </c>
      <c r="P82" s="428"/>
      <c r="Q82" s="440" t="b">
        <f ca="1">IF(AND(NOT(M82),AND(M$4:M81)),TRUE,M82)</f>
        <v>0</v>
      </c>
      <c r="R82" s="439" t="e">
        <f ca="1">IF(AND(NOT(ISBLANK(Jumpoverwrite2)),AND(NOT(Q82),AND(Q$4:Q81))),($J82*$G82-LN(1+Jumpoverwrite2*S$2))/$G82,_xll.qlInterpolationInterpolate(Q$3,$F82,TRUE))</f>
        <v>#NAME?</v>
      </c>
      <c r="S82" s="439" t="str">
        <f ca="1">IF(AND(NOT(Q82),AND(Q$4:Q81)),MIN(EXP((R82-$J82)*$G82),1),"")</f>
        <v/>
      </c>
      <c r="T82" s="428"/>
      <c r="U82" s="440" t="b">
        <f ca="1">IF(AND(NOT(Q82),AND(Q$4:Q81)),TRUE,Q82)</f>
        <v>0</v>
      </c>
      <c r="V82" s="439" t="e">
        <f ca="1">IF(AND(NOT(ISBLANK(Jumpoverwrite3)),AND(NOT(U82),AND(U$4:U81))),($J82*$G82-LN(1+Jumpoverwrite3*W$2))/$G82,_xll.qlInterpolationInterpolate(U$3,$F82,TRUE))</f>
        <v>#NAME?</v>
      </c>
      <c r="W82" s="439" t="str">
        <f ca="1">IF(AND(NOT(U82),AND(U$4:U81)),MIN(EXP((V82-$J82)*$G82),1),"")</f>
        <v/>
      </c>
      <c r="X82" s="428"/>
      <c r="Y82" s="440" t="b">
        <f ca="1">IF(AND(NOT(U82),AND(U$4:U81)),TRUE,U82)</f>
        <v>0</v>
      </c>
      <c r="Z82" s="439" t="e">
        <f ca="1">IF(AND(NOT(ISBLANK(Jumpoverwrite4)),AND(NOT(Y82),AND(Y$4:Y81))),($J82*$G82-LN(1+Jumpoverwrite4*AA$2))/$G82,_xll.qlInterpolationInterpolate(Y$3,$F82,TRUE))</f>
        <v>#NAME?</v>
      </c>
      <c r="AA82" s="439" t="str">
        <f ca="1">IF(AND(NOT(Y82),AND(Y$4:Y81)),MIN(EXP((Z82-$J82)*$G82),1),"")</f>
        <v/>
      </c>
      <c r="AB82" s="428"/>
      <c r="AC82" s="440" t="b">
        <f ca="1">IF(AND(NOT(Y82),AND(Y$4:Y81)),TRUE,Y82)</f>
        <v>0</v>
      </c>
      <c r="AD82" s="439" t="e">
        <f ca="1">IF(AND(NOT(ISBLANK(Jumpoverwrite5)),AND(NOT(AC82),AND(AC$4:AC81))),($J82*$G82-LN(1+Jumpoverwrite5*AE$2))/$G82,_xll.qlInterpolationInterpolate(AC$3,$F82,TRUE))</f>
        <v>#NAME?</v>
      </c>
      <c r="AE82" s="439" t="str">
        <f ca="1">IF(AND(NOT(AC82),AND(AC$4:AC81)),MIN(EXP((AD82-$J82)*$G82),1),"")</f>
        <v/>
      </c>
      <c r="AF82" s="428"/>
      <c r="AG82" s="440" t="b">
        <f ca="1">IF(AND(NOT(AC82),AND(AC$4:AC81)),TRUE,AC82)</f>
        <v>0</v>
      </c>
      <c r="AH82" s="439" t="e">
        <f ca="1">IF(AND(NOT(ISBLANK(Jumpoverwrite6)),AND(NOT(AG82),AND(AG$4:AG81))),($J82*$G82-LN(1+Jumpoverwrite6*AI$2))/$G82,_xll.qlInterpolationInterpolate(AG$3,$F82,TRUE))</f>
        <v>#NAME?</v>
      </c>
      <c r="AI82" s="439" t="str">
        <f ca="1">IF(AND(NOT(AG82),AND(AG$4:AG81)),MIN(EXP((AH82-$J82)*$G82),1),"")</f>
        <v/>
      </c>
      <c r="AJ82" s="428"/>
      <c r="AK82" s="440" t="b">
        <f ca="1">IF(AND(NOT(AG82),AND(AG$4:AG81)),TRUE,AG82)</f>
        <v>0</v>
      </c>
      <c r="AL82" s="439" t="e">
        <f ca="1">IF(AND(NOT(ISBLANK(Jumpoverwrite7)),AND(NOT(AK82),AND(AK$4:AK81))),($J82*$G82-LN(1+Jumpoverwrite7*AM$2))/$G82,_xll.qlInterpolationInterpolate(AK$3,$F82,TRUE))</f>
        <v>#NAME?</v>
      </c>
      <c r="AM82" s="439" t="str">
        <f ca="1">IF(AND(NOT(AK82),AND(AK$4:AK81)),MIN(EXP((AL82-$J82)*$G82),1),"")</f>
        <v/>
      </c>
      <c r="AO82" s="440" t="b">
        <f ca="1">IF(AND(NOT(AK82),AND(AK$4:AK81)),TRUE,AK82)</f>
        <v>0</v>
      </c>
      <c r="AP82" s="439" t="e">
        <f ca="1">IF(AND(NOT(ISBLANK(Jumpoverwrite8)),AND(NOT(AO82),AND(AO$4:AO81))),($J82*$G82-LN(1+Jumpoverwrite8*AQ$2))/$G82,_xll.qlInterpolationInterpolate(AO$3,$F82,TRUE))</f>
        <v>#NAME?</v>
      </c>
      <c r="AQ82" s="439" t="str">
        <f ca="1">IF(AND(NOT(AO82),AND(AO$4:AO81)),MIN(EXP((AP82-$J82)*$G82),1),"")</f>
        <v/>
      </c>
      <c r="AS82" s="440" t="b">
        <f ca="1">IF(AND(NOT(AO82),AND(AO$4:AO81)),TRUE,AO82)</f>
        <v>0</v>
      </c>
      <c r="AT82" s="439" t="e">
        <f ca="1">IF(AND(NOT(ISBLANK(Jumpoverwrite9)),AND(NOT(AS82),AND(AS$4:AS81))),($J82*$G82-LN(1+Jumpoverwrite9*AU$2))/$G82,_xll.qlInterpolationInterpolate(AS$3,$F82,TRUE))</f>
        <v>#NAME?</v>
      </c>
      <c r="AU82" s="439" t="str">
        <f ca="1">IF(AND(NOT(AS82),AND(AS$4:AS81)),MIN(EXP((AT82-$J82)*$G82),1),"")</f>
        <v/>
      </c>
      <c r="AW82" s="440" t="b">
        <f ca="1">IF(AND(NOT(AS82),AND(AS$4:AS81)),TRUE,AS82)</f>
        <v>0</v>
      </c>
      <c r="AX82" s="439" t="e">
        <f ca="1">IF(AND(NOT(ISBLANK(Jumpoverwrite10)),AND(NOT(AW82),AND(AW$4:AW81))),($J82*$G82-LN(1+Jumpoverwrite10*AY$2))/$G82,_xll.qlInterpolationInterpolate(AW$3,$F82,TRUE))</f>
        <v>#NAME?</v>
      </c>
      <c r="AY82" s="439" t="str">
        <f ca="1">IF(AND(NOT(AW82),AND(AW$4:AW81)),MIN(EXP((AX82-$J82)*$G82),1),"")</f>
        <v/>
      </c>
      <c r="BA82" s="440" t="b">
        <f ca="1">IF(AND(NOT(AW82),AND(AW$4:AW81)),TRUE,AW82)</f>
        <v>0</v>
      </c>
      <c r="BB82" s="439" t="e">
        <f ca="1">IF(AND(NOT(ISBLANK(Jumpoverwrite11)),AND(NOT(BA82),AND(BA$4:BA81))),($J82*$G82-LN(1+Jumpoverwrite11*BC$2))/$G82,_xll.qlInterpolationInterpolate(BA$3,$F82,TRUE))</f>
        <v>#NAME?</v>
      </c>
      <c r="BC82" s="439" t="str">
        <f ca="1">IF(AND(NOT(BA82),AND(BA$4:BA81)),MIN(EXP((BB82-$J82)*$G82),1),"")</f>
        <v/>
      </c>
      <c r="BE82" s="440" t="b">
        <f ca="1">IF(AND(NOT(BA82),AND(BA$4:BA81)),TRUE,BA82)</f>
        <v>0</v>
      </c>
      <c r="BF82" s="439" t="e">
        <f ca="1">IF(AND(NOT(ISBLANK(Jumpoverwrite12)),AND(NOT(BE82),AND(BE$4:BE81))),($J82*$G82-LN(1+Jumpoverwrite12*BG$2))/$G82,_xll.qlInterpolationInterpolate(BE$3,$F82,TRUE))</f>
        <v>#NAME?</v>
      </c>
      <c r="BG82" s="439" t="str">
        <f ca="1">IF(AND(NOT(BE82),AND(BE$4:BE81)),MIN(EXP((BF82-$J82)*$G82),1),"")</f>
        <v/>
      </c>
      <c r="BI82" s="440" t="b">
        <f t="shared" ca="1" si="11"/>
        <v>0</v>
      </c>
      <c r="BJ82" s="439" t="e">
        <f ca="1">IF(AND(NOT(ISBLANK(jumpoverwrite13)),AND(NOT(BI82),AND(BI$4:BI81))),($J82*$G82-LN(1+jumpoverwrite13*BK$2))/$G82,_xll.qlInterpolationInterpolate(BI$3,$F82,TRUE))</f>
        <v>#NAME?</v>
      </c>
      <c r="BK82" s="439" t="str">
        <f ca="1">IF(AND(NOT(BI82),AND(BI$4:BI81)),MIN(EXP((BJ82-$J82)*$G82),1),"")</f>
        <v/>
      </c>
    </row>
    <row r="83" spans="1:63" x14ac:dyDescent="0.2">
      <c r="A83" s="438" t="e">
        <f ca="1"/>
        <v>#NAME?</v>
      </c>
      <c r="B83" s="437" t="e">
        <f ca="1">_xll.qlRateHelperRate($A83,InterestRatesTrigger)</f>
        <v>#NAME?</v>
      </c>
      <c r="C83" s="436" t="e">
        <f ca="1">_xll.qlRateHelperEarliestDate($A83)</f>
        <v>#NAME?</v>
      </c>
      <c r="D83" s="435" t="e">
        <f ca="1">_xll.qlRateHelperPillarDate($A83)</f>
        <v>#NAME?</v>
      </c>
      <c r="F83" s="445" t="e">
        <f t="shared" ca="1" si="9"/>
        <v>#N/A</v>
      </c>
      <c r="G83" s="444" t="e">
        <f ca="1">_xll.qlDayCounterYearFraction(DayCounter,D82,D83)</f>
        <v>#NAME?</v>
      </c>
      <c r="I83" s="443" t="b">
        <f t="shared" ca="1" si="10"/>
        <v>0</v>
      </c>
      <c r="J83" s="442" t="e">
        <f ca="1"/>
        <v>#NAME?</v>
      </c>
      <c r="K83" s="441" t="e">
        <f t="shared" ca="1" si="8"/>
        <v>#NAME?</v>
      </c>
      <c r="L83" s="429"/>
      <c r="M83" s="440" t="b">
        <f ca="1">IF(AND(NOT(I83),AND(I$4:I82)),TRUE,I83)</f>
        <v>0</v>
      </c>
      <c r="N83" s="439" t="e">
        <f ca="1">IF(AND(NOT(ISBLANK(Jumpoverwrite1)),AND(NOT(M83),AND(M$4:M82))),($J83*$G83-LN(1+Jumpoverwrite1*O$2))/$G83,_xll.qlInterpolationInterpolate(M$3,$F83,TRUE))</f>
        <v>#NAME?</v>
      </c>
      <c r="O83" s="439" t="str">
        <f ca="1">IF(AND(NOT(M83),AND(M$4:M82)),MIN(EXP((N83-$J83)*$G83),1),"")</f>
        <v/>
      </c>
      <c r="P83" s="428"/>
      <c r="Q83" s="440" t="b">
        <f ca="1">IF(AND(NOT(M83),AND(M$4:M82)),TRUE,M83)</f>
        <v>0</v>
      </c>
      <c r="R83" s="439" t="e">
        <f ca="1">IF(AND(NOT(ISBLANK(Jumpoverwrite2)),AND(NOT(Q83),AND(Q$4:Q82))),($J83*$G83-LN(1+Jumpoverwrite2*S$2))/$G83,_xll.qlInterpolationInterpolate(Q$3,$F83,TRUE))</f>
        <v>#NAME?</v>
      </c>
      <c r="S83" s="439" t="str">
        <f ca="1">IF(AND(NOT(Q83),AND(Q$4:Q82)),MIN(EXP((R83-$J83)*$G83),1),"")</f>
        <v/>
      </c>
      <c r="T83" s="428"/>
      <c r="U83" s="440" t="b">
        <f ca="1">IF(AND(NOT(Q83),AND(Q$4:Q82)),TRUE,Q83)</f>
        <v>0</v>
      </c>
      <c r="V83" s="439" t="e">
        <f ca="1">IF(AND(NOT(ISBLANK(Jumpoverwrite3)),AND(NOT(U83),AND(U$4:U82))),($J83*$G83-LN(1+Jumpoverwrite3*W$2))/$G83,_xll.qlInterpolationInterpolate(U$3,$F83,TRUE))</f>
        <v>#NAME?</v>
      </c>
      <c r="W83" s="439" t="str">
        <f ca="1">IF(AND(NOT(U83),AND(U$4:U82)),MIN(EXP((V83-$J83)*$G83),1),"")</f>
        <v/>
      </c>
      <c r="X83" s="428"/>
      <c r="Y83" s="440" t="b">
        <f ca="1">IF(AND(NOT(U83),AND(U$4:U82)),TRUE,U83)</f>
        <v>0</v>
      </c>
      <c r="Z83" s="439" t="e">
        <f ca="1">IF(AND(NOT(ISBLANK(Jumpoverwrite4)),AND(NOT(Y83),AND(Y$4:Y82))),($J83*$G83-LN(1+Jumpoverwrite4*AA$2))/$G83,_xll.qlInterpolationInterpolate(Y$3,$F83,TRUE))</f>
        <v>#NAME?</v>
      </c>
      <c r="AA83" s="439" t="str">
        <f ca="1">IF(AND(NOT(Y83),AND(Y$4:Y82)),MIN(EXP((Z83-$J83)*$G83),1),"")</f>
        <v/>
      </c>
      <c r="AB83" s="428"/>
      <c r="AC83" s="440" t="b">
        <f ca="1">IF(AND(NOT(Y83),AND(Y$4:Y82)),TRUE,Y83)</f>
        <v>0</v>
      </c>
      <c r="AD83" s="439" t="e">
        <f ca="1">IF(AND(NOT(ISBLANK(Jumpoverwrite5)),AND(NOT(AC83),AND(AC$4:AC82))),($J83*$G83-LN(1+Jumpoverwrite5*AE$2))/$G83,_xll.qlInterpolationInterpolate(AC$3,$F83,TRUE))</f>
        <v>#NAME?</v>
      </c>
      <c r="AE83" s="439" t="str">
        <f ca="1">IF(AND(NOT(AC83),AND(AC$4:AC82)),MIN(EXP((AD83-$J83)*$G83),1),"")</f>
        <v/>
      </c>
      <c r="AF83" s="428"/>
      <c r="AG83" s="440" t="b">
        <f ca="1">IF(AND(NOT(AC83),AND(AC$4:AC82)),TRUE,AC83)</f>
        <v>0</v>
      </c>
      <c r="AH83" s="439" t="e">
        <f ca="1">IF(AND(NOT(ISBLANK(Jumpoverwrite6)),AND(NOT(AG83),AND(AG$4:AG82))),($J83*$G83-LN(1+Jumpoverwrite6*AI$2))/$G83,_xll.qlInterpolationInterpolate(AG$3,$F83,TRUE))</f>
        <v>#NAME?</v>
      </c>
      <c r="AI83" s="439" t="str">
        <f ca="1">IF(AND(NOT(AG83),AND(AG$4:AG82)),MIN(EXP((AH83-$J83)*$G83),1),"")</f>
        <v/>
      </c>
      <c r="AJ83" s="428"/>
      <c r="AK83" s="440" t="b">
        <f ca="1">IF(AND(NOT(AG83),AND(AG$4:AG82)),TRUE,AG83)</f>
        <v>0</v>
      </c>
      <c r="AL83" s="439" t="e">
        <f ca="1">IF(AND(NOT(ISBLANK(Jumpoverwrite7)),AND(NOT(AK83),AND(AK$4:AK82))),($J83*$G83-LN(1+Jumpoverwrite7*AM$2))/$G83,_xll.qlInterpolationInterpolate(AK$3,$F83,TRUE))</f>
        <v>#NAME?</v>
      </c>
      <c r="AM83" s="439" t="str">
        <f ca="1">IF(AND(NOT(AK83),AND(AK$4:AK82)),MIN(EXP((AL83-$J83)*$G83),1),"")</f>
        <v/>
      </c>
      <c r="AO83" s="440" t="b">
        <f ca="1">IF(AND(NOT(AK83),AND(AK$4:AK82)),TRUE,AK83)</f>
        <v>0</v>
      </c>
      <c r="AP83" s="439" t="e">
        <f ca="1">IF(AND(NOT(ISBLANK(Jumpoverwrite8)),AND(NOT(AO83),AND(AO$4:AO82))),($J83*$G83-LN(1+Jumpoverwrite8*AQ$2))/$G83,_xll.qlInterpolationInterpolate(AO$3,$F83,TRUE))</f>
        <v>#NAME?</v>
      </c>
      <c r="AQ83" s="439" t="str">
        <f ca="1">IF(AND(NOT(AO83),AND(AO$4:AO82)),MIN(EXP((AP83-$J83)*$G83),1),"")</f>
        <v/>
      </c>
      <c r="AS83" s="440" t="b">
        <f ca="1">IF(AND(NOT(AO83),AND(AO$4:AO82)),TRUE,AO83)</f>
        <v>0</v>
      </c>
      <c r="AT83" s="439" t="e">
        <f ca="1">IF(AND(NOT(ISBLANK(Jumpoverwrite9)),AND(NOT(AS83),AND(AS$4:AS82))),($J83*$G83-LN(1+Jumpoverwrite9*AU$2))/$G83,_xll.qlInterpolationInterpolate(AS$3,$F83,TRUE))</f>
        <v>#NAME?</v>
      </c>
      <c r="AU83" s="439" t="str">
        <f ca="1">IF(AND(NOT(AS83),AND(AS$4:AS82)),MIN(EXP((AT83-$J83)*$G83),1),"")</f>
        <v/>
      </c>
      <c r="AW83" s="440" t="b">
        <f ca="1">IF(AND(NOT(AS83),AND(AS$4:AS82)),TRUE,AS83)</f>
        <v>0</v>
      </c>
      <c r="AX83" s="439" t="e">
        <f ca="1">IF(AND(NOT(ISBLANK(Jumpoverwrite10)),AND(NOT(AW83),AND(AW$4:AW82))),($J83*$G83-LN(1+Jumpoverwrite10*AY$2))/$G83,_xll.qlInterpolationInterpolate(AW$3,$F83,TRUE))</f>
        <v>#NAME?</v>
      </c>
      <c r="AY83" s="439" t="str">
        <f ca="1">IF(AND(NOT(AW83),AND(AW$4:AW82)),MIN(EXP((AX83-$J83)*$G83),1),"")</f>
        <v/>
      </c>
      <c r="BA83" s="440" t="b">
        <f ca="1">IF(AND(NOT(AW83),AND(AW$4:AW82)),TRUE,AW83)</f>
        <v>0</v>
      </c>
      <c r="BB83" s="439" t="e">
        <f ca="1">IF(AND(NOT(ISBLANK(Jumpoverwrite11)),AND(NOT(BA83),AND(BA$4:BA82))),($J83*$G83-LN(1+Jumpoverwrite11*BC$2))/$G83,_xll.qlInterpolationInterpolate(BA$3,$F83,TRUE))</f>
        <v>#NAME?</v>
      </c>
      <c r="BC83" s="439" t="str">
        <f ca="1">IF(AND(NOT(BA83),AND(BA$4:BA82)),MIN(EXP((BB83-$J83)*$G83),1),"")</f>
        <v/>
      </c>
      <c r="BE83" s="440" t="b">
        <f ca="1">IF(AND(NOT(BA83),AND(BA$4:BA82)),TRUE,BA83)</f>
        <v>0</v>
      </c>
      <c r="BF83" s="439" t="e">
        <f ca="1">IF(AND(NOT(ISBLANK(Jumpoverwrite12)),AND(NOT(BE83),AND(BE$4:BE82))),($J83*$G83-LN(1+Jumpoverwrite12*BG$2))/$G83,_xll.qlInterpolationInterpolate(BE$3,$F83,TRUE))</f>
        <v>#NAME?</v>
      </c>
      <c r="BG83" s="439" t="str">
        <f ca="1">IF(AND(NOT(BE83),AND(BE$4:BE82)),MIN(EXP((BF83-$J83)*$G83),1),"")</f>
        <v/>
      </c>
      <c r="BI83" s="440" t="b">
        <f t="shared" ca="1" si="11"/>
        <v>0</v>
      </c>
      <c r="BJ83" s="439" t="e">
        <f ca="1">IF(AND(NOT(ISBLANK(jumpoverwrite13)),AND(NOT(BI83),AND(BI$4:BI82))),($J83*$G83-LN(1+jumpoverwrite13*BK$2))/$G83,_xll.qlInterpolationInterpolate(BI$3,$F83,TRUE))</f>
        <v>#NAME?</v>
      </c>
      <c r="BK83" s="439" t="str">
        <f ca="1">IF(AND(NOT(BI83),AND(BI$4:BI82)),MIN(EXP((BJ83-$J83)*$G83),1),"")</f>
        <v/>
      </c>
    </row>
    <row r="84" spans="1:63" x14ac:dyDescent="0.2">
      <c r="A84" s="438" t="e">
        <f ca="1"/>
        <v>#NAME?</v>
      </c>
      <c r="B84" s="437" t="e">
        <f ca="1">_xll.qlRateHelperRate($A84,InterestRatesTrigger)</f>
        <v>#NAME?</v>
      </c>
      <c r="C84" s="436" t="e">
        <f ca="1">_xll.qlRateHelperEarliestDate($A84)</f>
        <v>#NAME?</v>
      </c>
      <c r="D84" s="435" t="e">
        <f ca="1">_xll.qlRateHelperPillarDate($A84)</f>
        <v>#NAME?</v>
      </c>
      <c r="F84" s="445" t="e">
        <f t="shared" ca="1" si="9"/>
        <v>#N/A</v>
      </c>
      <c r="G84" s="444" t="e">
        <f ca="1">_xll.qlDayCounterYearFraction(DayCounter,D83,D84)</f>
        <v>#NAME?</v>
      </c>
      <c r="I84" s="443" t="b">
        <f t="shared" ca="1" si="10"/>
        <v>0</v>
      </c>
      <c r="J84" s="442" t="e">
        <f ca="1"/>
        <v>#NAME?</v>
      </c>
      <c r="K84" s="441" t="e">
        <f t="shared" ca="1" si="8"/>
        <v>#NAME?</v>
      </c>
      <c r="L84" s="429"/>
      <c r="M84" s="440" t="b">
        <f ca="1">IF(AND(NOT(I84),AND(I$4:I83)),TRUE,I84)</f>
        <v>0</v>
      </c>
      <c r="N84" s="439" t="e">
        <f ca="1">IF(AND(NOT(ISBLANK(Jumpoverwrite1)),AND(NOT(M84),AND(M$4:M83))),($J84*$G84-LN(1+Jumpoverwrite1*O$2))/$G84,_xll.qlInterpolationInterpolate(M$3,$F84,TRUE))</f>
        <v>#NAME?</v>
      </c>
      <c r="O84" s="439" t="str">
        <f ca="1">IF(AND(NOT(M84),AND(M$4:M83)),MIN(EXP((N84-$J84)*$G84),1),"")</f>
        <v/>
      </c>
      <c r="P84" s="428"/>
      <c r="Q84" s="440" t="b">
        <f ca="1">IF(AND(NOT(M84),AND(M$4:M83)),TRUE,M84)</f>
        <v>0</v>
      </c>
      <c r="R84" s="439" t="e">
        <f ca="1">IF(AND(NOT(ISBLANK(Jumpoverwrite2)),AND(NOT(Q84),AND(Q$4:Q83))),($J84*$G84-LN(1+Jumpoverwrite2*S$2))/$G84,_xll.qlInterpolationInterpolate(Q$3,$F84,TRUE))</f>
        <v>#NAME?</v>
      </c>
      <c r="S84" s="439" t="str">
        <f ca="1">IF(AND(NOT(Q84),AND(Q$4:Q83)),MIN(EXP((R84-$J84)*$G84),1),"")</f>
        <v/>
      </c>
      <c r="T84" s="428"/>
      <c r="U84" s="440" t="b">
        <f ca="1">IF(AND(NOT(Q84),AND(Q$4:Q83)),TRUE,Q84)</f>
        <v>0</v>
      </c>
      <c r="V84" s="439" t="e">
        <f ca="1">IF(AND(NOT(ISBLANK(Jumpoverwrite3)),AND(NOT(U84),AND(U$4:U83))),($J84*$G84-LN(1+Jumpoverwrite3*W$2))/$G84,_xll.qlInterpolationInterpolate(U$3,$F84,TRUE))</f>
        <v>#NAME?</v>
      </c>
      <c r="W84" s="439" t="str">
        <f ca="1">IF(AND(NOT(U84),AND(U$4:U83)),MIN(EXP((V84-$J84)*$G84),1),"")</f>
        <v/>
      </c>
      <c r="X84" s="428"/>
      <c r="Y84" s="440" t="b">
        <f ca="1">IF(AND(NOT(U84),AND(U$4:U83)),TRUE,U84)</f>
        <v>0</v>
      </c>
      <c r="Z84" s="439" t="e">
        <f ca="1">IF(AND(NOT(ISBLANK(Jumpoverwrite4)),AND(NOT(Y84),AND(Y$4:Y83))),($J84*$G84-LN(1+Jumpoverwrite4*AA$2))/$G84,_xll.qlInterpolationInterpolate(Y$3,$F84,TRUE))</f>
        <v>#NAME?</v>
      </c>
      <c r="AA84" s="439" t="str">
        <f ca="1">IF(AND(NOT(Y84),AND(Y$4:Y83)),MIN(EXP((Z84-$J84)*$G84),1),"")</f>
        <v/>
      </c>
      <c r="AB84" s="428"/>
      <c r="AC84" s="440" t="b">
        <f ca="1">IF(AND(NOT(Y84),AND(Y$4:Y83)),TRUE,Y84)</f>
        <v>0</v>
      </c>
      <c r="AD84" s="439" t="e">
        <f ca="1">IF(AND(NOT(ISBLANK(Jumpoverwrite5)),AND(NOT(AC84),AND(AC$4:AC83))),($J84*$G84-LN(1+Jumpoverwrite5*AE$2))/$G84,_xll.qlInterpolationInterpolate(AC$3,$F84,TRUE))</f>
        <v>#NAME?</v>
      </c>
      <c r="AE84" s="439" t="str">
        <f ca="1">IF(AND(NOT(AC84),AND(AC$4:AC83)),MIN(EXP((AD84-$J84)*$G84),1),"")</f>
        <v/>
      </c>
      <c r="AF84" s="428"/>
      <c r="AG84" s="440" t="b">
        <f ca="1">IF(AND(NOT(AC84),AND(AC$4:AC83)),TRUE,AC84)</f>
        <v>0</v>
      </c>
      <c r="AH84" s="439" t="e">
        <f ca="1">IF(AND(NOT(ISBLANK(Jumpoverwrite6)),AND(NOT(AG84),AND(AG$4:AG83))),($J84*$G84-LN(1+Jumpoverwrite6*AI$2))/$G84,_xll.qlInterpolationInterpolate(AG$3,$F84,TRUE))</f>
        <v>#NAME?</v>
      </c>
      <c r="AI84" s="439" t="str">
        <f ca="1">IF(AND(NOT(AG84),AND(AG$4:AG83)),MIN(EXP((AH84-$J84)*$G84),1),"")</f>
        <v/>
      </c>
      <c r="AJ84" s="428"/>
      <c r="AK84" s="440" t="b">
        <f ca="1">IF(AND(NOT(AG84),AND(AG$4:AG83)),TRUE,AG84)</f>
        <v>0</v>
      </c>
      <c r="AL84" s="439" t="e">
        <f ca="1">IF(AND(NOT(ISBLANK(Jumpoverwrite7)),AND(NOT(AK84),AND(AK$4:AK83))),($J84*$G84-LN(1+Jumpoverwrite7*AM$2))/$G84,_xll.qlInterpolationInterpolate(AK$3,$F84,TRUE))</f>
        <v>#NAME?</v>
      </c>
      <c r="AM84" s="439" t="str">
        <f ca="1">IF(AND(NOT(AK84),AND(AK$4:AK83)),MIN(EXP((AL84-$J84)*$G84),1),"")</f>
        <v/>
      </c>
      <c r="AO84" s="440" t="b">
        <f ca="1">IF(AND(NOT(AK84),AND(AK$4:AK83)),TRUE,AK84)</f>
        <v>0</v>
      </c>
      <c r="AP84" s="439" t="e">
        <f ca="1">IF(AND(NOT(ISBLANK(Jumpoverwrite8)),AND(NOT(AO84),AND(AO$4:AO83))),($J84*$G84-LN(1+Jumpoverwrite8*AQ$2))/$G84,_xll.qlInterpolationInterpolate(AO$3,$F84,TRUE))</f>
        <v>#NAME?</v>
      </c>
      <c r="AQ84" s="439" t="str">
        <f ca="1">IF(AND(NOT(AO84),AND(AO$4:AO83)),MIN(EXP((AP84-$J84)*$G84),1),"")</f>
        <v/>
      </c>
      <c r="AS84" s="440" t="b">
        <f ca="1">IF(AND(NOT(AO84),AND(AO$4:AO83)),TRUE,AO84)</f>
        <v>0</v>
      </c>
      <c r="AT84" s="439" t="e">
        <f ca="1">IF(AND(NOT(ISBLANK(Jumpoverwrite9)),AND(NOT(AS84),AND(AS$4:AS83))),($J84*$G84-LN(1+Jumpoverwrite9*AU$2))/$G84,_xll.qlInterpolationInterpolate(AS$3,$F84,TRUE))</f>
        <v>#NAME?</v>
      </c>
      <c r="AU84" s="439" t="str">
        <f ca="1">IF(AND(NOT(AS84),AND(AS$4:AS83)),MIN(EXP((AT84-$J84)*$G84),1),"")</f>
        <v/>
      </c>
      <c r="AW84" s="440" t="b">
        <f ca="1">IF(AND(NOT(AS84),AND(AS$4:AS83)),TRUE,AS84)</f>
        <v>0</v>
      </c>
      <c r="AX84" s="439" t="e">
        <f ca="1">IF(AND(NOT(ISBLANK(Jumpoverwrite10)),AND(NOT(AW84),AND(AW$4:AW83))),($J84*$G84-LN(1+Jumpoverwrite10*AY$2))/$G84,_xll.qlInterpolationInterpolate(AW$3,$F84,TRUE))</f>
        <v>#NAME?</v>
      </c>
      <c r="AY84" s="439" t="str">
        <f ca="1">IF(AND(NOT(AW84),AND(AW$4:AW83)),MIN(EXP((AX84-$J84)*$G84),1),"")</f>
        <v/>
      </c>
      <c r="BA84" s="440" t="b">
        <f ca="1">IF(AND(NOT(AW84),AND(AW$4:AW83)),TRUE,AW84)</f>
        <v>0</v>
      </c>
      <c r="BB84" s="439" t="e">
        <f ca="1">IF(AND(NOT(ISBLANK(Jumpoverwrite11)),AND(NOT(BA84),AND(BA$4:BA83))),($J84*$G84-LN(1+Jumpoverwrite11*BC$2))/$G84,_xll.qlInterpolationInterpolate(BA$3,$F84,TRUE))</f>
        <v>#NAME?</v>
      </c>
      <c r="BC84" s="439" t="str">
        <f ca="1">IF(AND(NOT(BA84),AND(BA$4:BA83)),MIN(EXP((BB84-$J84)*$G84),1),"")</f>
        <v/>
      </c>
      <c r="BE84" s="440" t="b">
        <f ca="1">IF(AND(NOT(BA84),AND(BA$4:BA83)),TRUE,BA84)</f>
        <v>0</v>
      </c>
      <c r="BF84" s="439" t="e">
        <f ca="1">IF(AND(NOT(ISBLANK(Jumpoverwrite12)),AND(NOT(BE84),AND(BE$4:BE83))),($J84*$G84-LN(1+Jumpoverwrite12*BG$2))/$G84,_xll.qlInterpolationInterpolate(BE$3,$F84,TRUE))</f>
        <v>#NAME?</v>
      </c>
      <c r="BG84" s="439" t="str">
        <f ca="1">IF(AND(NOT(BE84),AND(BE$4:BE83)),MIN(EXP((BF84-$J84)*$G84),1),"")</f>
        <v/>
      </c>
      <c r="BI84" s="440" t="b">
        <f t="shared" ca="1" si="11"/>
        <v>0</v>
      </c>
      <c r="BJ84" s="439" t="e">
        <f ca="1">IF(AND(NOT(ISBLANK(jumpoverwrite13)),AND(NOT(BI84),AND(BI$4:BI83))),($J84*$G84-LN(1+jumpoverwrite13*BK$2))/$G84,_xll.qlInterpolationInterpolate(BI$3,$F84,TRUE))</f>
        <v>#NAME?</v>
      </c>
      <c r="BK84" s="439" t="str">
        <f ca="1">IF(AND(NOT(BI84),AND(BI$4:BI83)),MIN(EXP((BJ84-$J84)*$G84),1),"")</f>
        <v/>
      </c>
    </row>
    <row r="85" spans="1:63" x14ac:dyDescent="0.2">
      <c r="A85" s="438" t="e">
        <f ca="1"/>
        <v>#NAME?</v>
      </c>
      <c r="B85" s="437" t="e">
        <f ca="1">_xll.qlRateHelperRate($A85,InterestRatesTrigger)</f>
        <v>#NAME?</v>
      </c>
      <c r="C85" s="436" t="e">
        <f ca="1">_xll.qlRateHelperEarliestDate($A85)</f>
        <v>#NAME?</v>
      </c>
      <c r="D85" s="435" t="e">
        <f ca="1">_xll.qlRateHelperPillarDate($A85)</f>
        <v>#NAME?</v>
      </c>
      <c r="F85" s="445" t="e">
        <f t="shared" ca="1" si="9"/>
        <v>#N/A</v>
      </c>
      <c r="G85" s="444" t="e">
        <f ca="1">_xll.qlDayCounterYearFraction(DayCounter,D84,D85)</f>
        <v>#NAME?</v>
      </c>
      <c r="I85" s="443" t="b">
        <f t="shared" ca="1" si="10"/>
        <v>0</v>
      </c>
      <c r="J85" s="442" t="e">
        <f ca="1"/>
        <v>#NAME?</v>
      </c>
      <c r="K85" s="441" t="e">
        <f t="shared" ca="1" si="8"/>
        <v>#NAME?</v>
      </c>
      <c r="L85" s="429"/>
      <c r="M85" s="440" t="b">
        <f ca="1">IF(AND(NOT(I85),AND(I$4:I84)),TRUE,I85)</f>
        <v>0</v>
      </c>
      <c r="N85" s="439" t="e">
        <f ca="1">IF(AND(NOT(ISBLANK(Jumpoverwrite1)),AND(NOT(M85),AND(M$4:M84))),($J85*$G85-LN(1+Jumpoverwrite1*O$2))/$G85,_xll.qlInterpolationInterpolate(M$3,$F85,TRUE))</f>
        <v>#NAME?</v>
      </c>
      <c r="O85" s="439" t="str">
        <f ca="1">IF(AND(NOT(M85),AND(M$4:M84)),MIN(EXP((N85-$J85)*$G85),1),"")</f>
        <v/>
      </c>
      <c r="P85" s="428"/>
      <c r="Q85" s="440" t="b">
        <f ca="1">IF(AND(NOT(M85),AND(M$4:M84)),TRUE,M85)</f>
        <v>0</v>
      </c>
      <c r="R85" s="439" t="e">
        <f ca="1">IF(AND(NOT(ISBLANK(Jumpoverwrite2)),AND(NOT(Q85),AND(Q$4:Q84))),($J85*$G85-LN(1+Jumpoverwrite2*S$2))/$G85,_xll.qlInterpolationInterpolate(Q$3,$F85,TRUE))</f>
        <v>#NAME?</v>
      </c>
      <c r="S85" s="439" t="str">
        <f ca="1">IF(AND(NOT(Q85),AND(Q$4:Q84)),MIN(EXP((R85-$J85)*$G85),1),"")</f>
        <v/>
      </c>
      <c r="T85" s="428"/>
      <c r="U85" s="440" t="b">
        <f ca="1">IF(AND(NOT(Q85),AND(Q$4:Q84)),TRUE,Q85)</f>
        <v>0</v>
      </c>
      <c r="V85" s="439" t="e">
        <f ca="1">IF(AND(NOT(ISBLANK(Jumpoverwrite3)),AND(NOT(U85),AND(U$4:U84))),($J85*$G85-LN(1+Jumpoverwrite3*W$2))/$G85,_xll.qlInterpolationInterpolate(U$3,$F85,TRUE))</f>
        <v>#NAME?</v>
      </c>
      <c r="W85" s="439" t="str">
        <f ca="1">IF(AND(NOT(U85),AND(U$4:U84)),MIN(EXP((V85-$J85)*$G85),1),"")</f>
        <v/>
      </c>
      <c r="X85" s="428"/>
      <c r="Y85" s="440" t="b">
        <f ca="1">IF(AND(NOT(U85),AND(U$4:U84)),TRUE,U85)</f>
        <v>0</v>
      </c>
      <c r="Z85" s="439" t="e">
        <f ca="1">IF(AND(NOT(ISBLANK(Jumpoverwrite4)),AND(NOT(Y85),AND(Y$4:Y84))),($J85*$G85-LN(1+Jumpoverwrite4*AA$2))/$G85,_xll.qlInterpolationInterpolate(Y$3,$F85,TRUE))</f>
        <v>#NAME?</v>
      </c>
      <c r="AA85" s="439" t="str">
        <f ca="1">IF(AND(NOT(Y85),AND(Y$4:Y84)),MIN(EXP((Z85-$J85)*$G85),1),"")</f>
        <v/>
      </c>
      <c r="AB85" s="428"/>
      <c r="AC85" s="440" t="b">
        <f ca="1">IF(AND(NOT(Y85),AND(Y$4:Y84)),TRUE,Y85)</f>
        <v>0</v>
      </c>
      <c r="AD85" s="439" t="e">
        <f ca="1">IF(AND(NOT(ISBLANK(Jumpoverwrite5)),AND(NOT(AC85),AND(AC$4:AC84))),($J85*$G85-LN(1+Jumpoverwrite5*AE$2))/$G85,_xll.qlInterpolationInterpolate(AC$3,$F85,TRUE))</f>
        <v>#NAME?</v>
      </c>
      <c r="AE85" s="439" t="str">
        <f ca="1">IF(AND(NOT(AC85),AND(AC$4:AC84)),MIN(EXP((AD85-$J85)*$G85),1),"")</f>
        <v/>
      </c>
      <c r="AF85" s="428"/>
      <c r="AG85" s="440" t="b">
        <f ca="1">IF(AND(NOT(AC85),AND(AC$4:AC84)),TRUE,AC85)</f>
        <v>0</v>
      </c>
      <c r="AH85" s="439" t="e">
        <f ca="1">IF(AND(NOT(ISBLANK(Jumpoverwrite6)),AND(NOT(AG85),AND(AG$4:AG84))),($J85*$G85-LN(1+Jumpoverwrite6*AI$2))/$G85,_xll.qlInterpolationInterpolate(AG$3,$F85,TRUE))</f>
        <v>#NAME?</v>
      </c>
      <c r="AI85" s="439" t="str">
        <f ca="1">IF(AND(NOT(AG85),AND(AG$4:AG84)),MIN(EXP((AH85-$J85)*$G85),1),"")</f>
        <v/>
      </c>
      <c r="AJ85" s="428"/>
      <c r="AK85" s="440" t="b">
        <f ca="1">IF(AND(NOT(AG85),AND(AG$4:AG84)),TRUE,AG85)</f>
        <v>0</v>
      </c>
      <c r="AL85" s="439" t="e">
        <f ca="1">IF(AND(NOT(ISBLANK(Jumpoverwrite7)),AND(NOT(AK85),AND(AK$4:AK84))),($J85*$G85-LN(1+Jumpoverwrite7*AM$2))/$G85,_xll.qlInterpolationInterpolate(AK$3,$F85,TRUE))</f>
        <v>#NAME?</v>
      </c>
      <c r="AM85" s="439" t="str">
        <f ca="1">IF(AND(NOT(AK85),AND(AK$4:AK84)),MIN(EXP((AL85-$J85)*$G85),1),"")</f>
        <v/>
      </c>
      <c r="AO85" s="440" t="b">
        <f ca="1">IF(AND(NOT(AK85),AND(AK$4:AK84)),TRUE,AK85)</f>
        <v>0</v>
      </c>
      <c r="AP85" s="439" t="e">
        <f ca="1">IF(AND(NOT(ISBLANK(Jumpoverwrite8)),AND(NOT(AO85),AND(AO$4:AO84))),($J85*$G85-LN(1+Jumpoverwrite8*AQ$2))/$G85,_xll.qlInterpolationInterpolate(AO$3,$F85,TRUE))</f>
        <v>#NAME?</v>
      </c>
      <c r="AQ85" s="439" t="str">
        <f ca="1">IF(AND(NOT(AO85),AND(AO$4:AO84)),MIN(EXP((AP85-$J85)*$G85),1),"")</f>
        <v/>
      </c>
      <c r="AS85" s="440" t="b">
        <f ca="1">IF(AND(NOT(AO85),AND(AO$4:AO84)),TRUE,AO85)</f>
        <v>0</v>
      </c>
      <c r="AT85" s="439" t="e">
        <f ca="1">IF(AND(NOT(ISBLANK(Jumpoverwrite9)),AND(NOT(AS85),AND(AS$4:AS84))),($J85*$G85-LN(1+Jumpoverwrite9*AU$2))/$G85,_xll.qlInterpolationInterpolate(AS$3,$F85,TRUE))</f>
        <v>#NAME?</v>
      </c>
      <c r="AU85" s="439" t="str">
        <f ca="1">IF(AND(NOT(AS85),AND(AS$4:AS84)),MIN(EXP((AT85-$J85)*$G85),1),"")</f>
        <v/>
      </c>
      <c r="AW85" s="440" t="b">
        <f ca="1">IF(AND(NOT(AS85),AND(AS$4:AS84)),TRUE,AS85)</f>
        <v>0</v>
      </c>
      <c r="AX85" s="439" t="e">
        <f ca="1">IF(AND(NOT(ISBLANK(Jumpoverwrite10)),AND(NOT(AW85),AND(AW$4:AW84))),($J85*$G85-LN(1+Jumpoverwrite10*AY$2))/$G85,_xll.qlInterpolationInterpolate(AW$3,$F85,TRUE))</f>
        <v>#NAME?</v>
      </c>
      <c r="AY85" s="439" t="str">
        <f ca="1">IF(AND(NOT(AW85),AND(AW$4:AW84)),MIN(EXP((AX85-$J85)*$G85),1),"")</f>
        <v/>
      </c>
      <c r="BA85" s="440" t="b">
        <f ca="1">IF(AND(NOT(AW85),AND(AW$4:AW84)),TRUE,AW85)</f>
        <v>0</v>
      </c>
      <c r="BB85" s="439" t="e">
        <f ca="1">IF(AND(NOT(ISBLANK(Jumpoverwrite11)),AND(NOT(BA85),AND(BA$4:BA84))),($J85*$G85-LN(1+Jumpoverwrite11*BC$2))/$G85,_xll.qlInterpolationInterpolate(BA$3,$F85,TRUE))</f>
        <v>#NAME?</v>
      </c>
      <c r="BC85" s="439" t="str">
        <f ca="1">IF(AND(NOT(BA85),AND(BA$4:BA84)),MIN(EXP((BB85-$J85)*$G85),1),"")</f>
        <v/>
      </c>
      <c r="BE85" s="440" t="b">
        <f ca="1">IF(AND(NOT(BA85),AND(BA$4:BA84)),TRUE,BA85)</f>
        <v>0</v>
      </c>
      <c r="BF85" s="439" t="e">
        <f ca="1">IF(AND(NOT(ISBLANK(Jumpoverwrite12)),AND(NOT(BE85),AND(BE$4:BE84))),($J85*$G85-LN(1+Jumpoverwrite12*BG$2))/$G85,_xll.qlInterpolationInterpolate(BE$3,$F85,TRUE))</f>
        <v>#NAME?</v>
      </c>
      <c r="BG85" s="439" t="str">
        <f ca="1">IF(AND(NOT(BE85),AND(BE$4:BE84)),MIN(EXP((BF85-$J85)*$G85),1),"")</f>
        <v/>
      </c>
      <c r="BI85" s="440" t="b">
        <f t="shared" ca="1" si="11"/>
        <v>0</v>
      </c>
      <c r="BJ85" s="439" t="e">
        <f ca="1">IF(AND(NOT(ISBLANK(jumpoverwrite13)),AND(NOT(BI85),AND(BI$4:BI84))),($J85*$G85-LN(1+jumpoverwrite13*BK$2))/$G85,_xll.qlInterpolationInterpolate(BI$3,$F85,TRUE))</f>
        <v>#NAME?</v>
      </c>
      <c r="BK85" s="439" t="str">
        <f ca="1">IF(AND(NOT(BI85),AND(BI$4:BI84)),MIN(EXP((BJ85-$J85)*$G85),1),"")</f>
        <v/>
      </c>
    </row>
    <row r="86" spans="1:63" x14ac:dyDescent="0.2">
      <c r="A86" s="438" t="e">
        <f ca="1"/>
        <v>#NAME?</v>
      </c>
      <c r="B86" s="437" t="e">
        <f ca="1">_xll.qlRateHelperRate($A86,InterestRatesTrigger)</f>
        <v>#NAME?</v>
      </c>
      <c r="C86" s="436" t="e">
        <f ca="1">_xll.qlRateHelperEarliestDate($A86)</f>
        <v>#NAME?</v>
      </c>
      <c r="D86" s="435" t="e">
        <f ca="1">_xll.qlRateHelperPillarDate($A86)</f>
        <v>#NAME?</v>
      </c>
      <c r="F86" s="445" t="e">
        <f t="shared" ca="1" si="9"/>
        <v>#N/A</v>
      </c>
      <c r="G86" s="444" t="e">
        <f ca="1">_xll.qlDayCounterYearFraction(DayCounter,D85,D86)</f>
        <v>#NAME?</v>
      </c>
      <c r="I86" s="443" t="b">
        <f t="shared" ca="1" si="10"/>
        <v>0</v>
      </c>
      <c r="J86" s="442" t="e">
        <f ca="1"/>
        <v>#NAME?</v>
      </c>
      <c r="K86" s="441" t="e">
        <f t="shared" ca="1" si="8"/>
        <v>#NAME?</v>
      </c>
      <c r="L86" s="429"/>
      <c r="M86" s="440" t="b">
        <f ca="1">IF(AND(NOT(I86),AND(I$4:I85)),TRUE,I86)</f>
        <v>0</v>
      </c>
      <c r="N86" s="439" t="e">
        <f ca="1">IF(AND(NOT(ISBLANK(Jumpoverwrite1)),AND(NOT(M86),AND(M$4:M85))),($J86*$G86-LN(1+Jumpoverwrite1*O$2))/$G86,_xll.qlInterpolationInterpolate(M$3,$F86,TRUE))</f>
        <v>#NAME?</v>
      </c>
      <c r="O86" s="439" t="str">
        <f ca="1">IF(AND(NOT(M86),AND(M$4:M85)),MIN(EXP((N86-$J86)*$G86),1),"")</f>
        <v/>
      </c>
      <c r="P86" s="428"/>
      <c r="Q86" s="440" t="b">
        <f ca="1">IF(AND(NOT(M86),AND(M$4:M85)),TRUE,M86)</f>
        <v>0</v>
      </c>
      <c r="R86" s="439" t="e">
        <f ca="1">IF(AND(NOT(ISBLANK(Jumpoverwrite2)),AND(NOT(Q86),AND(Q$4:Q85))),($J86*$G86-LN(1+Jumpoverwrite2*S$2))/$G86,_xll.qlInterpolationInterpolate(Q$3,$F86,TRUE))</f>
        <v>#NAME?</v>
      </c>
      <c r="S86" s="439" t="str">
        <f ca="1">IF(AND(NOT(Q86),AND(Q$4:Q85)),MIN(EXP((R86-$J86)*$G86),1),"")</f>
        <v/>
      </c>
      <c r="T86" s="428"/>
      <c r="U86" s="440" t="b">
        <f ca="1">IF(AND(NOT(Q86),AND(Q$4:Q85)),TRUE,Q86)</f>
        <v>0</v>
      </c>
      <c r="V86" s="439" t="e">
        <f ca="1">IF(AND(NOT(ISBLANK(Jumpoverwrite3)),AND(NOT(U86),AND(U$4:U85))),($J86*$G86-LN(1+Jumpoverwrite3*W$2))/$G86,_xll.qlInterpolationInterpolate(U$3,$F86,TRUE))</f>
        <v>#NAME?</v>
      </c>
      <c r="W86" s="439" t="str">
        <f ca="1">IF(AND(NOT(U86),AND(U$4:U85)),MIN(EXP((V86-$J86)*$G86),1),"")</f>
        <v/>
      </c>
      <c r="X86" s="428"/>
      <c r="Y86" s="440" t="b">
        <f ca="1">IF(AND(NOT(U86),AND(U$4:U85)),TRUE,U86)</f>
        <v>0</v>
      </c>
      <c r="Z86" s="439" t="e">
        <f ca="1">IF(AND(NOT(ISBLANK(Jumpoverwrite4)),AND(NOT(Y86),AND(Y$4:Y85))),($J86*$G86-LN(1+Jumpoverwrite4*AA$2))/$G86,_xll.qlInterpolationInterpolate(Y$3,$F86,TRUE))</f>
        <v>#NAME?</v>
      </c>
      <c r="AA86" s="439" t="str">
        <f ca="1">IF(AND(NOT(Y86),AND(Y$4:Y85)),MIN(EXP((Z86-$J86)*$G86),1),"")</f>
        <v/>
      </c>
      <c r="AB86" s="428"/>
      <c r="AC86" s="440" t="b">
        <f ca="1">IF(AND(NOT(Y86),AND(Y$4:Y85)),TRUE,Y86)</f>
        <v>0</v>
      </c>
      <c r="AD86" s="439" t="e">
        <f ca="1">IF(AND(NOT(ISBLANK(Jumpoverwrite5)),AND(NOT(AC86),AND(AC$4:AC85))),($J86*$G86-LN(1+Jumpoverwrite5*AE$2))/$G86,_xll.qlInterpolationInterpolate(AC$3,$F86,TRUE))</f>
        <v>#NAME?</v>
      </c>
      <c r="AE86" s="439" t="str">
        <f ca="1">IF(AND(NOT(AC86),AND(AC$4:AC85)),MIN(EXP((AD86-$J86)*$G86),1),"")</f>
        <v/>
      </c>
      <c r="AF86" s="428"/>
      <c r="AG86" s="440" t="b">
        <f ca="1">IF(AND(NOT(AC86),AND(AC$4:AC85)),TRUE,AC86)</f>
        <v>0</v>
      </c>
      <c r="AH86" s="439" t="e">
        <f ca="1">IF(AND(NOT(ISBLANK(Jumpoverwrite6)),AND(NOT(AG86),AND(AG$4:AG85))),($J86*$G86-LN(1+Jumpoverwrite6*AI$2))/$G86,_xll.qlInterpolationInterpolate(AG$3,$F86,TRUE))</f>
        <v>#NAME?</v>
      </c>
      <c r="AI86" s="439" t="str">
        <f ca="1">IF(AND(NOT(AG86),AND(AG$4:AG85)),MIN(EXP((AH86-$J86)*$G86),1),"")</f>
        <v/>
      </c>
      <c r="AJ86" s="428"/>
      <c r="AK86" s="440" t="b">
        <f ca="1">IF(AND(NOT(AG86),AND(AG$4:AG85)),TRUE,AG86)</f>
        <v>0</v>
      </c>
      <c r="AL86" s="439" t="e">
        <f ca="1">IF(AND(NOT(ISBLANK(Jumpoverwrite7)),AND(NOT(AK86),AND(AK$4:AK85))),($J86*$G86-LN(1+Jumpoverwrite7*AM$2))/$G86,_xll.qlInterpolationInterpolate(AK$3,$F86,TRUE))</f>
        <v>#NAME?</v>
      </c>
      <c r="AM86" s="439" t="str">
        <f ca="1">IF(AND(NOT(AK86),AND(AK$4:AK85)),MIN(EXP((AL86-$J86)*$G86),1),"")</f>
        <v/>
      </c>
      <c r="AO86" s="440" t="b">
        <f ca="1">IF(AND(NOT(AK86),AND(AK$4:AK85)),TRUE,AK86)</f>
        <v>0</v>
      </c>
      <c r="AP86" s="439" t="e">
        <f ca="1">IF(AND(NOT(ISBLANK(Jumpoverwrite8)),AND(NOT(AO86),AND(AO$4:AO85))),($J86*$G86-LN(1+Jumpoverwrite8*AQ$2))/$G86,_xll.qlInterpolationInterpolate(AO$3,$F86,TRUE))</f>
        <v>#NAME?</v>
      </c>
      <c r="AQ86" s="439" t="str">
        <f ca="1">IF(AND(NOT(AO86),AND(AO$4:AO85)),MIN(EXP((AP86-$J86)*$G86),1),"")</f>
        <v/>
      </c>
      <c r="AS86" s="440" t="b">
        <f ca="1">IF(AND(NOT(AO86),AND(AO$4:AO85)),TRUE,AO86)</f>
        <v>0</v>
      </c>
      <c r="AT86" s="439" t="e">
        <f ca="1">IF(AND(NOT(ISBLANK(Jumpoverwrite9)),AND(NOT(AS86),AND(AS$4:AS85))),($J86*$G86-LN(1+Jumpoverwrite9*AU$2))/$G86,_xll.qlInterpolationInterpolate(AS$3,$F86,TRUE))</f>
        <v>#NAME?</v>
      </c>
      <c r="AU86" s="439" t="str">
        <f ca="1">IF(AND(NOT(AS86),AND(AS$4:AS85)),MIN(EXP((AT86-$J86)*$G86),1),"")</f>
        <v/>
      </c>
      <c r="AW86" s="440" t="b">
        <f ca="1">IF(AND(NOT(AS86),AND(AS$4:AS85)),TRUE,AS86)</f>
        <v>0</v>
      </c>
      <c r="AX86" s="439" t="e">
        <f ca="1">IF(AND(NOT(ISBLANK(Jumpoverwrite10)),AND(NOT(AW86),AND(AW$4:AW85))),($J86*$G86-LN(1+Jumpoverwrite10*AY$2))/$G86,_xll.qlInterpolationInterpolate(AW$3,$F86,TRUE))</f>
        <v>#NAME?</v>
      </c>
      <c r="AY86" s="439" t="str">
        <f ca="1">IF(AND(NOT(AW86),AND(AW$4:AW85)),MIN(EXP((AX86-$J86)*$G86),1),"")</f>
        <v/>
      </c>
      <c r="BA86" s="440" t="b">
        <f ca="1">IF(AND(NOT(AW86),AND(AW$4:AW85)),TRUE,AW86)</f>
        <v>0</v>
      </c>
      <c r="BB86" s="439" t="e">
        <f ca="1">IF(AND(NOT(ISBLANK(Jumpoverwrite11)),AND(NOT(BA86),AND(BA$4:BA85))),($J86*$G86-LN(1+Jumpoverwrite11*BC$2))/$G86,_xll.qlInterpolationInterpolate(BA$3,$F86,TRUE))</f>
        <v>#NAME?</v>
      </c>
      <c r="BC86" s="439" t="str">
        <f ca="1">IF(AND(NOT(BA86),AND(BA$4:BA85)),MIN(EXP((BB86-$J86)*$G86),1),"")</f>
        <v/>
      </c>
      <c r="BE86" s="440" t="b">
        <f ca="1">IF(AND(NOT(BA86),AND(BA$4:BA85)),TRUE,BA86)</f>
        <v>0</v>
      </c>
      <c r="BF86" s="439" t="e">
        <f ca="1">IF(AND(NOT(ISBLANK(Jumpoverwrite12)),AND(NOT(BE86),AND(BE$4:BE85))),($J86*$G86-LN(1+Jumpoverwrite12*BG$2))/$G86,_xll.qlInterpolationInterpolate(BE$3,$F86,TRUE))</f>
        <v>#NAME?</v>
      </c>
      <c r="BG86" s="439" t="str">
        <f ca="1">IF(AND(NOT(BE86),AND(BE$4:BE85)),MIN(EXP((BF86-$J86)*$G86),1),"")</f>
        <v/>
      </c>
      <c r="BI86" s="440" t="b">
        <f t="shared" ca="1" si="11"/>
        <v>0</v>
      </c>
      <c r="BJ86" s="439" t="e">
        <f ca="1">IF(AND(NOT(ISBLANK(jumpoverwrite13)),AND(NOT(BI86),AND(BI$4:BI85))),($J86*$G86-LN(1+jumpoverwrite13*BK$2))/$G86,_xll.qlInterpolationInterpolate(BI$3,$F86,TRUE))</f>
        <v>#NAME?</v>
      </c>
      <c r="BK86" s="439" t="str">
        <f ca="1">IF(AND(NOT(BI86),AND(BI$4:BI85)),MIN(EXP((BJ86-$J86)*$G86),1),"")</f>
        <v/>
      </c>
    </row>
    <row r="87" spans="1:63" x14ac:dyDescent="0.2">
      <c r="A87" s="438" t="e">
        <f ca="1"/>
        <v>#NAME?</v>
      </c>
      <c r="B87" s="437" t="e">
        <f ca="1">_xll.qlRateHelperRate($A87,InterestRatesTrigger)</f>
        <v>#NAME?</v>
      </c>
      <c r="C87" s="436" t="e">
        <f ca="1">_xll.qlRateHelperEarliestDate($A87)</f>
        <v>#NAME?</v>
      </c>
      <c r="D87" s="435" t="e">
        <f ca="1">_xll.qlRateHelperPillarDate($A87)</f>
        <v>#NAME?</v>
      </c>
      <c r="F87" s="445" t="e">
        <f t="shared" ca="1" si="9"/>
        <v>#N/A</v>
      </c>
      <c r="G87" s="444" t="e">
        <f ca="1">_xll.qlDayCounterYearFraction(DayCounter,D86,D87)</f>
        <v>#NAME?</v>
      </c>
      <c r="I87" s="443" t="b">
        <f t="shared" ca="1" si="10"/>
        <v>0</v>
      </c>
      <c r="J87" s="442" t="e">
        <f ca="1"/>
        <v>#NAME?</v>
      </c>
      <c r="K87" s="441" t="e">
        <f t="shared" ca="1" si="8"/>
        <v>#NAME?</v>
      </c>
      <c r="L87" s="429"/>
      <c r="M87" s="440" t="b">
        <f ca="1">IF(AND(NOT(I87),AND(I$4:I86)),TRUE,I87)</f>
        <v>0</v>
      </c>
      <c r="N87" s="439" t="e">
        <f ca="1">IF(AND(NOT(ISBLANK(Jumpoverwrite1)),AND(NOT(M87),AND(M$4:M86))),($J87*$G87-LN(1+Jumpoverwrite1*O$2))/$G87,_xll.qlInterpolationInterpolate(M$3,$F87,TRUE))</f>
        <v>#NAME?</v>
      </c>
      <c r="O87" s="439" t="str">
        <f ca="1">IF(AND(NOT(M87),AND(M$4:M86)),MIN(EXP((N87-$J87)*$G87),1),"")</f>
        <v/>
      </c>
      <c r="P87" s="428"/>
      <c r="Q87" s="440" t="b">
        <f ca="1">IF(AND(NOT(M87),AND(M$4:M86)),TRUE,M87)</f>
        <v>0</v>
      </c>
      <c r="R87" s="439" t="e">
        <f ca="1">IF(AND(NOT(ISBLANK(Jumpoverwrite2)),AND(NOT(Q87),AND(Q$4:Q86))),($J87*$G87-LN(1+Jumpoverwrite2*S$2))/$G87,_xll.qlInterpolationInterpolate(Q$3,$F87,TRUE))</f>
        <v>#NAME?</v>
      </c>
      <c r="S87" s="439" t="str">
        <f ca="1">IF(AND(NOT(Q87),AND(Q$4:Q86)),MIN(EXP((R87-$J87)*$G87),1),"")</f>
        <v/>
      </c>
      <c r="T87" s="428"/>
      <c r="U87" s="440" t="b">
        <f ca="1">IF(AND(NOT(Q87),AND(Q$4:Q86)),TRUE,Q87)</f>
        <v>0</v>
      </c>
      <c r="V87" s="439" t="e">
        <f ca="1">IF(AND(NOT(ISBLANK(Jumpoverwrite3)),AND(NOT(U87),AND(U$4:U86))),($J87*$G87-LN(1+Jumpoverwrite3*W$2))/$G87,_xll.qlInterpolationInterpolate(U$3,$F87,TRUE))</f>
        <v>#NAME?</v>
      </c>
      <c r="W87" s="439" t="str">
        <f ca="1">IF(AND(NOT(U87),AND(U$4:U86)),MIN(EXP((V87-$J87)*$G87),1),"")</f>
        <v/>
      </c>
      <c r="X87" s="428"/>
      <c r="Y87" s="440" t="b">
        <f ca="1">IF(AND(NOT(U87),AND(U$4:U86)),TRUE,U87)</f>
        <v>0</v>
      </c>
      <c r="Z87" s="439" t="e">
        <f ca="1">IF(AND(NOT(ISBLANK(Jumpoverwrite4)),AND(NOT(Y87),AND(Y$4:Y86))),($J87*$G87-LN(1+Jumpoverwrite4*AA$2))/$G87,_xll.qlInterpolationInterpolate(Y$3,$F87,TRUE))</f>
        <v>#NAME?</v>
      </c>
      <c r="AA87" s="439" t="str">
        <f ca="1">IF(AND(NOT(Y87),AND(Y$4:Y86)),MIN(EXP((Z87-$J87)*$G87),1),"")</f>
        <v/>
      </c>
      <c r="AB87" s="428"/>
      <c r="AC87" s="440" t="b">
        <f ca="1">IF(AND(NOT(Y87),AND(Y$4:Y86)),TRUE,Y87)</f>
        <v>0</v>
      </c>
      <c r="AD87" s="439" t="e">
        <f ca="1">IF(AND(NOT(ISBLANK(Jumpoverwrite5)),AND(NOT(AC87),AND(AC$4:AC86))),($J87*$G87-LN(1+Jumpoverwrite5*AE$2))/$G87,_xll.qlInterpolationInterpolate(AC$3,$F87,TRUE))</f>
        <v>#NAME?</v>
      </c>
      <c r="AE87" s="439" t="str">
        <f ca="1">IF(AND(NOT(AC87),AND(AC$4:AC86)),MIN(EXP((AD87-$J87)*$G87),1),"")</f>
        <v/>
      </c>
      <c r="AF87" s="428"/>
      <c r="AG87" s="440" t="b">
        <f ca="1">IF(AND(NOT(AC87),AND(AC$4:AC86)),TRUE,AC87)</f>
        <v>0</v>
      </c>
      <c r="AH87" s="439" t="e">
        <f ca="1">IF(AND(NOT(ISBLANK(Jumpoverwrite6)),AND(NOT(AG87),AND(AG$4:AG86))),($J87*$G87-LN(1+Jumpoverwrite6*AI$2))/$G87,_xll.qlInterpolationInterpolate(AG$3,$F87,TRUE))</f>
        <v>#NAME?</v>
      </c>
      <c r="AI87" s="439" t="str">
        <f ca="1">IF(AND(NOT(AG87),AND(AG$4:AG86)),MIN(EXP((AH87-$J87)*$G87),1),"")</f>
        <v/>
      </c>
      <c r="AJ87" s="428"/>
      <c r="AK87" s="440" t="b">
        <f ca="1">IF(AND(NOT(AG87),AND(AG$4:AG86)),TRUE,AG87)</f>
        <v>0</v>
      </c>
      <c r="AL87" s="439" t="e">
        <f ca="1">IF(AND(NOT(ISBLANK(Jumpoverwrite7)),AND(NOT(AK87),AND(AK$4:AK86))),($J87*$G87-LN(1+Jumpoverwrite7*AM$2))/$G87,_xll.qlInterpolationInterpolate(AK$3,$F87,TRUE))</f>
        <v>#NAME?</v>
      </c>
      <c r="AM87" s="439" t="str">
        <f ca="1">IF(AND(NOT(AK87),AND(AK$4:AK86)),MIN(EXP((AL87-$J87)*$G87),1),"")</f>
        <v/>
      </c>
      <c r="AO87" s="440" t="b">
        <f ca="1">IF(AND(NOT(AK87),AND(AK$4:AK86)),TRUE,AK87)</f>
        <v>0</v>
      </c>
      <c r="AP87" s="439" t="e">
        <f ca="1">IF(AND(NOT(ISBLANK(Jumpoverwrite8)),AND(NOT(AO87),AND(AO$4:AO86))),($J87*$G87-LN(1+Jumpoverwrite8*AQ$2))/$G87,_xll.qlInterpolationInterpolate(AO$3,$F87,TRUE))</f>
        <v>#NAME?</v>
      </c>
      <c r="AQ87" s="439" t="str">
        <f ca="1">IF(AND(NOT(AO87),AND(AO$4:AO86)),MIN(EXP((AP87-$J87)*$G87),1),"")</f>
        <v/>
      </c>
      <c r="AS87" s="440" t="b">
        <f ca="1">IF(AND(NOT(AO87),AND(AO$4:AO86)),TRUE,AO87)</f>
        <v>0</v>
      </c>
      <c r="AT87" s="439" t="e">
        <f ca="1">IF(AND(NOT(ISBLANK(Jumpoverwrite9)),AND(NOT(AS87),AND(AS$4:AS86))),($J87*$G87-LN(1+Jumpoverwrite9*AU$2))/$G87,_xll.qlInterpolationInterpolate(AS$3,$F87,TRUE))</f>
        <v>#NAME?</v>
      </c>
      <c r="AU87" s="439" t="str">
        <f ca="1">IF(AND(NOT(AS87),AND(AS$4:AS86)),MIN(EXP((AT87-$J87)*$G87),1),"")</f>
        <v/>
      </c>
      <c r="AW87" s="440" t="b">
        <f ca="1">IF(AND(NOT(AS87),AND(AS$4:AS86)),TRUE,AS87)</f>
        <v>0</v>
      </c>
      <c r="AX87" s="439" t="e">
        <f ca="1">IF(AND(NOT(ISBLANK(Jumpoverwrite10)),AND(NOT(AW87),AND(AW$4:AW86))),($J87*$G87-LN(1+Jumpoverwrite10*AY$2))/$G87,_xll.qlInterpolationInterpolate(AW$3,$F87,TRUE))</f>
        <v>#NAME?</v>
      </c>
      <c r="AY87" s="439" t="str">
        <f ca="1">IF(AND(NOT(AW87),AND(AW$4:AW86)),MIN(EXP((AX87-$J87)*$G87),1),"")</f>
        <v/>
      </c>
      <c r="BA87" s="440" t="b">
        <f ca="1">IF(AND(NOT(AW87),AND(AW$4:AW86)),TRUE,AW87)</f>
        <v>0</v>
      </c>
      <c r="BB87" s="439" t="e">
        <f ca="1">IF(AND(NOT(ISBLANK(Jumpoverwrite11)),AND(NOT(BA87),AND(BA$4:BA86))),($J87*$G87-LN(1+Jumpoverwrite11*BC$2))/$G87,_xll.qlInterpolationInterpolate(BA$3,$F87,TRUE))</f>
        <v>#NAME?</v>
      </c>
      <c r="BC87" s="439" t="str">
        <f ca="1">IF(AND(NOT(BA87),AND(BA$4:BA86)),MIN(EXP((BB87-$J87)*$G87),1),"")</f>
        <v/>
      </c>
      <c r="BE87" s="440" t="b">
        <f ca="1">IF(AND(NOT(BA87),AND(BA$4:BA86)),TRUE,BA87)</f>
        <v>0</v>
      </c>
      <c r="BF87" s="439" t="e">
        <f ca="1">IF(AND(NOT(ISBLANK(Jumpoverwrite12)),AND(NOT(BE87),AND(BE$4:BE86))),($J87*$G87-LN(1+Jumpoverwrite12*BG$2))/$G87,_xll.qlInterpolationInterpolate(BE$3,$F87,TRUE))</f>
        <v>#NAME?</v>
      </c>
      <c r="BG87" s="439" t="str">
        <f ca="1">IF(AND(NOT(BE87),AND(BE$4:BE86)),MIN(EXP((BF87-$J87)*$G87),1),"")</f>
        <v/>
      </c>
      <c r="BI87" s="440" t="b">
        <f t="shared" ca="1" si="11"/>
        <v>0</v>
      </c>
      <c r="BJ87" s="439" t="e">
        <f ca="1">IF(AND(NOT(ISBLANK(jumpoverwrite13)),AND(NOT(BI87),AND(BI$4:BI86))),($J87*$G87-LN(1+jumpoverwrite13*BK$2))/$G87,_xll.qlInterpolationInterpolate(BI$3,$F87,TRUE))</f>
        <v>#NAME?</v>
      </c>
      <c r="BK87" s="439" t="str">
        <f ca="1">IF(AND(NOT(BI87),AND(BI$4:BI86)),MIN(EXP((BJ87-$J87)*$G87),1),"")</f>
        <v/>
      </c>
    </row>
    <row r="88" spans="1:63" x14ac:dyDescent="0.2">
      <c r="A88" s="438" t="e">
        <f ca="1"/>
        <v>#NAME?</v>
      </c>
      <c r="B88" s="437" t="e">
        <f ca="1">_xll.qlRateHelperRate($A88,InterestRatesTrigger)</f>
        <v>#NAME?</v>
      </c>
      <c r="C88" s="436" t="e">
        <f ca="1">_xll.qlRateHelperEarliestDate($A88)</f>
        <v>#NAME?</v>
      </c>
      <c r="D88" s="435" t="e">
        <f ca="1">_xll.qlRateHelperPillarDate($A88)</f>
        <v>#NAME?</v>
      </c>
      <c r="F88" s="445" t="e">
        <f t="shared" ca="1" si="9"/>
        <v>#N/A</v>
      </c>
      <c r="G88" s="444" t="e">
        <f ca="1">_xll.qlDayCounterYearFraction(DayCounter,D87,D88)</f>
        <v>#NAME?</v>
      </c>
      <c r="I88" s="443" t="b">
        <f t="shared" ca="1" si="10"/>
        <v>0</v>
      </c>
      <c r="J88" s="442" t="e">
        <f ca="1"/>
        <v>#NAME?</v>
      </c>
      <c r="K88" s="441" t="e">
        <f t="shared" ca="1" si="8"/>
        <v>#NAME?</v>
      </c>
      <c r="L88" s="429"/>
      <c r="M88" s="440" t="b">
        <f ca="1">IF(AND(NOT(I88),AND(I$4:I87)),TRUE,I88)</f>
        <v>0</v>
      </c>
      <c r="N88" s="439" t="e">
        <f ca="1">IF(AND(NOT(ISBLANK(Jumpoverwrite1)),AND(NOT(M88),AND(M$4:M87))),($J88*$G88-LN(1+Jumpoverwrite1*O$2))/$G88,_xll.qlInterpolationInterpolate(M$3,$F88,TRUE))</f>
        <v>#NAME?</v>
      </c>
      <c r="O88" s="439" t="str">
        <f ca="1">IF(AND(NOT(M88),AND(M$4:M87)),MIN(EXP((N88-$J88)*$G88),1),"")</f>
        <v/>
      </c>
      <c r="P88" s="428"/>
      <c r="Q88" s="440" t="b">
        <f ca="1">IF(AND(NOT(M88),AND(M$4:M87)),TRUE,M88)</f>
        <v>0</v>
      </c>
      <c r="R88" s="439" t="e">
        <f ca="1">IF(AND(NOT(ISBLANK(Jumpoverwrite2)),AND(NOT(Q88),AND(Q$4:Q87))),($J88*$G88-LN(1+Jumpoverwrite2*S$2))/$G88,_xll.qlInterpolationInterpolate(Q$3,$F88,TRUE))</f>
        <v>#NAME?</v>
      </c>
      <c r="S88" s="439" t="str">
        <f ca="1">IF(AND(NOT(Q88),AND(Q$4:Q87)),MIN(EXP((R88-$J88)*$G88),1),"")</f>
        <v/>
      </c>
      <c r="T88" s="428"/>
      <c r="U88" s="440" t="b">
        <f ca="1">IF(AND(NOT(Q88),AND(Q$4:Q87)),TRUE,Q88)</f>
        <v>0</v>
      </c>
      <c r="V88" s="439" t="e">
        <f ca="1">IF(AND(NOT(ISBLANK(Jumpoverwrite3)),AND(NOT(U88),AND(U$4:U87))),($J88*$G88-LN(1+Jumpoverwrite3*W$2))/$G88,_xll.qlInterpolationInterpolate(U$3,$F88,TRUE))</f>
        <v>#NAME?</v>
      </c>
      <c r="W88" s="439" t="str">
        <f ca="1">IF(AND(NOT(U88),AND(U$4:U87)),MIN(EXP((V88-$J88)*$G88),1),"")</f>
        <v/>
      </c>
      <c r="X88" s="428"/>
      <c r="Y88" s="440" t="b">
        <f ca="1">IF(AND(NOT(U88),AND(U$4:U87)),TRUE,U88)</f>
        <v>0</v>
      </c>
      <c r="Z88" s="439" t="e">
        <f ca="1">IF(AND(NOT(ISBLANK(Jumpoverwrite4)),AND(NOT(Y88),AND(Y$4:Y87))),($J88*$G88-LN(1+Jumpoverwrite4*AA$2))/$G88,_xll.qlInterpolationInterpolate(Y$3,$F88,TRUE))</f>
        <v>#NAME?</v>
      </c>
      <c r="AA88" s="439" t="str">
        <f ca="1">IF(AND(NOT(Y88),AND(Y$4:Y87)),MIN(EXP((Z88-$J88)*$G88),1),"")</f>
        <v/>
      </c>
      <c r="AB88" s="428"/>
      <c r="AC88" s="440" t="b">
        <f ca="1">IF(AND(NOT(Y88),AND(Y$4:Y87)),TRUE,Y88)</f>
        <v>0</v>
      </c>
      <c r="AD88" s="439" t="e">
        <f ca="1">IF(AND(NOT(ISBLANK(Jumpoverwrite5)),AND(NOT(AC88),AND(AC$4:AC87))),($J88*$G88-LN(1+Jumpoverwrite5*AE$2))/$G88,_xll.qlInterpolationInterpolate(AC$3,$F88,TRUE))</f>
        <v>#NAME?</v>
      </c>
      <c r="AE88" s="439" t="str">
        <f ca="1">IF(AND(NOT(AC88),AND(AC$4:AC87)),MIN(EXP((AD88-$J88)*$G88),1),"")</f>
        <v/>
      </c>
      <c r="AF88" s="428"/>
      <c r="AG88" s="440" t="b">
        <f ca="1">IF(AND(NOT(AC88),AND(AC$4:AC87)),TRUE,AC88)</f>
        <v>0</v>
      </c>
      <c r="AH88" s="439" t="e">
        <f ca="1">IF(AND(NOT(ISBLANK(Jumpoverwrite6)),AND(NOT(AG88),AND(AG$4:AG87))),($J88*$G88-LN(1+Jumpoverwrite6*AI$2))/$G88,_xll.qlInterpolationInterpolate(AG$3,$F88,TRUE))</f>
        <v>#NAME?</v>
      </c>
      <c r="AI88" s="439" t="str">
        <f ca="1">IF(AND(NOT(AG88),AND(AG$4:AG87)),MIN(EXP((AH88-$J88)*$G88),1),"")</f>
        <v/>
      </c>
      <c r="AJ88" s="428"/>
      <c r="AK88" s="440" t="b">
        <f ca="1">IF(AND(NOT(AG88),AND(AG$4:AG87)),TRUE,AG88)</f>
        <v>0</v>
      </c>
      <c r="AL88" s="439" t="e">
        <f ca="1">IF(AND(NOT(ISBLANK(Jumpoverwrite7)),AND(NOT(AK88),AND(AK$4:AK87))),($J88*$G88-LN(1+Jumpoverwrite7*AM$2))/$G88,_xll.qlInterpolationInterpolate(AK$3,$F88,TRUE))</f>
        <v>#NAME?</v>
      </c>
      <c r="AM88" s="439" t="str">
        <f ca="1">IF(AND(NOT(AK88),AND(AK$4:AK87)),MIN(EXP((AL88-$J88)*$G88),1),"")</f>
        <v/>
      </c>
      <c r="AO88" s="440" t="b">
        <f ca="1">IF(AND(NOT(AK88),AND(AK$4:AK87)),TRUE,AK88)</f>
        <v>0</v>
      </c>
      <c r="AP88" s="439" t="e">
        <f ca="1">IF(AND(NOT(ISBLANK(Jumpoverwrite8)),AND(NOT(AO88),AND(AO$4:AO87))),($J88*$G88-LN(1+Jumpoverwrite8*AQ$2))/$G88,_xll.qlInterpolationInterpolate(AO$3,$F88,TRUE))</f>
        <v>#NAME?</v>
      </c>
      <c r="AQ88" s="439" t="str">
        <f ca="1">IF(AND(NOT(AO88),AND(AO$4:AO87)),MIN(EXP((AP88-$J88)*$G88),1),"")</f>
        <v/>
      </c>
      <c r="AS88" s="440" t="b">
        <f ca="1">IF(AND(NOT(AO88),AND(AO$4:AO87)),TRUE,AO88)</f>
        <v>0</v>
      </c>
      <c r="AT88" s="439" t="e">
        <f ca="1">IF(AND(NOT(ISBLANK(Jumpoverwrite9)),AND(NOT(AS88),AND(AS$4:AS87))),($J88*$G88-LN(1+Jumpoverwrite9*AU$2))/$G88,_xll.qlInterpolationInterpolate(AS$3,$F88,TRUE))</f>
        <v>#NAME?</v>
      </c>
      <c r="AU88" s="439" t="str">
        <f ca="1">IF(AND(NOT(AS88),AND(AS$4:AS87)),MIN(EXP((AT88-$J88)*$G88),1),"")</f>
        <v/>
      </c>
      <c r="AW88" s="440" t="b">
        <f ca="1">IF(AND(NOT(AS88),AND(AS$4:AS87)),TRUE,AS88)</f>
        <v>0</v>
      </c>
      <c r="AX88" s="439" t="e">
        <f ca="1">IF(AND(NOT(ISBLANK(Jumpoverwrite10)),AND(NOT(AW88),AND(AW$4:AW87))),($J88*$G88-LN(1+Jumpoverwrite10*AY$2))/$G88,_xll.qlInterpolationInterpolate(AW$3,$F88,TRUE))</f>
        <v>#NAME?</v>
      </c>
      <c r="AY88" s="439" t="str">
        <f ca="1">IF(AND(NOT(AW88),AND(AW$4:AW87)),MIN(EXP((AX88-$J88)*$G88),1),"")</f>
        <v/>
      </c>
      <c r="BA88" s="440" t="b">
        <f ca="1">IF(AND(NOT(AW88),AND(AW$4:AW87)),TRUE,AW88)</f>
        <v>0</v>
      </c>
      <c r="BB88" s="439" t="e">
        <f ca="1">IF(AND(NOT(ISBLANK(Jumpoverwrite11)),AND(NOT(BA88),AND(BA$4:BA87))),($J88*$G88-LN(1+Jumpoverwrite11*BC$2))/$G88,_xll.qlInterpolationInterpolate(BA$3,$F88,TRUE))</f>
        <v>#NAME?</v>
      </c>
      <c r="BC88" s="439" t="str">
        <f ca="1">IF(AND(NOT(BA88),AND(BA$4:BA87)),MIN(EXP((BB88-$J88)*$G88),1),"")</f>
        <v/>
      </c>
      <c r="BE88" s="440" t="b">
        <f ca="1">IF(AND(NOT(BA88),AND(BA$4:BA87)),TRUE,BA88)</f>
        <v>0</v>
      </c>
      <c r="BF88" s="439" t="e">
        <f ca="1">IF(AND(NOT(ISBLANK(Jumpoverwrite12)),AND(NOT(BE88),AND(BE$4:BE87))),($J88*$G88-LN(1+Jumpoverwrite12*BG$2))/$G88,_xll.qlInterpolationInterpolate(BE$3,$F88,TRUE))</f>
        <v>#NAME?</v>
      </c>
      <c r="BG88" s="439" t="str">
        <f ca="1">IF(AND(NOT(BE88),AND(BE$4:BE87)),MIN(EXP((BF88-$J88)*$G88),1),"")</f>
        <v/>
      </c>
      <c r="BI88" s="440" t="b">
        <f t="shared" ca="1" si="11"/>
        <v>0</v>
      </c>
      <c r="BJ88" s="439" t="e">
        <f ca="1">IF(AND(NOT(ISBLANK(jumpoverwrite13)),AND(NOT(BI88),AND(BI$4:BI87))),($J88*$G88-LN(1+jumpoverwrite13*BK$2))/$G88,_xll.qlInterpolationInterpolate(BI$3,$F88,TRUE))</f>
        <v>#NAME?</v>
      </c>
      <c r="BK88" s="439" t="str">
        <f ca="1">IF(AND(NOT(BI88),AND(BI$4:BI87)),MIN(EXP((BJ88-$J88)*$G88),1),"")</f>
        <v/>
      </c>
    </row>
    <row r="89" spans="1:63" x14ac:dyDescent="0.2">
      <c r="A89" s="438" t="e">
        <f ca="1"/>
        <v>#NAME?</v>
      </c>
      <c r="B89" s="437" t="e">
        <f ca="1">_xll.qlRateHelperRate($A89,InterestRatesTrigger)</f>
        <v>#NAME?</v>
      </c>
      <c r="C89" s="436" t="e">
        <f ca="1">_xll.qlRateHelperEarliestDate($A89)</f>
        <v>#NAME?</v>
      </c>
      <c r="D89" s="435" t="e">
        <f ca="1">_xll.qlRateHelperPillarDate($A89)</f>
        <v>#NAME?</v>
      </c>
      <c r="F89" s="445" t="e">
        <f t="shared" ca="1" si="9"/>
        <v>#N/A</v>
      </c>
      <c r="G89" s="444" t="e">
        <f ca="1">_xll.qlDayCounterYearFraction(DayCounter,D88,D89)</f>
        <v>#NAME?</v>
      </c>
      <c r="I89" s="443" t="b">
        <f t="shared" ca="1" si="10"/>
        <v>0</v>
      </c>
      <c r="J89" s="442" t="e">
        <f ca="1"/>
        <v>#NAME?</v>
      </c>
      <c r="K89" s="441" t="e">
        <f t="shared" ca="1" si="8"/>
        <v>#NAME?</v>
      </c>
      <c r="L89" s="429"/>
      <c r="M89" s="440" t="b">
        <f ca="1">IF(AND(NOT(I89),AND(I$4:I88)),TRUE,I89)</f>
        <v>0</v>
      </c>
      <c r="N89" s="439" t="e">
        <f ca="1">IF(AND(NOT(ISBLANK(Jumpoverwrite1)),AND(NOT(M89),AND(M$4:M88))),($J89*$G89-LN(1+Jumpoverwrite1*O$2))/$G89,_xll.qlInterpolationInterpolate(M$3,$F89,TRUE))</f>
        <v>#NAME?</v>
      </c>
      <c r="O89" s="439" t="str">
        <f ca="1">IF(AND(NOT(M89),AND(M$4:M88)),MIN(EXP((N89-$J89)*$G89),1),"")</f>
        <v/>
      </c>
      <c r="P89" s="428"/>
      <c r="Q89" s="440" t="b">
        <f ca="1">IF(AND(NOT(M89),AND(M$4:M88)),TRUE,M89)</f>
        <v>0</v>
      </c>
      <c r="R89" s="439" t="e">
        <f ca="1">IF(AND(NOT(ISBLANK(Jumpoverwrite2)),AND(NOT(Q89),AND(Q$4:Q88))),($J89*$G89-LN(1+Jumpoverwrite2*S$2))/$G89,_xll.qlInterpolationInterpolate(Q$3,$F89,TRUE))</f>
        <v>#NAME?</v>
      </c>
      <c r="S89" s="439" t="str">
        <f ca="1">IF(AND(NOT(Q89),AND(Q$4:Q88)),MIN(EXP((R89-$J89)*$G89),1),"")</f>
        <v/>
      </c>
      <c r="T89" s="428"/>
      <c r="U89" s="440" t="b">
        <f ca="1">IF(AND(NOT(Q89),AND(Q$4:Q88)),TRUE,Q89)</f>
        <v>0</v>
      </c>
      <c r="V89" s="439" t="e">
        <f ca="1">IF(AND(NOT(ISBLANK(Jumpoverwrite3)),AND(NOT(U89),AND(U$4:U88))),($J89*$G89-LN(1+Jumpoverwrite3*W$2))/$G89,_xll.qlInterpolationInterpolate(U$3,$F89,TRUE))</f>
        <v>#NAME?</v>
      </c>
      <c r="W89" s="439" t="str">
        <f ca="1">IF(AND(NOT(U89),AND(U$4:U88)),MIN(EXP((V89-$J89)*$G89),1),"")</f>
        <v/>
      </c>
      <c r="X89" s="428"/>
      <c r="Y89" s="440" t="b">
        <f ca="1">IF(AND(NOT(U89),AND(U$4:U88)),TRUE,U89)</f>
        <v>0</v>
      </c>
      <c r="Z89" s="439" t="e">
        <f ca="1">IF(AND(NOT(ISBLANK(Jumpoverwrite4)),AND(NOT(Y89),AND(Y$4:Y88))),($J89*$G89-LN(1+Jumpoverwrite4*AA$2))/$G89,_xll.qlInterpolationInterpolate(Y$3,$F89,TRUE))</f>
        <v>#NAME?</v>
      </c>
      <c r="AA89" s="439" t="str">
        <f ca="1">IF(AND(NOT(Y89),AND(Y$4:Y88)),MIN(EXP((Z89-$J89)*$G89),1),"")</f>
        <v/>
      </c>
      <c r="AB89" s="428"/>
      <c r="AC89" s="440" t="b">
        <f ca="1">IF(AND(NOT(Y89),AND(Y$4:Y88)),TRUE,Y89)</f>
        <v>0</v>
      </c>
      <c r="AD89" s="439" t="e">
        <f ca="1">IF(AND(NOT(ISBLANK(Jumpoverwrite5)),AND(NOT(AC89),AND(AC$4:AC88))),($J89*$G89-LN(1+Jumpoverwrite5*AE$2))/$G89,_xll.qlInterpolationInterpolate(AC$3,$F89,TRUE))</f>
        <v>#NAME?</v>
      </c>
      <c r="AE89" s="439" t="str">
        <f ca="1">IF(AND(NOT(AC89),AND(AC$4:AC88)),MIN(EXP((AD89-$J89)*$G89),1),"")</f>
        <v/>
      </c>
      <c r="AF89" s="428"/>
      <c r="AG89" s="440" t="b">
        <f ca="1">IF(AND(NOT(AC89),AND(AC$4:AC88)),TRUE,AC89)</f>
        <v>0</v>
      </c>
      <c r="AH89" s="439" t="e">
        <f ca="1">IF(AND(NOT(ISBLANK(Jumpoverwrite6)),AND(NOT(AG89),AND(AG$4:AG88))),($J89*$G89-LN(1+Jumpoverwrite6*AI$2))/$G89,_xll.qlInterpolationInterpolate(AG$3,$F89,TRUE))</f>
        <v>#NAME?</v>
      </c>
      <c r="AI89" s="439" t="str">
        <f ca="1">IF(AND(NOT(AG89),AND(AG$4:AG88)),MIN(EXP((AH89-$J89)*$G89),1),"")</f>
        <v/>
      </c>
      <c r="AJ89" s="428"/>
      <c r="AK89" s="440" t="b">
        <f ca="1">IF(AND(NOT(AG89),AND(AG$4:AG88)),TRUE,AG89)</f>
        <v>0</v>
      </c>
      <c r="AL89" s="439" t="e">
        <f ca="1">IF(AND(NOT(ISBLANK(Jumpoverwrite7)),AND(NOT(AK89),AND(AK$4:AK88))),($J89*$G89-LN(1+Jumpoverwrite7*AM$2))/$G89,_xll.qlInterpolationInterpolate(AK$3,$F89,TRUE))</f>
        <v>#NAME?</v>
      </c>
      <c r="AM89" s="439" t="str">
        <f ca="1">IF(AND(NOT(AK89),AND(AK$4:AK88)),MIN(EXP((AL89-$J89)*$G89),1),"")</f>
        <v/>
      </c>
      <c r="AO89" s="440" t="b">
        <f ca="1">IF(AND(NOT(AK89),AND(AK$4:AK88)),TRUE,AK89)</f>
        <v>0</v>
      </c>
      <c r="AP89" s="439" t="e">
        <f ca="1">IF(AND(NOT(ISBLANK(Jumpoverwrite8)),AND(NOT(AO89),AND(AO$4:AO88))),($J89*$G89-LN(1+Jumpoverwrite8*AQ$2))/$G89,_xll.qlInterpolationInterpolate(AO$3,$F89,TRUE))</f>
        <v>#NAME?</v>
      </c>
      <c r="AQ89" s="439" t="str">
        <f ca="1">IF(AND(NOT(AO89),AND(AO$4:AO88)),MIN(EXP((AP89-$J89)*$G89),1),"")</f>
        <v/>
      </c>
      <c r="AS89" s="440" t="b">
        <f ca="1">IF(AND(NOT(AO89),AND(AO$4:AO88)),TRUE,AO89)</f>
        <v>0</v>
      </c>
      <c r="AT89" s="439" t="e">
        <f ca="1">IF(AND(NOT(ISBLANK(Jumpoverwrite9)),AND(NOT(AS89),AND(AS$4:AS88))),($J89*$G89-LN(1+Jumpoverwrite9*AU$2))/$G89,_xll.qlInterpolationInterpolate(AS$3,$F89,TRUE))</f>
        <v>#NAME?</v>
      </c>
      <c r="AU89" s="439" t="str">
        <f ca="1">IF(AND(NOT(AS89),AND(AS$4:AS88)),MIN(EXP((AT89-$J89)*$G89),1),"")</f>
        <v/>
      </c>
      <c r="AW89" s="440" t="b">
        <f ca="1">IF(AND(NOT(AS89),AND(AS$4:AS88)),TRUE,AS89)</f>
        <v>0</v>
      </c>
      <c r="AX89" s="439" t="e">
        <f ca="1">IF(AND(NOT(ISBLANK(Jumpoverwrite10)),AND(NOT(AW89),AND(AW$4:AW88))),($J89*$G89-LN(1+Jumpoverwrite10*AY$2))/$G89,_xll.qlInterpolationInterpolate(AW$3,$F89,TRUE))</f>
        <v>#NAME?</v>
      </c>
      <c r="AY89" s="439" t="str">
        <f ca="1">IF(AND(NOT(AW89),AND(AW$4:AW88)),MIN(EXP((AX89-$J89)*$G89),1),"")</f>
        <v/>
      </c>
      <c r="BA89" s="440" t="b">
        <f ca="1">IF(AND(NOT(AW89),AND(AW$4:AW88)),TRUE,AW89)</f>
        <v>0</v>
      </c>
      <c r="BB89" s="439" t="e">
        <f ca="1">IF(AND(NOT(ISBLANK(Jumpoverwrite11)),AND(NOT(BA89),AND(BA$4:BA88))),($J89*$G89-LN(1+Jumpoverwrite11*BC$2))/$G89,_xll.qlInterpolationInterpolate(BA$3,$F89,TRUE))</f>
        <v>#NAME?</v>
      </c>
      <c r="BC89" s="439" t="str">
        <f ca="1">IF(AND(NOT(BA89),AND(BA$4:BA88)),MIN(EXP((BB89-$J89)*$G89),1),"")</f>
        <v/>
      </c>
      <c r="BE89" s="440" t="b">
        <f ca="1">IF(AND(NOT(BA89),AND(BA$4:BA88)),TRUE,BA89)</f>
        <v>0</v>
      </c>
      <c r="BF89" s="439" t="e">
        <f ca="1">IF(AND(NOT(ISBLANK(Jumpoverwrite12)),AND(NOT(BE89),AND(BE$4:BE88))),($J89*$G89-LN(1+Jumpoverwrite12*BG$2))/$G89,_xll.qlInterpolationInterpolate(BE$3,$F89,TRUE))</f>
        <v>#NAME?</v>
      </c>
      <c r="BG89" s="439" t="str">
        <f ca="1">IF(AND(NOT(BE89),AND(BE$4:BE88)),MIN(EXP((BF89-$J89)*$G89),1),"")</f>
        <v/>
      </c>
      <c r="BI89" s="440" t="b">
        <f t="shared" ca="1" si="11"/>
        <v>0</v>
      </c>
      <c r="BJ89" s="439" t="e">
        <f ca="1">IF(AND(NOT(ISBLANK(jumpoverwrite13)),AND(NOT(BI89),AND(BI$4:BI88))),($J89*$G89-LN(1+jumpoverwrite13*BK$2))/$G89,_xll.qlInterpolationInterpolate(BI$3,$F89,TRUE))</f>
        <v>#NAME?</v>
      </c>
      <c r="BK89" s="439" t="str">
        <f ca="1">IF(AND(NOT(BI89),AND(BI$4:BI88)),MIN(EXP((BJ89-$J89)*$G89),1),"")</f>
        <v/>
      </c>
    </row>
    <row r="90" spans="1:63" x14ac:dyDescent="0.2">
      <c r="A90" s="438" t="e">
        <f ca="1"/>
        <v>#NAME?</v>
      </c>
      <c r="B90" s="437" t="e">
        <f ca="1">_xll.qlRateHelperRate($A90,InterestRatesTrigger)</f>
        <v>#NAME?</v>
      </c>
      <c r="C90" s="436" t="e">
        <f ca="1">_xll.qlRateHelperEarliestDate($A90)</f>
        <v>#NAME?</v>
      </c>
      <c r="D90" s="435" t="e">
        <f ca="1">_xll.qlRateHelperPillarDate($A90)</f>
        <v>#NAME?</v>
      </c>
      <c r="F90" s="445" t="e">
        <f t="shared" ca="1" si="9"/>
        <v>#N/A</v>
      </c>
      <c r="G90" s="444" t="e">
        <f ca="1">_xll.qlDayCounterYearFraction(DayCounter,D89,D90)</f>
        <v>#NAME?</v>
      </c>
      <c r="I90" s="443" t="b">
        <f t="shared" ca="1" si="10"/>
        <v>0</v>
      </c>
      <c r="J90" s="442" t="e">
        <f ca="1"/>
        <v>#NAME?</v>
      </c>
      <c r="K90" s="441" t="e">
        <f t="shared" ca="1" si="8"/>
        <v>#NAME?</v>
      </c>
      <c r="L90" s="429"/>
      <c r="M90" s="440" t="b">
        <f ca="1">IF(AND(NOT(I90),AND(I$4:I89)),TRUE,I90)</f>
        <v>0</v>
      </c>
      <c r="N90" s="439" t="e">
        <f ca="1">IF(AND(NOT(ISBLANK(Jumpoverwrite1)),AND(NOT(M90),AND(M$4:M89))),($J90*$G90-LN(1+Jumpoverwrite1*O$2))/$G90,_xll.qlInterpolationInterpolate(M$3,$F90,TRUE))</f>
        <v>#NAME?</v>
      </c>
      <c r="O90" s="439" t="str">
        <f ca="1">IF(AND(NOT(M90),AND(M$4:M89)),MIN(EXP((N90-$J90)*$G90),1),"")</f>
        <v/>
      </c>
      <c r="P90" s="428"/>
      <c r="Q90" s="440" t="b">
        <f ca="1">IF(AND(NOT(M90),AND(M$4:M89)),TRUE,M90)</f>
        <v>0</v>
      </c>
      <c r="R90" s="439" t="e">
        <f ca="1">IF(AND(NOT(ISBLANK(Jumpoverwrite2)),AND(NOT(Q90),AND(Q$4:Q89))),($J90*$G90-LN(1+Jumpoverwrite2*S$2))/$G90,_xll.qlInterpolationInterpolate(Q$3,$F90,TRUE))</f>
        <v>#NAME?</v>
      </c>
      <c r="S90" s="439" t="str">
        <f ca="1">IF(AND(NOT(Q90),AND(Q$4:Q89)),MIN(EXP((R90-$J90)*$G90),1),"")</f>
        <v/>
      </c>
      <c r="T90" s="428"/>
      <c r="U90" s="440" t="b">
        <f ca="1">IF(AND(NOT(Q90),AND(Q$4:Q89)),TRUE,Q90)</f>
        <v>0</v>
      </c>
      <c r="V90" s="439" t="e">
        <f ca="1">IF(AND(NOT(ISBLANK(Jumpoverwrite3)),AND(NOT(U90),AND(U$4:U89))),($J90*$G90-LN(1+Jumpoverwrite3*W$2))/$G90,_xll.qlInterpolationInterpolate(U$3,$F90,TRUE))</f>
        <v>#NAME?</v>
      </c>
      <c r="W90" s="439" t="str">
        <f ca="1">IF(AND(NOT(U90),AND(U$4:U89)),MIN(EXP((V90-$J90)*$G90),1),"")</f>
        <v/>
      </c>
      <c r="X90" s="428"/>
      <c r="Y90" s="440" t="b">
        <f ca="1">IF(AND(NOT(U90),AND(U$4:U89)),TRUE,U90)</f>
        <v>0</v>
      </c>
      <c r="Z90" s="439" t="e">
        <f ca="1">IF(AND(NOT(ISBLANK(Jumpoverwrite4)),AND(NOT(Y90),AND(Y$4:Y89))),($J90*$G90-LN(1+Jumpoverwrite4*AA$2))/$G90,_xll.qlInterpolationInterpolate(Y$3,$F90,TRUE))</f>
        <v>#NAME?</v>
      </c>
      <c r="AA90" s="439" t="str">
        <f ca="1">IF(AND(NOT(Y90),AND(Y$4:Y89)),MIN(EXP((Z90-$J90)*$G90),1),"")</f>
        <v/>
      </c>
      <c r="AB90" s="428"/>
      <c r="AC90" s="440" t="b">
        <f ca="1">IF(AND(NOT(Y90),AND(Y$4:Y89)),TRUE,Y90)</f>
        <v>0</v>
      </c>
      <c r="AD90" s="439" t="e">
        <f ca="1">IF(AND(NOT(ISBLANK(Jumpoverwrite5)),AND(NOT(AC90),AND(AC$4:AC89))),($J90*$G90-LN(1+Jumpoverwrite5*AE$2))/$G90,_xll.qlInterpolationInterpolate(AC$3,$F90,TRUE))</f>
        <v>#NAME?</v>
      </c>
      <c r="AE90" s="439" t="str">
        <f ca="1">IF(AND(NOT(AC90),AND(AC$4:AC89)),MIN(EXP((AD90-$J90)*$G90),1),"")</f>
        <v/>
      </c>
      <c r="AF90" s="428"/>
      <c r="AG90" s="440" t="b">
        <f ca="1">IF(AND(NOT(AC90),AND(AC$4:AC89)),TRUE,AC90)</f>
        <v>0</v>
      </c>
      <c r="AH90" s="439" t="e">
        <f ca="1">IF(AND(NOT(ISBLANK(Jumpoverwrite6)),AND(NOT(AG90),AND(AG$4:AG89))),($J90*$G90-LN(1+Jumpoverwrite6*AI$2))/$G90,_xll.qlInterpolationInterpolate(AG$3,$F90,TRUE))</f>
        <v>#NAME?</v>
      </c>
      <c r="AI90" s="439" t="str">
        <f ca="1">IF(AND(NOT(AG90),AND(AG$4:AG89)),MIN(EXP((AH90-$J90)*$G90),1),"")</f>
        <v/>
      </c>
      <c r="AJ90" s="428"/>
      <c r="AK90" s="440" t="b">
        <f ca="1">IF(AND(NOT(AG90),AND(AG$4:AG89)),TRUE,AG90)</f>
        <v>0</v>
      </c>
      <c r="AL90" s="439" t="e">
        <f ca="1">IF(AND(NOT(ISBLANK(Jumpoverwrite7)),AND(NOT(AK90),AND(AK$4:AK89))),($J90*$G90-LN(1+Jumpoverwrite7*AM$2))/$G90,_xll.qlInterpolationInterpolate(AK$3,$F90,TRUE))</f>
        <v>#NAME?</v>
      </c>
      <c r="AM90" s="439" t="str">
        <f ca="1">IF(AND(NOT(AK90),AND(AK$4:AK89)),MIN(EXP((AL90-$J90)*$G90),1),"")</f>
        <v/>
      </c>
      <c r="AO90" s="440" t="b">
        <f ca="1">IF(AND(NOT(AK90),AND(AK$4:AK89)),TRUE,AK90)</f>
        <v>0</v>
      </c>
      <c r="AP90" s="439" t="e">
        <f ca="1">IF(AND(NOT(ISBLANK(Jumpoverwrite8)),AND(NOT(AO90),AND(AO$4:AO89))),($J90*$G90-LN(1+Jumpoverwrite8*AQ$2))/$G90,_xll.qlInterpolationInterpolate(AO$3,$F90,TRUE))</f>
        <v>#NAME?</v>
      </c>
      <c r="AQ90" s="439" t="str">
        <f ca="1">IF(AND(NOT(AO90),AND(AO$4:AO89)),MIN(EXP((AP90-$J90)*$G90),1),"")</f>
        <v/>
      </c>
      <c r="AS90" s="440" t="b">
        <f ca="1">IF(AND(NOT(AO90),AND(AO$4:AO89)),TRUE,AO90)</f>
        <v>0</v>
      </c>
      <c r="AT90" s="439" t="e">
        <f ca="1">IF(AND(NOT(ISBLANK(Jumpoverwrite9)),AND(NOT(AS90),AND(AS$4:AS89))),($J90*$G90-LN(1+Jumpoverwrite9*AU$2))/$G90,_xll.qlInterpolationInterpolate(AS$3,$F90,TRUE))</f>
        <v>#NAME?</v>
      </c>
      <c r="AU90" s="439" t="str">
        <f ca="1">IF(AND(NOT(AS90),AND(AS$4:AS89)),MIN(EXP((AT90-$J90)*$G90),1),"")</f>
        <v/>
      </c>
      <c r="AW90" s="440" t="b">
        <f ca="1">IF(AND(NOT(AS90),AND(AS$4:AS89)),TRUE,AS90)</f>
        <v>0</v>
      </c>
      <c r="AX90" s="439" t="e">
        <f ca="1">IF(AND(NOT(ISBLANK(Jumpoverwrite10)),AND(NOT(AW90),AND(AW$4:AW89))),($J90*$G90-LN(1+Jumpoverwrite10*AY$2))/$G90,_xll.qlInterpolationInterpolate(AW$3,$F90,TRUE))</f>
        <v>#NAME?</v>
      </c>
      <c r="AY90" s="439" t="str">
        <f ca="1">IF(AND(NOT(AW90),AND(AW$4:AW89)),MIN(EXP((AX90-$J90)*$G90),1),"")</f>
        <v/>
      </c>
      <c r="BA90" s="440" t="b">
        <f ca="1">IF(AND(NOT(AW90),AND(AW$4:AW89)),TRUE,AW90)</f>
        <v>0</v>
      </c>
      <c r="BB90" s="439" t="e">
        <f ca="1">IF(AND(NOT(ISBLANK(Jumpoverwrite11)),AND(NOT(BA90),AND(BA$4:BA89))),($J90*$G90-LN(1+Jumpoverwrite11*BC$2))/$G90,_xll.qlInterpolationInterpolate(BA$3,$F90,TRUE))</f>
        <v>#NAME?</v>
      </c>
      <c r="BC90" s="439" t="str">
        <f ca="1">IF(AND(NOT(BA90),AND(BA$4:BA89)),MIN(EXP((BB90-$J90)*$G90),1),"")</f>
        <v/>
      </c>
      <c r="BE90" s="440" t="b">
        <f ca="1">IF(AND(NOT(BA90),AND(BA$4:BA89)),TRUE,BA90)</f>
        <v>0</v>
      </c>
      <c r="BF90" s="439" t="e">
        <f ca="1">IF(AND(NOT(ISBLANK(Jumpoverwrite12)),AND(NOT(BE90),AND(BE$4:BE89))),($J90*$G90-LN(1+Jumpoverwrite12*BG$2))/$G90,_xll.qlInterpolationInterpolate(BE$3,$F90,TRUE))</f>
        <v>#NAME?</v>
      </c>
      <c r="BG90" s="439" t="str">
        <f ca="1">IF(AND(NOT(BE90),AND(BE$4:BE89)),MIN(EXP((BF90-$J90)*$G90),1),"")</f>
        <v/>
      </c>
      <c r="BI90" s="440" t="b">
        <f t="shared" ca="1" si="11"/>
        <v>0</v>
      </c>
      <c r="BJ90" s="439" t="e">
        <f ca="1">IF(AND(NOT(ISBLANK(jumpoverwrite13)),AND(NOT(BI90),AND(BI$4:BI89))),($J90*$G90-LN(1+jumpoverwrite13*BK$2))/$G90,_xll.qlInterpolationInterpolate(BI$3,$F90,TRUE))</f>
        <v>#NAME?</v>
      </c>
      <c r="BK90" s="439" t="str">
        <f ca="1">IF(AND(NOT(BI90),AND(BI$4:BI89)),MIN(EXP((BJ90-$J90)*$G90),1),"")</f>
        <v/>
      </c>
    </row>
    <row r="91" spans="1:63" x14ac:dyDescent="0.2">
      <c r="A91" s="438" t="e">
        <f ca="1"/>
        <v>#NAME?</v>
      </c>
      <c r="B91" s="437" t="e">
        <f ca="1">_xll.qlRateHelperRate($A91,InterestRatesTrigger)</f>
        <v>#NAME?</v>
      </c>
      <c r="C91" s="436" t="e">
        <f ca="1">_xll.qlRateHelperEarliestDate($A91)</f>
        <v>#NAME?</v>
      </c>
      <c r="D91" s="435" t="e">
        <f ca="1">_xll.qlRateHelperPillarDate($A91)</f>
        <v>#NAME?</v>
      </c>
      <c r="F91" s="445" t="e">
        <f t="shared" ca="1" si="9"/>
        <v>#N/A</v>
      </c>
      <c r="G91" s="444" t="e">
        <f ca="1">_xll.qlDayCounterYearFraction(DayCounter,D90,D91)</f>
        <v>#NAME?</v>
      </c>
      <c r="I91" s="443" t="b">
        <f t="shared" ca="1" si="10"/>
        <v>0</v>
      </c>
      <c r="J91" s="442" t="e">
        <f ca="1"/>
        <v>#NAME?</v>
      </c>
      <c r="K91" s="441" t="e">
        <f t="shared" ca="1" si="8"/>
        <v>#NAME?</v>
      </c>
      <c r="L91" s="429"/>
      <c r="M91" s="440" t="b">
        <f ca="1">IF(AND(NOT(I91),AND(I$4:I90)),TRUE,I91)</f>
        <v>0</v>
      </c>
      <c r="N91" s="439" t="e">
        <f ca="1">IF(AND(NOT(ISBLANK(Jumpoverwrite1)),AND(NOT(M91),AND(M$4:M90))),($J91*$G91-LN(1+Jumpoverwrite1*O$2))/$G91,_xll.qlInterpolationInterpolate(M$3,$F91,TRUE))</f>
        <v>#NAME?</v>
      </c>
      <c r="O91" s="439" t="str">
        <f ca="1">IF(AND(NOT(M91),AND(M$4:M90)),MIN(EXP((N91-$J91)*$G91),1),"")</f>
        <v/>
      </c>
      <c r="P91" s="428"/>
      <c r="Q91" s="440" t="b">
        <f ca="1">IF(AND(NOT(M91),AND(M$4:M90)),TRUE,M91)</f>
        <v>0</v>
      </c>
      <c r="R91" s="439" t="e">
        <f ca="1">IF(AND(NOT(ISBLANK(Jumpoverwrite2)),AND(NOT(Q91),AND(Q$4:Q90))),($J91*$G91-LN(1+Jumpoverwrite2*S$2))/$G91,_xll.qlInterpolationInterpolate(Q$3,$F91,TRUE))</f>
        <v>#NAME?</v>
      </c>
      <c r="S91" s="439" t="str">
        <f ca="1">IF(AND(NOT(Q91),AND(Q$4:Q90)),MIN(EXP((R91-$J91)*$G91),1),"")</f>
        <v/>
      </c>
      <c r="T91" s="428"/>
      <c r="U91" s="440" t="b">
        <f ca="1">IF(AND(NOT(Q91),AND(Q$4:Q90)),TRUE,Q91)</f>
        <v>0</v>
      </c>
      <c r="V91" s="439" t="e">
        <f ca="1">IF(AND(NOT(ISBLANK(Jumpoverwrite3)),AND(NOT(U91),AND(U$4:U90))),($J91*$G91-LN(1+Jumpoverwrite3*W$2))/$G91,_xll.qlInterpolationInterpolate(U$3,$F91,TRUE))</f>
        <v>#NAME?</v>
      </c>
      <c r="W91" s="439" t="str">
        <f ca="1">IF(AND(NOT(U91),AND(U$4:U90)),MIN(EXP((V91-$J91)*$G91),1),"")</f>
        <v/>
      </c>
      <c r="X91" s="428"/>
      <c r="Y91" s="440" t="b">
        <f ca="1">IF(AND(NOT(U91),AND(U$4:U90)),TRUE,U91)</f>
        <v>0</v>
      </c>
      <c r="Z91" s="439" t="e">
        <f ca="1">IF(AND(NOT(ISBLANK(Jumpoverwrite4)),AND(NOT(Y91),AND(Y$4:Y90))),($J91*$G91-LN(1+Jumpoverwrite4*AA$2))/$G91,_xll.qlInterpolationInterpolate(Y$3,$F91,TRUE))</f>
        <v>#NAME?</v>
      </c>
      <c r="AA91" s="439" t="str">
        <f ca="1">IF(AND(NOT(Y91),AND(Y$4:Y90)),MIN(EXP((Z91-$J91)*$G91),1),"")</f>
        <v/>
      </c>
      <c r="AB91" s="428"/>
      <c r="AC91" s="440" t="b">
        <f ca="1">IF(AND(NOT(Y91),AND(Y$4:Y90)),TRUE,Y91)</f>
        <v>0</v>
      </c>
      <c r="AD91" s="439" t="e">
        <f ca="1">IF(AND(NOT(ISBLANK(Jumpoverwrite5)),AND(NOT(AC91),AND(AC$4:AC90))),($J91*$G91-LN(1+Jumpoverwrite5*AE$2))/$G91,_xll.qlInterpolationInterpolate(AC$3,$F91,TRUE))</f>
        <v>#NAME?</v>
      </c>
      <c r="AE91" s="439" t="str">
        <f ca="1">IF(AND(NOT(AC91),AND(AC$4:AC90)),MIN(EXP((AD91-$J91)*$G91),1),"")</f>
        <v/>
      </c>
      <c r="AF91" s="428"/>
      <c r="AG91" s="440" t="b">
        <f ca="1">IF(AND(NOT(AC91),AND(AC$4:AC90)),TRUE,AC91)</f>
        <v>0</v>
      </c>
      <c r="AH91" s="439" t="e">
        <f ca="1">IF(AND(NOT(ISBLANK(Jumpoverwrite6)),AND(NOT(AG91),AND(AG$4:AG90))),($J91*$G91-LN(1+Jumpoverwrite6*AI$2))/$G91,_xll.qlInterpolationInterpolate(AG$3,$F91,TRUE))</f>
        <v>#NAME?</v>
      </c>
      <c r="AI91" s="439" t="str">
        <f ca="1">IF(AND(NOT(AG91),AND(AG$4:AG90)),MIN(EXP((AH91-$J91)*$G91),1),"")</f>
        <v/>
      </c>
      <c r="AJ91" s="428"/>
      <c r="AK91" s="440" t="b">
        <f ca="1">IF(AND(NOT(AG91),AND(AG$4:AG90)),TRUE,AG91)</f>
        <v>0</v>
      </c>
      <c r="AL91" s="439" t="e">
        <f ca="1">IF(AND(NOT(ISBLANK(Jumpoverwrite7)),AND(NOT(AK91),AND(AK$4:AK90))),($J91*$G91-LN(1+Jumpoverwrite7*AM$2))/$G91,_xll.qlInterpolationInterpolate(AK$3,$F91,TRUE))</f>
        <v>#NAME?</v>
      </c>
      <c r="AM91" s="439" t="str">
        <f ca="1">IF(AND(NOT(AK91),AND(AK$4:AK90)),MIN(EXP((AL91-$J91)*$G91),1),"")</f>
        <v/>
      </c>
      <c r="AO91" s="440" t="b">
        <f ca="1">IF(AND(NOT(AK91),AND(AK$4:AK90)),TRUE,AK91)</f>
        <v>0</v>
      </c>
      <c r="AP91" s="439" t="e">
        <f ca="1">IF(AND(NOT(ISBLANK(Jumpoverwrite8)),AND(NOT(AO91),AND(AO$4:AO90))),($J91*$G91-LN(1+Jumpoverwrite8*AQ$2))/$G91,_xll.qlInterpolationInterpolate(AO$3,$F91,TRUE))</f>
        <v>#NAME?</v>
      </c>
      <c r="AQ91" s="439" t="str">
        <f ca="1">IF(AND(NOT(AO91),AND(AO$4:AO90)),MIN(EXP((AP91-$J91)*$G91),1),"")</f>
        <v/>
      </c>
      <c r="AS91" s="440" t="b">
        <f ca="1">IF(AND(NOT(AO91),AND(AO$4:AO90)),TRUE,AO91)</f>
        <v>0</v>
      </c>
      <c r="AT91" s="439" t="e">
        <f ca="1">IF(AND(NOT(ISBLANK(Jumpoverwrite9)),AND(NOT(AS91),AND(AS$4:AS90))),($J91*$G91-LN(1+Jumpoverwrite9*AU$2))/$G91,_xll.qlInterpolationInterpolate(AS$3,$F91,TRUE))</f>
        <v>#NAME?</v>
      </c>
      <c r="AU91" s="439" t="str">
        <f ca="1">IF(AND(NOT(AS91),AND(AS$4:AS90)),MIN(EXP((AT91-$J91)*$G91),1),"")</f>
        <v/>
      </c>
      <c r="AW91" s="440" t="b">
        <f ca="1">IF(AND(NOT(AS91),AND(AS$4:AS90)),TRUE,AS91)</f>
        <v>0</v>
      </c>
      <c r="AX91" s="439" t="e">
        <f ca="1">IF(AND(NOT(ISBLANK(Jumpoverwrite10)),AND(NOT(AW91),AND(AW$4:AW90))),($J91*$G91-LN(1+Jumpoverwrite10*AY$2))/$G91,_xll.qlInterpolationInterpolate(AW$3,$F91,TRUE))</f>
        <v>#NAME?</v>
      </c>
      <c r="AY91" s="439" t="str">
        <f ca="1">IF(AND(NOT(AW91),AND(AW$4:AW90)),MIN(EXP((AX91-$J91)*$G91),1),"")</f>
        <v/>
      </c>
      <c r="BA91" s="440" t="b">
        <f ca="1">IF(AND(NOT(AW91),AND(AW$4:AW90)),TRUE,AW91)</f>
        <v>0</v>
      </c>
      <c r="BB91" s="439" t="e">
        <f ca="1">IF(AND(NOT(ISBLANK(Jumpoverwrite11)),AND(NOT(BA91),AND(BA$4:BA90))),($J91*$G91-LN(1+Jumpoverwrite11*BC$2))/$G91,_xll.qlInterpolationInterpolate(BA$3,$F91,TRUE))</f>
        <v>#NAME?</v>
      </c>
      <c r="BC91" s="439" t="str">
        <f ca="1">IF(AND(NOT(BA91),AND(BA$4:BA90)),MIN(EXP((BB91-$J91)*$G91),1),"")</f>
        <v/>
      </c>
      <c r="BE91" s="440" t="b">
        <f ca="1">IF(AND(NOT(BA91),AND(BA$4:BA90)),TRUE,BA91)</f>
        <v>0</v>
      </c>
      <c r="BF91" s="439" t="e">
        <f ca="1">IF(AND(NOT(ISBLANK(Jumpoverwrite12)),AND(NOT(BE91),AND(BE$4:BE90))),($J91*$G91-LN(1+Jumpoverwrite12*BG$2))/$G91,_xll.qlInterpolationInterpolate(BE$3,$F91,TRUE))</f>
        <v>#NAME?</v>
      </c>
      <c r="BG91" s="439" t="str">
        <f ca="1">IF(AND(NOT(BE91),AND(BE$4:BE90)),MIN(EXP((BF91-$J91)*$G91),1),"")</f>
        <v/>
      </c>
      <c r="BI91" s="440" t="b">
        <f t="shared" ca="1" si="11"/>
        <v>0</v>
      </c>
      <c r="BJ91" s="439" t="e">
        <f ca="1">IF(AND(NOT(ISBLANK(jumpoverwrite13)),AND(NOT(BI91),AND(BI$4:BI90))),($J91*$G91-LN(1+jumpoverwrite13*BK$2))/$G91,_xll.qlInterpolationInterpolate(BI$3,$F91,TRUE))</f>
        <v>#NAME?</v>
      </c>
      <c r="BK91" s="439" t="str">
        <f ca="1">IF(AND(NOT(BI91),AND(BI$4:BI90)),MIN(EXP((BJ91-$J91)*$G91),1),"")</f>
        <v/>
      </c>
    </row>
    <row r="92" spans="1:63" x14ac:dyDescent="0.2">
      <c r="A92" s="438" t="e">
        <f ca="1"/>
        <v>#NAME?</v>
      </c>
      <c r="B92" s="437" t="e">
        <f ca="1">_xll.qlRateHelperRate($A92,InterestRatesTrigger)</f>
        <v>#NAME?</v>
      </c>
      <c r="C92" s="436" t="e">
        <f ca="1">_xll.qlRateHelperEarliestDate($A92)</f>
        <v>#NAME?</v>
      </c>
      <c r="D92" s="435" t="e">
        <f ca="1">_xll.qlRateHelperPillarDate($A92)</f>
        <v>#NAME?</v>
      </c>
      <c r="F92" s="445" t="e">
        <f t="shared" ca="1" si="9"/>
        <v>#N/A</v>
      </c>
      <c r="G92" s="444" t="e">
        <f ca="1">_xll.qlDayCounterYearFraction(DayCounter,D91,D92)</f>
        <v>#NAME?</v>
      </c>
      <c r="I92" s="443" t="b">
        <f t="shared" ca="1" si="10"/>
        <v>0</v>
      </c>
      <c r="J92" s="442" t="e">
        <f ca="1"/>
        <v>#NAME?</v>
      </c>
      <c r="K92" s="441" t="e">
        <f t="shared" ca="1" si="8"/>
        <v>#NAME?</v>
      </c>
      <c r="L92" s="429"/>
      <c r="M92" s="440" t="b">
        <f ca="1">IF(AND(NOT(I92),AND(I$4:I91)),TRUE,I92)</f>
        <v>0</v>
      </c>
      <c r="N92" s="439" t="e">
        <f ca="1">IF(AND(NOT(ISBLANK(Jumpoverwrite1)),AND(NOT(M92),AND(M$4:M91))),($J92*$G92-LN(1+Jumpoverwrite1*O$2))/$G92,_xll.qlInterpolationInterpolate(M$3,$F92,TRUE))</f>
        <v>#NAME?</v>
      </c>
      <c r="O92" s="439" t="str">
        <f ca="1">IF(AND(NOT(M92),AND(M$4:M91)),MIN(EXP((N92-$J92)*$G92),1),"")</f>
        <v/>
      </c>
      <c r="P92" s="428"/>
      <c r="Q92" s="440" t="b">
        <f ca="1">IF(AND(NOT(M92),AND(M$4:M91)),TRUE,M92)</f>
        <v>0</v>
      </c>
      <c r="R92" s="439" t="e">
        <f ca="1">IF(AND(NOT(ISBLANK(Jumpoverwrite2)),AND(NOT(Q92),AND(Q$4:Q91))),($J92*$G92-LN(1+Jumpoverwrite2*S$2))/$G92,_xll.qlInterpolationInterpolate(Q$3,$F92,TRUE))</f>
        <v>#NAME?</v>
      </c>
      <c r="S92" s="439" t="str">
        <f ca="1">IF(AND(NOT(Q92),AND(Q$4:Q91)),MIN(EXP((R92-$J92)*$G92),1),"")</f>
        <v/>
      </c>
      <c r="T92" s="428"/>
      <c r="U92" s="440" t="b">
        <f ca="1">IF(AND(NOT(Q92),AND(Q$4:Q91)),TRUE,Q92)</f>
        <v>0</v>
      </c>
      <c r="V92" s="439" t="e">
        <f ca="1">IF(AND(NOT(ISBLANK(Jumpoverwrite3)),AND(NOT(U92),AND(U$4:U91))),($J92*$G92-LN(1+Jumpoverwrite3*W$2))/$G92,_xll.qlInterpolationInterpolate(U$3,$F92,TRUE))</f>
        <v>#NAME?</v>
      </c>
      <c r="W92" s="439" t="str">
        <f ca="1">IF(AND(NOT(U92),AND(U$4:U91)),MIN(EXP((V92-$J92)*$G92),1),"")</f>
        <v/>
      </c>
      <c r="X92" s="428"/>
      <c r="Y92" s="440" t="b">
        <f ca="1">IF(AND(NOT(U92),AND(U$4:U91)),TRUE,U92)</f>
        <v>0</v>
      </c>
      <c r="Z92" s="439" t="e">
        <f ca="1">IF(AND(NOT(ISBLANK(Jumpoverwrite4)),AND(NOT(Y92),AND(Y$4:Y91))),($J92*$G92-LN(1+Jumpoverwrite4*AA$2))/$G92,_xll.qlInterpolationInterpolate(Y$3,$F92,TRUE))</f>
        <v>#NAME?</v>
      </c>
      <c r="AA92" s="439" t="str">
        <f ca="1">IF(AND(NOT(Y92),AND(Y$4:Y91)),MIN(EXP((Z92-$J92)*$G92),1),"")</f>
        <v/>
      </c>
      <c r="AB92" s="428"/>
      <c r="AC92" s="440" t="b">
        <f ca="1">IF(AND(NOT(Y92),AND(Y$4:Y91)),TRUE,Y92)</f>
        <v>0</v>
      </c>
      <c r="AD92" s="439" t="e">
        <f ca="1">IF(AND(NOT(ISBLANK(Jumpoverwrite5)),AND(NOT(AC92),AND(AC$4:AC91))),($J92*$G92-LN(1+Jumpoverwrite5*AE$2))/$G92,_xll.qlInterpolationInterpolate(AC$3,$F92,TRUE))</f>
        <v>#NAME?</v>
      </c>
      <c r="AE92" s="439" t="str">
        <f ca="1">IF(AND(NOT(AC92),AND(AC$4:AC91)),MIN(EXP((AD92-$J92)*$G92),1),"")</f>
        <v/>
      </c>
      <c r="AF92" s="428"/>
      <c r="AG92" s="440" t="b">
        <f ca="1">IF(AND(NOT(AC92),AND(AC$4:AC91)),TRUE,AC92)</f>
        <v>0</v>
      </c>
      <c r="AH92" s="439" t="e">
        <f ca="1">IF(AND(NOT(ISBLANK(Jumpoverwrite6)),AND(NOT(AG92),AND(AG$4:AG91))),($J92*$G92-LN(1+Jumpoverwrite6*AI$2))/$G92,_xll.qlInterpolationInterpolate(AG$3,$F92,TRUE))</f>
        <v>#NAME?</v>
      </c>
      <c r="AI92" s="439" t="str">
        <f ca="1">IF(AND(NOT(AG92),AND(AG$4:AG91)),MIN(EXP((AH92-$J92)*$G92),1),"")</f>
        <v/>
      </c>
      <c r="AJ92" s="428"/>
      <c r="AK92" s="440" t="b">
        <f ca="1">IF(AND(NOT(AG92),AND(AG$4:AG91)),TRUE,AG92)</f>
        <v>0</v>
      </c>
      <c r="AL92" s="439" t="e">
        <f ca="1">IF(AND(NOT(ISBLANK(Jumpoverwrite7)),AND(NOT(AK92),AND(AK$4:AK91))),($J92*$G92-LN(1+Jumpoverwrite7*AM$2))/$G92,_xll.qlInterpolationInterpolate(AK$3,$F92,TRUE))</f>
        <v>#NAME?</v>
      </c>
      <c r="AM92" s="439" t="str">
        <f ca="1">IF(AND(NOT(AK92),AND(AK$4:AK91)),MIN(EXP((AL92-$J92)*$G92),1),"")</f>
        <v/>
      </c>
      <c r="AO92" s="440" t="b">
        <f ca="1">IF(AND(NOT(AK92),AND(AK$4:AK91)),TRUE,AK92)</f>
        <v>0</v>
      </c>
      <c r="AP92" s="439" t="e">
        <f ca="1">IF(AND(NOT(ISBLANK(Jumpoverwrite8)),AND(NOT(AO92),AND(AO$4:AO91))),($J92*$G92-LN(1+Jumpoverwrite8*AQ$2))/$G92,_xll.qlInterpolationInterpolate(AO$3,$F92,TRUE))</f>
        <v>#NAME?</v>
      </c>
      <c r="AQ92" s="439" t="str">
        <f ca="1">IF(AND(NOT(AO92),AND(AO$4:AO91)),MIN(EXP((AP92-$J92)*$G92),1),"")</f>
        <v/>
      </c>
      <c r="AS92" s="440" t="b">
        <f ca="1">IF(AND(NOT(AO92),AND(AO$4:AO91)),TRUE,AO92)</f>
        <v>0</v>
      </c>
      <c r="AT92" s="439" t="e">
        <f ca="1">IF(AND(NOT(ISBLANK(Jumpoverwrite9)),AND(NOT(AS92),AND(AS$4:AS91))),($J92*$G92-LN(1+Jumpoverwrite9*AU$2))/$G92,_xll.qlInterpolationInterpolate(AS$3,$F92,TRUE))</f>
        <v>#NAME?</v>
      </c>
      <c r="AU92" s="439" t="str">
        <f ca="1">IF(AND(NOT(AS92),AND(AS$4:AS91)),MIN(EXP((AT92-$J92)*$G92),1),"")</f>
        <v/>
      </c>
      <c r="AW92" s="440" t="b">
        <f ca="1">IF(AND(NOT(AS92),AND(AS$4:AS91)),TRUE,AS92)</f>
        <v>0</v>
      </c>
      <c r="AX92" s="439" t="e">
        <f ca="1">IF(AND(NOT(ISBLANK(Jumpoverwrite10)),AND(NOT(AW92),AND(AW$4:AW91))),($J92*$G92-LN(1+Jumpoverwrite10*AY$2))/$G92,_xll.qlInterpolationInterpolate(AW$3,$F92,TRUE))</f>
        <v>#NAME?</v>
      </c>
      <c r="AY92" s="439" t="str">
        <f ca="1">IF(AND(NOT(AW92),AND(AW$4:AW91)),MIN(EXP((AX92-$J92)*$G92),1),"")</f>
        <v/>
      </c>
      <c r="BA92" s="440" t="b">
        <f ca="1">IF(AND(NOT(AW92),AND(AW$4:AW91)),TRUE,AW92)</f>
        <v>0</v>
      </c>
      <c r="BB92" s="439" t="e">
        <f ca="1">IF(AND(NOT(ISBLANK(Jumpoverwrite11)),AND(NOT(BA92),AND(BA$4:BA91))),($J92*$G92-LN(1+Jumpoverwrite11*BC$2))/$G92,_xll.qlInterpolationInterpolate(BA$3,$F92,TRUE))</f>
        <v>#NAME?</v>
      </c>
      <c r="BC92" s="439" t="str">
        <f ca="1">IF(AND(NOT(BA92),AND(BA$4:BA91)),MIN(EXP((BB92-$J92)*$G92),1),"")</f>
        <v/>
      </c>
      <c r="BE92" s="440" t="b">
        <f ca="1">IF(AND(NOT(BA92),AND(BA$4:BA91)),TRUE,BA92)</f>
        <v>0</v>
      </c>
      <c r="BF92" s="439" t="e">
        <f ca="1">IF(AND(NOT(ISBLANK(Jumpoverwrite12)),AND(NOT(BE92),AND(BE$4:BE91))),($J92*$G92-LN(1+Jumpoverwrite12*BG$2))/$G92,_xll.qlInterpolationInterpolate(BE$3,$F92,TRUE))</f>
        <v>#NAME?</v>
      </c>
      <c r="BG92" s="439" t="str">
        <f ca="1">IF(AND(NOT(BE92),AND(BE$4:BE91)),MIN(EXP((BF92-$J92)*$G92),1),"")</f>
        <v/>
      </c>
      <c r="BI92" s="440" t="b">
        <f t="shared" ca="1" si="11"/>
        <v>0</v>
      </c>
      <c r="BJ92" s="439" t="e">
        <f ca="1">IF(AND(NOT(ISBLANK(jumpoverwrite13)),AND(NOT(BI92),AND(BI$4:BI91))),($J92*$G92-LN(1+jumpoverwrite13*BK$2))/$G92,_xll.qlInterpolationInterpolate(BI$3,$F92,TRUE))</f>
        <v>#NAME?</v>
      </c>
      <c r="BK92" s="439" t="str">
        <f ca="1">IF(AND(NOT(BI92),AND(BI$4:BI91)),MIN(EXP((BJ92-$J92)*$G92),1),"")</f>
        <v/>
      </c>
    </row>
    <row r="93" spans="1:63" x14ac:dyDescent="0.2">
      <c r="A93" s="438" t="e">
        <f ca="1"/>
        <v>#NAME?</v>
      </c>
      <c r="B93" s="437" t="e">
        <f ca="1">_xll.qlRateHelperRate($A93,InterestRatesTrigger)</f>
        <v>#NAME?</v>
      </c>
      <c r="C93" s="436" t="e">
        <f ca="1">_xll.qlRateHelperEarliestDate($A93)</f>
        <v>#NAME?</v>
      </c>
      <c r="D93" s="435" t="e">
        <f ca="1">_xll.qlRateHelperPillarDate($A93)</f>
        <v>#NAME?</v>
      </c>
      <c r="F93" s="445" t="e">
        <f t="shared" ca="1" si="9"/>
        <v>#N/A</v>
      </c>
      <c r="G93" s="444" t="e">
        <f ca="1">_xll.qlDayCounterYearFraction(DayCounter,D92,D93)</f>
        <v>#NAME?</v>
      </c>
      <c r="I93" s="443" t="b">
        <f t="shared" ca="1" si="10"/>
        <v>0</v>
      </c>
      <c r="J93" s="442" t="e">
        <f ca="1"/>
        <v>#NAME?</v>
      </c>
      <c r="K93" s="441" t="e">
        <f t="shared" ca="1" si="8"/>
        <v>#NAME?</v>
      </c>
      <c r="L93" s="429"/>
      <c r="M93" s="440" t="b">
        <f ca="1">IF(AND(NOT(I93),AND(I$4:I92)),TRUE,I93)</f>
        <v>0</v>
      </c>
      <c r="N93" s="439" t="e">
        <f ca="1">IF(AND(NOT(ISBLANK(Jumpoverwrite1)),AND(NOT(M93),AND(M$4:M92))),($J93*$G93-LN(1+Jumpoverwrite1*O$2))/$G93,_xll.qlInterpolationInterpolate(M$3,$F93,TRUE))</f>
        <v>#NAME?</v>
      </c>
      <c r="O93" s="439" t="str">
        <f ca="1">IF(AND(NOT(M93),AND(M$4:M92)),MIN(EXP((N93-$J93)*$G93),1),"")</f>
        <v/>
      </c>
      <c r="P93" s="428"/>
      <c r="Q93" s="440" t="b">
        <f ca="1">IF(AND(NOT(M93),AND(M$4:M92)),TRUE,M93)</f>
        <v>0</v>
      </c>
      <c r="R93" s="439" t="e">
        <f ca="1">IF(AND(NOT(ISBLANK(Jumpoverwrite2)),AND(NOT(Q93),AND(Q$4:Q92))),($J93*$G93-LN(1+Jumpoverwrite2*S$2))/$G93,_xll.qlInterpolationInterpolate(Q$3,$F93,TRUE))</f>
        <v>#NAME?</v>
      </c>
      <c r="S93" s="439" t="str">
        <f ca="1">IF(AND(NOT(Q93),AND(Q$4:Q92)),MIN(EXP((R93-$J93)*$G93),1),"")</f>
        <v/>
      </c>
      <c r="T93" s="428"/>
      <c r="U93" s="440" t="b">
        <f ca="1">IF(AND(NOT(Q93),AND(Q$4:Q92)),TRUE,Q93)</f>
        <v>0</v>
      </c>
      <c r="V93" s="439" t="e">
        <f ca="1">IF(AND(NOT(ISBLANK(Jumpoverwrite3)),AND(NOT(U93),AND(U$4:U92))),($J93*$G93-LN(1+Jumpoverwrite3*W$2))/$G93,_xll.qlInterpolationInterpolate(U$3,$F93,TRUE))</f>
        <v>#NAME?</v>
      </c>
      <c r="W93" s="439" t="str">
        <f ca="1">IF(AND(NOT(U93),AND(U$4:U92)),MIN(EXP((V93-$J93)*$G93),1),"")</f>
        <v/>
      </c>
      <c r="X93" s="428"/>
      <c r="Y93" s="440" t="b">
        <f ca="1">IF(AND(NOT(U93),AND(U$4:U92)),TRUE,U93)</f>
        <v>0</v>
      </c>
      <c r="Z93" s="439" t="e">
        <f ca="1">IF(AND(NOT(ISBLANK(Jumpoverwrite4)),AND(NOT(Y93),AND(Y$4:Y92))),($J93*$G93-LN(1+Jumpoverwrite4*AA$2))/$G93,_xll.qlInterpolationInterpolate(Y$3,$F93,TRUE))</f>
        <v>#NAME?</v>
      </c>
      <c r="AA93" s="439" t="str">
        <f ca="1">IF(AND(NOT(Y93),AND(Y$4:Y92)),MIN(EXP((Z93-$J93)*$G93),1),"")</f>
        <v/>
      </c>
      <c r="AB93" s="428"/>
      <c r="AC93" s="440" t="b">
        <f ca="1">IF(AND(NOT(Y93),AND(Y$4:Y92)),TRUE,Y93)</f>
        <v>0</v>
      </c>
      <c r="AD93" s="439" t="e">
        <f ca="1">IF(AND(NOT(ISBLANK(Jumpoverwrite5)),AND(NOT(AC93),AND(AC$4:AC92))),($J93*$G93-LN(1+Jumpoverwrite5*AE$2))/$G93,_xll.qlInterpolationInterpolate(AC$3,$F93,TRUE))</f>
        <v>#NAME?</v>
      </c>
      <c r="AE93" s="439" t="str">
        <f ca="1">IF(AND(NOT(AC93),AND(AC$4:AC92)),MIN(EXP((AD93-$J93)*$G93),1),"")</f>
        <v/>
      </c>
      <c r="AF93" s="428"/>
      <c r="AG93" s="440" t="b">
        <f ca="1">IF(AND(NOT(AC93),AND(AC$4:AC92)),TRUE,AC93)</f>
        <v>0</v>
      </c>
      <c r="AH93" s="439" t="e">
        <f ca="1">IF(AND(NOT(ISBLANK(Jumpoverwrite6)),AND(NOT(AG93),AND(AG$4:AG92))),($J93*$G93-LN(1+Jumpoverwrite6*AI$2))/$G93,_xll.qlInterpolationInterpolate(AG$3,$F93,TRUE))</f>
        <v>#NAME?</v>
      </c>
      <c r="AI93" s="439" t="str">
        <f ca="1">IF(AND(NOT(AG93),AND(AG$4:AG92)),MIN(EXP((AH93-$J93)*$G93),1),"")</f>
        <v/>
      </c>
      <c r="AJ93" s="428"/>
      <c r="AK93" s="440" t="b">
        <f ca="1">IF(AND(NOT(AG93),AND(AG$4:AG92)),TRUE,AG93)</f>
        <v>0</v>
      </c>
      <c r="AL93" s="439" t="e">
        <f ca="1">IF(AND(NOT(ISBLANK(Jumpoverwrite7)),AND(NOT(AK93),AND(AK$4:AK92))),($J93*$G93-LN(1+Jumpoverwrite7*AM$2))/$G93,_xll.qlInterpolationInterpolate(AK$3,$F93,TRUE))</f>
        <v>#NAME?</v>
      </c>
      <c r="AM93" s="439" t="str">
        <f ca="1">IF(AND(NOT(AK93),AND(AK$4:AK92)),MIN(EXP((AL93-$J93)*$G93),1),"")</f>
        <v/>
      </c>
      <c r="AO93" s="440" t="b">
        <f ca="1">IF(AND(NOT(AK93),AND(AK$4:AK92)),TRUE,AK93)</f>
        <v>0</v>
      </c>
      <c r="AP93" s="439" t="e">
        <f ca="1">IF(AND(NOT(ISBLANK(Jumpoverwrite8)),AND(NOT(AO93),AND(AO$4:AO92))),($J93*$G93-LN(1+Jumpoverwrite8*AQ$2))/$G93,_xll.qlInterpolationInterpolate(AO$3,$F93,TRUE))</f>
        <v>#NAME?</v>
      </c>
      <c r="AQ93" s="439" t="str">
        <f ca="1">IF(AND(NOT(AO93),AND(AO$4:AO92)),MIN(EXP((AP93-$J93)*$G93),1),"")</f>
        <v/>
      </c>
      <c r="AS93" s="440" t="b">
        <f ca="1">IF(AND(NOT(AO93),AND(AO$4:AO92)),TRUE,AO93)</f>
        <v>0</v>
      </c>
      <c r="AT93" s="439" t="e">
        <f ca="1">IF(AND(NOT(ISBLANK(Jumpoverwrite9)),AND(NOT(AS93),AND(AS$4:AS92))),($J93*$G93-LN(1+Jumpoverwrite9*AU$2))/$G93,_xll.qlInterpolationInterpolate(AS$3,$F93,TRUE))</f>
        <v>#NAME?</v>
      </c>
      <c r="AU93" s="439" t="str">
        <f ca="1">IF(AND(NOT(AS93),AND(AS$4:AS92)),MIN(EXP((AT93-$J93)*$G93),1),"")</f>
        <v/>
      </c>
      <c r="AW93" s="440" t="b">
        <f ca="1">IF(AND(NOT(AS93),AND(AS$4:AS92)),TRUE,AS93)</f>
        <v>0</v>
      </c>
      <c r="AX93" s="439" t="e">
        <f ca="1">IF(AND(NOT(ISBLANK(Jumpoverwrite10)),AND(NOT(AW93),AND(AW$4:AW92))),($J93*$G93-LN(1+Jumpoverwrite10*AY$2))/$G93,_xll.qlInterpolationInterpolate(AW$3,$F93,TRUE))</f>
        <v>#NAME?</v>
      </c>
      <c r="AY93" s="439" t="str">
        <f ca="1">IF(AND(NOT(AW93),AND(AW$4:AW92)),MIN(EXP((AX93-$J93)*$G93),1),"")</f>
        <v/>
      </c>
      <c r="BA93" s="440" t="b">
        <f ca="1">IF(AND(NOT(AW93),AND(AW$4:AW92)),TRUE,AW93)</f>
        <v>0</v>
      </c>
      <c r="BB93" s="439" t="e">
        <f ca="1">IF(AND(NOT(ISBLANK(Jumpoverwrite11)),AND(NOT(BA93),AND(BA$4:BA92))),($J93*$G93-LN(1+Jumpoverwrite11*BC$2))/$G93,_xll.qlInterpolationInterpolate(BA$3,$F93,TRUE))</f>
        <v>#NAME?</v>
      </c>
      <c r="BC93" s="439" t="str">
        <f ca="1">IF(AND(NOT(BA93),AND(BA$4:BA92)),MIN(EXP((BB93-$J93)*$G93),1),"")</f>
        <v/>
      </c>
      <c r="BE93" s="440" t="b">
        <f ca="1">IF(AND(NOT(BA93),AND(BA$4:BA92)),TRUE,BA93)</f>
        <v>0</v>
      </c>
      <c r="BF93" s="439" t="e">
        <f ca="1">IF(AND(NOT(ISBLANK(Jumpoverwrite12)),AND(NOT(BE93),AND(BE$4:BE92))),($J93*$G93-LN(1+Jumpoverwrite12*BG$2))/$G93,_xll.qlInterpolationInterpolate(BE$3,$F93,TRUE))</f>
        <v>#NAME?</v>
      </c>
      <c r="BG93" s="439" t="str">
        <f ca="1">IF(AND(NOT(BE93),AND(BE$4:BE92)),MIN(EXP((BF93-$J93)*$G93),1),"")</f>
        <v/>
      </c>
      <c r="BI93" s="440" t="b">
        <f t="shared" ca="1" si="11"/>
        <v>0</v>
      </c>
      <c r="BJ93" s="439" t="e">
        <f ca="1">IF(AND(NOT(ISBLANK(jumpoverwrite13)),AND(NOT(BI93),AND(BI$4:BI92))),($J93*$G93-LN(1+jumpoverwrite13*BK$2))/$G93,_xll.qlInterpolationInterpolate(BI$3,$F93,TRUE))</f>
        <v>#NAME?</v>
      </c>
      <c r="BK93" s="439" t="str">
        <f ca="1">IF(AND(NOT(BI93),AND(BI$4:BI92)),MIN(EXP((BJ93-$J93)*$G93),1),"")</f>
        <v/>
      </c>
    </row>
    <row r="94" spans="1:63" x14ac:dyDescent="0.2">
      <c r="A94" s="438" t="e">
        <f ca="1"/>
        <v>#NAME?</v>
      </c>
      <c r="B94" s="437" t="e">
        <f ca="1">_xll.qlRateHelperRate($A94,InterestRatesTrigger)</f>
        <v>#NAME?</v>
      </c>
      <c r="C94" s="436" t="e">
        <f ca="1">_xll.qlRateHelperEarliestDate($A94)</f>
        <v>#NAME?</v>
      </c>
      <c r="D94" s="435" t="e">
        <f ca="1">_xll.qlRateHelperPillarDate($A94)</f>
        <v>#NAME?</v>
      </c>
      <c r="F94" s="445" t="e">
        <f t="shared" ca="1" si="9"/>
        <v>#N/A</v>
      </c>
      <c r="G94" s="444" t="e">
        <f ca="1">_xll.qlDayCounterYearFraction(DayCounter,D93,D94)</f>
        <v>#NAME?</v>
      </c>
      <c r="I94" s="443" t="b">
        <f t="shared" ca="1" si="10"/>
        <v>0</v>
      </c>
      <c r="J94" s="442" t="e">
        <f ca="1"/>
        <v>#NAME?</v>
      </c>
      <c r="K94" s="441" t="e">
        <f t="shared" ca="1" si="8"/>
        <v>#NAME?</v>
      </c>
      <c r="L94" s="429"/>
      <c r="M94" s="440" t="b">
        <f ca="1">IF(AND(NOT(I94),AND(I$4:I93)),TRUE,I94)</f>
        <v>0</v>
      </c>
      <c r="N94" s="439" t="e">
        <f ca="1">IF(AND(NOT(ISBLANK(Jumpoverwrite1)),AND(NOT(M94),AND(M$4:M93))),($J94*$G94-LN(1+Jumpoverwrite1*O$2))/$G94,_xll.qlInterpolationInterpolate(M$3,$F94,TRUE))</f>
        <v>#NAME?</v>
      </c>
      <c r="O94" s="439" t="str">
        <f ca="1">IF(AND(NOT(M94),AND(M$4:M93)),MIN(EXP((N94-$J94)*$G94),1),"")</f>
        <v/>
      </c>
      <c r="P94" s="428"/>
      <c r="Q94" s="440" t="b">
        <f ca="1">IF(AND(NOT(M94),AND(M$4:M93)),TRUE,M94)</f>
        <v>0</v>
      </c>
      <c r="R94" s="439" t="e">
        <f ca="1">IF(AND(NOT(ISBLANK(Jumpoverwrite2)),AND(NOT(Q94),AND(Q$4:Q93))),($J94*$G94-LN(1+Jumpoverwrite2*S$2))/$G94,_xll.qlInterpolationInterpolate(Q$3,$F94,TRUE))</f>
        <v>#NAME?</v>
      </c>
      <c r="S94" s="439" t="str">
        <f ca="1">IF(AND(NOT(Q94),AND(Q$4:Q93)),MIN(EXP((R94-$J94)*$G94),1),"")</f>
        <v/>
      </c>
      <c r="T94" s="428"/>
      <c r="U94" s="440" t="b">
        <f ca="1">IF(AND(NOT(Q94),AND(Q$4:Q93)),TRUE,Q94)</f>
        <v>0</v>
      </c>
      <c r="V94" s="439" t="e">
        <f ca="1">IF(AND(NOT(ISBLANK(Jumpoverwrite3)),AND(NOT(U94),AND(U$4:U93))),($J94*$G94-LN(1+Jumpoverwrite3*W$2))/$G94,_xll.qlInterpolationInterpolate(U$3,$F94,TRUE))</f>
        <v>#NAME?</v>
      </c>
      <c r="W94" s="439" t="str">
        <f ca="1">IF(AND(NOT(U94),AND(U$4:U93)),MIN(EXP((V94-$J94)*$G94),1),"")</f>
        <v/>
      </c>
      <c r="X94" s="428"/>
      <c r="Y94" s="440" t="b">
        <f ca="1">IF(AND(NOT(U94),AND(U$4:U93)),TRUE,U94)</f>
        <v>0</v>
      </c>
      <c r="Z94" s="439" t="e">
        <f ca="1">IF(AND(NOT(ISBLANK(Jumpoverwrite4)),AND(NOT(Y94),AND(Y$4:Y93))),($J94*$G94-LN(1+Jumpoverwrite4*AA$2))/$G94,_xll.qlInterpolationInterpolate(Y$3,$F94,TRUE))</f>
        <v>#NAME?</v>
      </c>
      <c r="AA94" s="439" t="str">
        <f ca="1">IF(AND(NOT(Y94),AND(Y$4:Y93)),MIN(EXP((Z94-$J94)*$G94),1),"")</f>
        <v/>
      </c>
      <c r="AB94" s="428"/>
      <c r="AC94" s="440" t="b">
        <f ca="1">IF(AND(NOT(Y94),AND(Y$4:Y93)),TRUE,Y94)</f>
        <v>0</v>
      </c>
      <c r="AD94" s="439" t="e">
        <f ca="1">IF(AND(NOT(ISBLANK(Jumpoverwrite5)),AND(NOT(AC94),AND(AC$4:AC93))),($J94*$G94-LN(1+Jumpoverwrite5*AE$2))/$G94,_xll.qlInterpolationInterpolate(AC$3,$F94,TRUE))</f>
        <v>#NAME?</v>
      </c>
      <c r="AE94" s="439" t="str">
        <f ca="1">IF(AND(NOT(AC94),AND(AC$4:AC93)),MIN(EXP((AD94-$J94)*$G94),1),"")</f>
        <v/>
      </c>
      <c r="AF94" s="428"/>
      <c r="AG94" s="440" t="b">
        <f ca="1">IF(AND(NOT(AC94),AND(AC$4:AC93)),TRUE,AC94)</f>
        <v>0</v>
      </c>
      <c r="AH94" s="439" t="e">
        <f ca="1">IF(AND(NOT(ISBLANK(Jumpoverwrite6)),AND(NOT(AG94),AND(AG$4:AG93))),($J94*$G94-LN(1+Jumpoverwrite6*AI$2))/$G94,_xll.qlInterpolationInterpolate(AG$3,$F94,TRUE))</f>
        <v>#NAME?</v>
      </c>
      <c r="AI94" s="439" t="str">
        <f ca="1">IF(AND(NOT(AG94),AND(AG$4:AG93)),MIN(EXP((AH94-$J94)*$G94),1),"")</f>
        <v/>
      </c>
      <c r="AJ94" s="428"/>
      <c r="AK94" s="440" t="b">
        <f ca="1">IF(AND(NOT(AG94),AND(AG$4:AG93)),TRUE,AG94)</f>
        <v>0</v>
      </c>
      <c r="AL94" s="439" t="e">
        <f ca="1">IF(AND(NOT(ISBLANK(Jumpoverwrite7)),AND(NOT(AK94),AND(AK$4:AK93))),($J94*$G94-LN(1+Jumpoverwrite7*AM$2))/$G94,_xll.qlInterpolationInterpolate(AK$3,$F94,TRUE))</f>
        <v>#NAME?</v>
      </c>
      <c r="AM94" s="439" t="str">
        <f ca="1">IF(AND(NOT(AK94),AND(AK$4:AK93)),MIN(EXP((AL94-$J94)*$G94),1),"")</f>
        <v/>
      </c>
      <c r="AO94" s="440" t="b">
        <f ca="1">IF(AND(NOT(AK94),AND(AK$4:AK93)),TRUE,AK94)</f>
        <v>0</v>
      </c>
      <c r="AP94" s="439" t="e">
        <f ca="1">IF(AND(NOT(ISBLANK(Jumpoverwrite8)),AND(NOT(AO94),AND(AO$4:AO93))),($J94*$G94-LN(1+Jumpoverwrite8*AQ$2))/$G94,_xll.qlInterpolationInterpolate(AO$3,$F94,TRUE))</f>
        <v>#NAME?</v>
      </c>
      <c r="AQ94" s="439" t="str">
        <f ca="1">IF(AND(NOT(AO94),AND(AO$4:AO93)),MIN(EXP((AP94-$J94)*$G94),1),"")</f>
        <v/>
      </c>
      <c r="AS94" s="440" t="b">
        <f ca="1">IF(AND(NOT(AO94),AND(AO$4:AO93)),TRUE,AO94)</f>
        <v>0</v>
      </c>
      <c r="AT94" s="439" t="e">
        <f ca="1">IF(AND(NOT(ISBLANK(Jumpoverwrite9)),AND(NOT(AS94),AND(AS$4:AS93))),($J94*$G94-LN(1+Jumpoverwrite9*AU$2))/$G94,_xll.qlInterpolationInterpolate(AS$3,$F94,TRUE))</f>
        <v>#NAME?</v>
      </c>
      <c r="AU94" s="439" t="str">
        <f ca="1">IF(AND(NOT(AS94),AND(AS$4:AS93)),MIN(EXP((AT94-$J94)*$G94),1),"")</f>
        <v/>
      </c>
      <c r="AW94" s="440" t="b">
        <f ca="1">IF(AND(NOT(AS94),AND(AS$4:AS93)),TRUE,AS94)</f>
        <v>0</v>
      </c>
      <c r="AX94" s="439" t="e">
        <f ca="1">IF(AND(NOT(ISBLANK(Jumpoverwrite10)),AND(NOT(AW94),AND(AW$4:AW93))),($J94*$G94-LN(1+Jumpoverwrite10*AY$2))/$G94,_xll.qlInterpolationInterpolate(AW$3,$F94,TRUE))</f>
        <v>#NAME?</v>
      </c>
      <c r="AY94" s="439" t="str">
        <f ca="1">IF(AND(NOT(AW94),AND(AW$4:AW93)),MIN(EXP((AX94-$J94)*$G94),1),"")</f>
        <v/>
      </c>
      <c r="BA94" s="440" t="b">
        <f ca="1">IF(AND(NOT(AW94),AND(AW$4:AW93)),TRUE,AW94)</f>
        <v>0</v>
      </c>
      <c r="BB94" s="439" t="e">
        <f ca="1">IF(AND(NOT(ISBLANK(Jumpoverwrite11)),AND(NOT(BA94),AND(BA$4:BA93))),($J94*$G94-LN(1+Jumpoverwrite11*BC$2))/$G94,_xll.qlInterpolationInterpolate(BA$3,$F94,TRUE))</f>
        <v>#NAME?</v>
      </c>
      <c r="BC94" s="439" t="str">
        <f ca="1">IF(AND(NOT(BA94),AND(BA$4:BA93)),MIN(EXP((BB94-$J94)*$G94),1),"")</f>
        <v/>
      </c>
      <c r="BE94" s="440" t="b">
        <f ca="1">IF(AND(NOT(BA94),AND(BA$4:BA93)),TRUE,BA94)</f>
        <v>0</v>
      </c>
      <c r="BF94" s="439" t="e">
        <f ca="1">IF(AND(NOT(ISBLANK(Jumpoverwrite12)),AND(NOT(BE94),AND(BE$4:BE93))),($J94*$G94-LN(1+Jumpoverwrite12*BG$2))/$G94,_xll.qlInterpolationInterpolate(BE$3,$F94,TRUE))</f>
        <v>#NAME?</v>
      </c>
      <c r="BG94" s="439" t="str">
        <f ca="1">IF(AND(NOT(BE94),AND(BE$4:BE93)),MIN(EXP((BF94-$J94)*$G94),1),"")</f>
        <v/>
      </c>
      <c r="BI94" s="440" t="b">
        <f t="shared" ca="1" si="11"/>
        <v>0</v>
      </c>
      <c r="BJ94" s="439" t="e">
        <f ca="1">IF(AND(NOT(ISBLANK(jumpoverwrite13)),AND(NOT(BI94),AND(BI$4:BI93))),($J94*$G94-LN(1+jumpoverwrite13*BK$2))/$G94,_xll.qlInterpolationInterpolate(BI$3,$F94,TRUE))</f>
        <v>#NAME?</v>
      </c>
      <c r="BK94" s="439" t="str">
        <f ca="1">IF(AND(NOT(BI94),AND(BI$4:BI93)),MIN(EXP((BJ94-$J94)*$G94),1),"")</f>
        <v/>
      </c>
    </row>
    <row r="95" spans="1:63" x14ac:dyDescent="0.2">
      <c r="A95" s="438" t="e">
        <f ca="1"/>
        <v>#NAME?</v>
      </c>
      <c r="B95" s="437" t="e">
        <f ca="1">_xll.qlRateHelperRate($A95,InterestRatesTrigger)</f>
        <v>#NAME?</v>
      </c>
      <c r="C95" s="436" t="e">
        <f ca="1">_xll.qlRateHelperEarliestDate($A95)</f>
        <v>#NAME?</v>
      </c>
      <c r="D95" s="435" t="e">
        <f ca="1">_xll.qlRateHelperPillarDate($A95)</f>
        <v>#NAME?</v>
      </c>
      <c r="F95" s="445" t="e">
        <f t="shared" ca="1" si="9"/>
        <v>#N/A</v>
      </c>
      <c r="G95" s="444" t="e">
        <f ca="1">_xll.qlDayCounterYearFraction(DayCounter,D94,D95)</f>
        <v>#NAME?</v>
      </c>
      <c r="I95" s="443" t="b">
        <f t="shared" ca="1" si="10"/>
        <v>0</v>
      </c>
      <c r="J95" s="442" t="e">
        <f ca="1"/>
        <v>#NAME?</v>
      </c>
      <c r="K95" s="441" t="e">
        <f t="shared" ca="1" si="8"/>
        <v>#NAME?</v>
      </c>
      <c r="L95" s="429"/>
      <c r="M95" s="440" t="b">
        <f ca="1">IF(AND(NOT(I95),AND(I$4:I94)),TRUE,I95)</f>
        <v>0</v>
      </c>
      <c r="N95" s="439" t="e">
        <f ca="1">IF(AND(NOT(ISBLANK(Jumpoverwrite1)),AND(NOT(M95),AND(M$4:M94))),($J95*$G95-LN(1+Jumpoverwrite1*O$2))/$G95,_xll.qlInterpolationInterpolate(M$3,$F95,TRUE))</f>
        <v>#NAME?</v>
      </c>
      <c r="O95" s="439" t="str">
        <f ca="1">IF(AND(NOT(M95),AND(M$4:M94)),MIN(EXP((N95-$J95)*$G95),1),"")</f>
        <v/>
      </c>
      <c r="P95" s="428"/>
      <c r="Q95" s="440" t="b">
        <f ca="1">IF(AND(NOT(M95),AND(M$4:M94)),TRUE,M95)</f>
        <v>0</v>
      </c>
      <c r="R95" s="439" t="e">
        <f ca="1">IF(AND(NOT(ISBLANK(Jumpoverwrite2)),AND(NOT(Q95),AND(Q$4:Q94))),($J95*$G95-LN(1+Jumpoverwrite2*S$2))/$G95,_xll.qlInterpolationInterpolate(Q$3,$F95,TRUE))</f>
        <v>#NAME?</v>
      </c>
      <c r="S95" s="439" t="str">
        <f ca="1">IF(AND(NOT(Q95),AND(Q$4:Q94)),MIN(EXP((R95-$J95)*$G95),1),"")</f>
        <v/>
      </c>
      <c r="T95" s="428"/>
      <c r="U95" s="440" t="b">
        <f ca="1">IF(AND(NOT(Q95),AND(Q$4:Q94)),TRUE,Q95)</f>
        <v>0</v>
      </c>
      <c r="V95" s="439" t="e">
        <f ca="1">IF(AND(NOT(ISBLANK(Jumpoverwrite3)),AND(NOT(U95),AND(U$4:U94))),($J95*$G95-LN(1+Jumpoverwrite3*W$2))/$G95,_xll.qlInterpolationInterpolate(U$3,$F95,TRUE))</f>
        <v>#NAME?</v>
      </c>
      <c r="W95" s="439" t="str">
        <f ca="1">IF(AND(NOT(U95),AND(U$4:U94)),MIN(EXP((V95-$J95)*$G95),1),"")</f>
        <v/>
      </c>
      <c r="X95" s="428"/>
      <c r="Y95" s="440" t="b">
        <f ca="1">IF(AND(NOT(U95),AND(U$4:U94)),TRUE,U95)</f>
        <v>0</v>
      </c>
      <c r="Z95" s="439" t="e">
        <f ca="1">IF(AND(NOT(ISBLANK(Jumpoverwrite4)),AND(NOT(Y95),AND(Y$4:Y94))),($J95*$G95-LN(1+Jumpoverwrite4*AA$2))/$G95,_xll.qlInterpolationInterpolate(Y$3,$F95,TRUE))</f>
        <v>#NAME?</v>
      </c>
      <c r="AA95" s="439" t="str">
        <f ca="1">IF(AND(NOT(Y95),AND(Y$4:Y94)),MIN(EXP((Z95-$J95)*$G95),1),"")</f>
        <v/>
      </c>
      <c r="AB95" s="428"/>
      <c r="AC95" s="440" t="b">
        <f ca="1">IF(AND(NOT(Y95),AND(Y$4:Y94)),TRUE,Y95)</f>
        <v>0</v>
      </c>
      <c r="AD95" s="439" t="e">
        <f ca="1">IF(AND(NOT(ISBLANK(Jumpoverwrite5)),AND(NOT(AC95),AND(AC$4:AC94))),($J95*$G95-LN(1+Jumpoverwrite5*AE$2))/$G95,_xll.qlInterpolationInterpolate(AC$3,$F95,TRUE))</f>
        <v>#NAME?</v>
      </c>
      <c r="AE95" s="439" t="str">
        <f ca="1">IF(AND(NOT(AC95),AND(AC$4:AC94)),MIN(EXP((AD95-$J95)*$G95),1),"")</f>
        <v/>
      </c>
      <c r="AF95" s="428"/>
      <c r="AG95" s="440" t="b">
        <f ca="1">IF(AND(NOT(AC95),AND(AC$4:AC94)),TRUE,AC95)</f>
        <v>0</v>
      </c>
      <c r="AH95" s="439" t="e">
        <f ca="1">IF(AND(NOT(ISBLANK(Jumpoverwrite6)),AND(NOT(AG95),AND(AG$4:AG94))),($J95*$G95-LN(1+Jumpoverwrite6*AI$2))/$G95,_xll.qlInterpolationInterpolate(AG$3,$F95,TRUE))</f>
        <v>#NAME?</v>
      </c>
      <c r="AI95" s="439" t="str">
        <f ca="1">IF(AND(NOT(AG95),AND(AG$4:AG94)),MIN(EXP((AH95-$J95)*$G95),1),"")</f>
        <v/>
      </c>
      <c r="AJ95" s="428"/>
      <c r="AK95" s="440" t="b">
        <f ca="1">IF(AND(NOT(AG95),AND(AG$4:AG94)),TRUE,AG95)</f>
        <v>0</v>
      </c>
      <c r="AL95" s="439" t="e">
        <f ca="1">IF(AND(NOT(ISBLANK(Jumpoverwrite7)),AND(NOT(AK95),AND(AK$4:AK94))),($J95*$G95-LN(1+Jumpoverwrite7*AM$2))/$G95,_xll.qlInterpolationInterpolate(AK$3,$F95,TRUE))</f>
        <v>#NAME?</v>
      </c>
      <c r="AM95" s="439" t="str">
        <f ca="1">IF(AND(NOT(AK95),AND(AK$4:AK94)),MIN(EXP((AL95-$J95)*$G95),1),"")</f>
        <v/>
      </c>
      <c r="AO95" s="440" t="b">
        <f ca="1">IF(AND(NOT(AK95),AND(AK$4:AK94)),TRUE,AK95)</f>
        <v>0</v>
      </c>
      <c r="AP95" s="439" t="e">
        <f ca="1">IF(AND(NOT(ISBLANK(Jumpoverwrite8)),AND(NOT(AO95),AND(AO$4:AO94))),($J95*$G95-LN(1+Jumpoverwrite8*AQ$2))/$G95,_xll.qlInterpolationInterpolate(AO$3,$F95,TRUE))</f>
        <v>#NAME?</v>
      </c>
      <c r="AQ95" s="439" t="str">
        <f ca="1">IF(AND(NOT(AO95),AND(AO$4:AO94)),MIN(EXP((AP95-$J95)*$G95),1),"")</f>
        <v/>
      </c>
      <c r="AS95" s="440" t="b">
        <f ca="1">IF(AND(NOT(AO95),AND(AO$4:AO94)),TRUE,AO95)</f>
        <v>0</v>
      </c>
      <c r="AT95" s="439" t="e">
        <f ca="1">IF(AND(NOT(ISBLANK(Jumpoverwrite9)),AND(NOT(AS95),AND(AS$4:AS94))),($J95*$G95-LN(1+Jumpoverwrite9*AU$2))/$G95,_xll.qlInterpolationInterpolate(AS$3,$F95,TRUE))</f>
        <v>#NAME?</v>
      </c>
      <c r="AU95" s="439" t="str">
        <f ca="1">IF(AND(NOT(AS95),AND(AS$4:AS94)),MIN(EXP((AT95-$J95)*$G95),1),"")</f>
        <v/>
      </c>
      <c r="AW95" s="440" t="b">
        <f ca="1">IF(AND(NOT(AS95),AND(AS$4:AS94)),TRUE,AS95)</f>
        <v>0</v>
      </c>
      <c r="AX95" s="439" t="e">
        <f ca="1">IF(AND(NOT(ISBLANK(Jumpoverwrite10)),AND(NOT(AW95),AND(AW$4:AW94))),($J95*$G95-LN(1+Jumpoverwrite10*AY$2))/$G95,_xll.qlInterpolationInterpolate(AW$3,$F95,TRUE))</f>
        <v>#NAME?</v>
      </c>
      <c r="AY95" s="439" t="str">
        <f ca="1">IF(AND(NOT(AW95),AND(AW$4:AW94)),MIN(EXP((AX95-$J95)*$G95),1),"")</f>
        <v/>
      </c>
      <c r="BA95" s="440" t="b">
        <f ca="1">IF(AND(NOT(AW95),AND(AW$4:AW94)),TRUE,AW95)</f>
        <v>0</v>
      </c>
      <c r="BB95" s="439" t="e">
        <f ca="1">IF(AND(NOT(ISBLANK(Jumpoverwrite11)),AND(NOT(BA95),AND(BA$4:BA94))),($J95*$G95-LN(1+Jumpoverwrite11*BC$2))/$G95,_xll.qlInterpolationInterpolate(BA$3,$F95,TRUE))</f>
        <v>#NAME?</v>
      </c>
      <c r="BC95" s="439" t="str">
        <f ca="1">IF(AND(NOT(BA95),AND(BA$4:BA94)),MIN(EXP((BB95-$J95)*$G95),1),"")</f>
        <v/>
      </c>
      <c r="BE95" s="440" t="b">
        <f ca="1">IF(AND(NOT(BA95),AND(BA$4:BA94)),TRUE,BA95)</f>
        <v>0</v>
      </c>
      <c r="BF95" s="439" t="e">
        <f ca="1">IF(AND(NOT(ISBLANK(Jumpoverwrite12)),AND(NOT(BE95),AND(BE$4:BE94))),($J95*$G95-LN(1+Jumpoverwrite12*BG$2))/$G95,_xll.qlInterpolationInterpolate(BE$3,$F95,TRUE))</f>
        <v>#NAME?</v>
      </c>
      <c r="BG95" s="439" t="str">
        <f ca="1">IF(AND(NOT(BE95),AND(BE$4:BE94)),MIN(EXP((BF95-$J95)*$G95),1),"")</f>
        <v/>
      </c>
      <c r="BI95" s="440" t="b">
        <f t="shared" ca="1" si="11"/>
        <v>0</v>
      </c>
      <c r="BJ95" s="439" t="e">
        <f ca="1">IF(AND(NOT(ISBLANK(jumpoverwrite13)),AND(NOT(BI95),AND(BI$4:BI94))),($J95*$G95-LN(1+jumpoverwrite13*BK$2))/$G95,_xll.qlInterpolationInterpolate(BI$3,$F95,TRUE))</f>
        <v>#NAME?</v>
      </c>
      <c r="BK95" s="439" t="str">
        <f ca="1">IF(AND(NOT(BI95),AND(BI$4:BI94)),MIN(EXP((BJ95-$J95)*$G95),1),"")</f>
        <v/>
      </c>
    </row>
    <row r="96" spans="1:63" x14ac:dyDescent="0.2">
      <c r="A96" s="438" t="e">
        <f ca="1"/>
        <v>#NAME?</v>
      </c>
      <c r="B96" s="437" t="e">
        <f ca="1">_xll.qlRateHelperRate($A96,InterestRatesTrigger)</f>
        <v>#NAME?</v>
      </c>
      <c r="C96" s="436" t="e">
        <f ca="1">_xll.qlRateHelperEarliestDate($A96)</f>
        <v>#NAME?</v>
      </c>
      <c r="D96" s="435" t="e">
        <f ca="1">_xll.qlRateHelperPillarDate($A96)</f>
        <v>#NAME?</v>
      </c>
      <c r="F96" s="445" t="e">
        <f t="shared" ca="1" si="9"/>
        <v>#N/A</v>
      </c>
      <c r="G96" s="444" t="e">
        <f ca="1">_xll.qlDayCounterYearFraction(DayCounter,D95,D96)</f>
        <v>#NAME?</v>
      </c>
      <c r="I96" s="443" t="b">
        <f t="shared" ca="1" si="10"/>
        <v>0</v>
      </c>
      <c r="J96" s="442" t="e">
        <f ca="1"/>
        <v>#NAME?</v>
      </c>
      <c r="K96" s="441" t="e">
        <f t="shared" ca="1" si="8"/>
        <v>#NAME?</v>
      </c>
      <c r="L96" s="429"/>
      <c r="M96" s="440" t="b">
        <f ca="1">IF(AND(NOT(I96),AND(I$4:I95)),TRUE,I96)</f>
        <v>0</v>
      </c>
      <c r="N96" s="439" t="e">
        <f ca="1">IF(AND(NOT(ISBLANK(Jumpoverwrite1)),AND(NOT(M96),AND(M$4:M95))),($J96*$G96-LN(1+Jumpoverwrite1*O$2))/$G96,_xll.qlInterpolationInterpolate(M$3,$F96,TRUE))</f>
        <v>#NAME?</v>
      </c>
      <c r="O96" s="439" t="str">
        <f ca="1">IF(AND(NOT(M96),AND(M$4:M95)),MIN(EXP((N96-$J96)*$G96),1),"")</f>
        <v/>
      </c>
      <c r="P96" s="428"/>
      <c r="Q96" s="440" t="b">
        <f ca="1">IF(AND(NOT(M96),AND(M$4:M95)),TRUE,M96)</f>
        <v>0</v>
      </c>
      <c r="R96" s="439" t="e">
        <f ca="1">IF(AND(NOT(ISBLANK(Jumpoverwrite2)),AND(NOT(Q96),AND(Q$4:Q95))),($J96*$G96-LN(1+Jumpoverwrite2*S$2))/$G96,_xll.qlInterpolationInterpolate(Q$3,$F96,TRUE))</f>
        <v>#NAME?</v>
      </c>
      <c r="S96" s="439" t="str">
        <f ca="1">IF(AND(NOT(Q96),AND(Q$4:Q95)),MIN(EXP((R96-$J96)*$G96),1),"")</f>
        <v/>
      </c>
      <c r="T96" s="428"/>
      <c r="U96" s="440" t="b">
        <f ca="1">IF(AND(NOT(Q96),AND(Q$4:Q95)),TRUE,Q96)</f>
        <v>0</v>
      </c>
      <c r="V96" s="439" t="e">
        <f ca="1">IF(AND(NOT(ISBLANK(Jumpoverwrite3)),AND(NOT(U96),AND(U$4:U95))),($J96*$G96-LN(1+Jumpoverwrite3*W$2))/$G96,_xll.qlInterpolationInterpolate(U$3,$F96,TRUE))</f>
        <v>#NAME?</v>
      </c>
      <c r="W96" s="439" t="str">
        <f ca="1">IF(AND(NOT(U96),AND(U$4:U95)),MIN(EXP((V96-$J96)*$G96),1),"")</f>
        <v/>
      </c>
      <c r="X96" s="428"/>
      <c r="Y96" s="440" t="b">
        <f ca="1">IF(AND(NOT(U96),AND(U$4:U95)),TRUE,U96)</f>
        <v>0</v>
      </c>
      <c r="Z96" s="439" t="e">
        <f ca="1">IF(AND(NOT(ISBLANK(Jumpoverwrite4)),AND(NOT(Y96),AND(Y$4:Y95))),($J96*$G96-LN(1+Jumpoverwrite4*AA$2))/$G96,_xll.qlInterpolationInterpolate(Y$3,$F96,TRUE))</f>
        <v>#NAME?</v>
      </c>
      <c r="AA96" s="439" t="str">
        <f ca="1">IF(AND(NOT(Y96),AND(Y$4:Y95)),MIN(EXP((Z96-$J96)*$G96),1),"")</f>
        <v/>
      </c>
      <c r="AB96" s="428"/>
      <c r="AC96" s="440" t="b">
        <f ca="1">IF(AND(NOT(Y96),AND(Y$4:Y95)),TRUE,Y96)</f>
        <v>0</v>
      </c>
      <c r="AD96" s="439" t="e">
        <f ca="1">IF(AND(NOT(ISBLANK(Jumpoverwrite5)),AND(NOT(AC96),AND(AC$4:AC95))),($J96*$G96-LN(1+Jumpoverwrite5*AE$2))/$G96,_xll.qlInterpolationInterpolate(AC$3,$F96,TRUE))</f>
        <v>#NAME?</v>
      </c>
      <c r="AE96" s="439" t="str">
        <f ca="1">IF(AND(NOT(AC96),AND(AC$4:AC95)),MIN(EXP((AD96-$J96)*$G96),1),"")</f>
        <v/>
      </c>
      <c r="AF96" s="428"/>
      <c r="AG96" s="440" t="b">
        <f ca="1">IF(AND(NOT(AC96),AND(AC$4:AC95)),TRUE,AC96)</f>
        <v>0</v>
      </c>
      <c r="AH96" s="439" t="e">
        <f ca="1">IF(AND(NOT(ISBLANK(Jumpoverwrite6)),AND(NOT(AG96),AND(AG$4:AG95))),($J96*$G96-LN(1+Jumpoverwrite6*AI$2))/$G96,_xll.qlInterpolationInterpolate(AG$3,$F96,TRUE))</f>
        <v>#NAME?</v>
      </c>
      <c r="AI96" s="439" t="str">
        <f ca="1">IF(AND(NOT(AG96),AND(AG$4:AG95)),MIN(EXP((AH96-$J96)*$G96),1),"")</f>
        <v/>
      </c>
      <c r="AJ96" s="428"/>
      <c r="AK96" s="440" t="b">
        <f ca="1">IF(AND(NOT(AG96),AND(AG$4:AG95)),TRUE,AG96)</f>
        <v>0</v>
      </c>
      <c r="AL96" s="439" t="e">
        <f ca="1">IF(AND(NOT(ISBLANK(Jumpoverwrite7)),AND(NOT(AK96),AND(AK$4:AK95))),($J96*$G96-LN(1+Jumpoverwrite7*AM$2))/$G96,_xll.qlInterpolationInterpolate(AK$3,$F96,TRUE))</f>
        <v>#NAME?</v>
      </c>
      <c r="AM96" s="439" t="str">
        <f ca="1">IF(AND(NOT(AK96),AND(AK$4:AK95)),MIN(EXP((AL96-$J96)*$G96),1),"")</f>
        <v/>
      </c>
      <c r="AO96" s="440" t="b">
        <f ca="1">IF(AND(NOT(AK96),AND(AK$4:AK95)),TRUE,AK96)</f>
        <v>0</v>
      </c>
      <c r="AP96" s="439" t="e">
        <f ca="1">IF(AND(NOT(ISBLANK(Jumpoverwrite8)),AND(NOT(AO96),AND(AO$4:AO95))),($J96*$G96-LN(1+Jumpoverwrite8*AQ$2))/$G96,_xll.qlInterpolationInterpolate(AO$3,$F96,TRUE))</f>
        <v>#NAME?</v>
      </c>
      <c r="AQ96" s="439" t="str">
        <f ca="1">IF(AND(NOT(AO96),AND(AO$4:AO95)),MIN(EXP((AP96-$J96)*$G96),1),"")</f>
        <v/>
      </c>
      <c r="AS96" s="440" t="b">
        <f ca="1">IF(AND(NOT(AO96),AND(AO$4:AO95)),TRUE,AO96)</f>
        <v>0</v>
      </c>
      <c r="AT96" s="439" t="e">
        <f ca="1">IF(AND(NOT(ISBLANK(Jumpoverwrite9)),AND(NOT(AS96),AND(AS$4:AS95))),($J96*$G96-LN(1+Jumpoverwrite9*AU$2))/$G96,_xll.qlInterpolationInterpolate(AS$3,$F96,TRUE))</f>
        <v>#NAME?</v>
      </c>
      <c r="AU96" s="439" t="str">
        <f ca="1">IF(AND(NOT(AS96),AND(AS$4:AS95)),MIN(EXP((AT96-$J96)*$G96),1),"")</f>
        <v/>
      </c>
      <c r="AW96" s="440" t="b">
        <f ca="1">IF(AND(NOT(AS96),AND(AS$4:AS95)),TRUE,AS96)</f>
        <v>0</v>
      </c>
      <c r="AX96" s="439" t="e">
        <f ca="1">IF(AND(NOT(ISBLANK(Jumpoverwrite10)),AND(NOT(AW96),AND(AW$4:AW95))),($J96*$G96-LN(1+Jumpoverwrite10*AY$2))/$G96,_xll.qlInterpolationInterpolate(AW$3,$F96,TRUE))</f>
        <v>#NAME?</v>
      </c>
      <c r="AY96" s="439" t="str">
        <f ca="1">IF(AND(NOT(AW96),AND(AW$4:AW95)),MIN(EXP((AX96-$J96)*$G96),1),"")</f>
        <v/>
      </c>
      <c r="BA96" s="440" t="b">
        <f ca="1">IF(AND(NOT(AW96),AND(AW$4:AW95)),TRUE,AW96)</f>
        <v>0</v>
      </c>
      <c r="BB96" s="439" t="e">
        <f ca="1">IF(AND(NOT(ISBLANK(Jumpoverwrite11)),AND(NOT(BA96),AND(BA$4:BA95))),($J96*$G96-LN(1+Jumpoverwrite11*BC$2))/$G96,_xll.qlInterpolationInterpolate(BA$3,$F96,TRUE))</f>
        <v>#NAME?</v>
      </c>
      <c r="BC96" s="439" t="str">
        <f ca="1">IF(AND(NOT(BA96),AND(BA$4:BA95)),MIN(EXP((BB96-$J96)*$G96),1),"")</f>
        <v/>
      </c>
      <c r="BE96" s="440" t="b">
        <f ca="1">IF(AND(NOT(BA96),AND(BA$4:BA95)),TRUE,BA96)</f>
        <v>0</v>
      </c>
      <c r="BF96" s="439" t="e">
        <f ca="1">IF(AND(NOT(ISBLANK(Jumpoverwrite12)),AND(NOT(BE96),AND(BE$4:BE95))),($J96*$G96-LN(1+Jumpoverwrite12*BG$2))/$G96,_xll.qlInterpolationInterpolate(BE$3,$F96,TRUE))</f>
        <v>#NAME?</v>
      </c>
      <c r="BG96" s="439" t="str">
        <f ca="1">IF(AND(NOT(BE96),AND(BE$4:BE95)),MIN(EXP((BF96-$J96)*$G96),1),"")</f>
        <v/>
      </c>
      <c r="BI96" s="440" t="b">
        <f t="shared" ca="1" si="11"/>
        <v>0</v>
      </c>
      <c r="BJ96" s="439" t="e">
        <f ca="1">IF(AND(NOT(ISBLANK(jumpoverwrite13)),AND(NOT(BI96),AND(BI$4:BI95))),($J96*$G96-LN(1+jumpoverwrite13*BK$2))/$G96,_xll.qlInterpolationInterpolate(BI$3,$F96,TRUE))</f>
        <v>#NAME?</v>
      </c>
      <c r="BK96" s="439" t="str">
        <f ca="1">IF(AND(NOT(BI96),AND(BI$4:BI95)),MIN(EXP((BJ96-$J96)*$G96),1),"")</f>
        <v/>
      </c>
    </row>
    <row r="97" spans="1:63" x14ac:dyDescent="0.2">
      <c r="A97" s="438" t="e">
        <f ca="1"/>
        <v>#NAME?</v>
      </c>
      <c r="B97" s="437" t="e">
        <f ca="1">_xll.qlRateHelperRate($A97,InterestRatesTrigger)</f>
        <v>#NAME?</v>
      </c>
      <c r="C97" s="436" t="e">
        <f ca="1">_xll.qlRateHelperEarliestDate($A97)</f>
        <v>#NAME?</v>
      </c>
      <c r="D97" s="435" t="e">
        <f ca="1">_xll.qlRateHelperPillarDate($A97)</f>
        <v>#NAME?</v>
      </c>
      <c r="F97" s="445" t="e">
        <f t="shared" ca="1" si="9"/>
        <v>#N/A</v>
      </c>
      <c r="G97" s="444" t="e">
        <f ca="1">_xll.qlDayCounterYearFraction(DayCounter,D96,D97)</f>
        <v>#NAME?</v>
      </c>
      <c r="I97" s="443" t="b">
        <f t="shared" ca="1" si="10"/>
        <v>0</v>
      </c>
      <c r="J97" s="442" t="e">
        <f ca="1"/>
        <v>#NAME?</v>
      </c>
      <c r="K97" s="441" t="e">
        <f t="shared" ca="1" si="8"/>
        <v>#NAME?</v>
      </c>
      <c r="L97" s="429"/>
      <c r="M97" s="440" t="b">
        <f ca="1">IF(AND(NOT(I97),AND(I$4:I96)),TRUE,I97)</f>
        <v>0</v>
      </c>
      <c r="N97" s="439" t="e">
        <f ca="1">IF(AND(NOT(ISBLANK(Jumpoverwrite1)),AND(NOT(M97),AND(M$4:M96))),($J97*$G97-LN(1+Jumpoverwrite1*O$2))/$G97,_xll.qlInterpolationInterpolate(M$3,$F97,TRUE))</f>
        <v>#NAME?</v>
      </c>
      <c r="O97" s="439" t="str">
        <f ca="1">IF(AND(NOT(M97),AND(M$4:M96)),MIN(EXP((N97-$J97)*$G97),1),"")</f>
        <v/>
      </c>
      <c r="P97" s="428"/>
      <c r="Q97" s="440" t="b">
        <f ca="1">IF(AND(NOT(M97),AND(M$4:M96)),TRUE,M97)</f>
        <v>0</v>
      </c>
      <c r="R97" s="439" t="e">
        <f ca="1">IF(AND(NOT(ISBLANK(Jumpoverwrite2)),AND(NOT(Q97),AND(Q$4:Q96))),($J97*$G97-LN(1+Jumpoverwrite2*S$2))/$G97,_xll.qlInterpolationInterpolate(Q$3,$F97,TRUE))</f>
        <v>#NAME?</v>
      </c>
      <c r="S97" s="439" t="str">
        <f ca="1">IF(AND(NOT(Q97),AND(Q$4:Q96)),MIN(EXP((R97-$J97)*$G97),1),"")</f>
        <v/>
      </c>
      <c r="T97" s="428"/>
      <c r="U97" s="440" t="b">
        <f ca="1">IF(AND(NOT(Q97),AND(Q$4:Q96)),TRUE,Q97)</f>
        <v>0</v>
      </c>
      <c r="V97" s="439" t="e">
        <f ca="1">IF(AND(NOT(ISBLANK(Jumpoverwrite3)),AND(NOT(U97),AND(U$4:U96))),($J97*$G97-LN(1+Jumpoverwrite3*W$2))/$G97,_xll.qlInterpolationInterpolate(U$3,$F97,TRUE))</f>
        <v>#NAME?</v>
      </c>
      <c r="W97" s="439" t="str">
        <f ca="1">IF(AND(NOT(U97),AND(U$4:U96)),MIN(EXP((V97-$J97)*$G97),1),"")</f>
        <v/>
      </c>
      <c r="X97" s="428"/>
      <c r="Y97" s="440" t="b">
        <f ca="1">IF(AND(NOT(U97),AND(U$4:U96)),TRUE,U97)</f>
        <v>0</v>
      </c>
      <c r="Z97" s="439" t="e">
        <f ca="1">IF(AND(NOT(ISBLANK(Jumpoverwrite4)),AND(NOT(Y97),AND(Y$4:Y96))),($J97*$G97-LN(1+Jumpoverwrite4*AA$2))/$G97,_xll.qlInterpolationInterpolate(Y$3,$F97,TRUE))</f>
        <v>#NAME?</v>
      </c>
      <c r="AA97" s="439" t="str">
        <f ca="1">IF(AND(NOT(Y97),AND(Y$4:Y96)),MIN(EXP((Z97-$J97)*$G97),1),"")</f>
        <v/>
      </c>
      <c r="AB97" s="428"/>
      <c r="AC97" s="440" t="b">
        <f ca="1">IF(AND(NOT(Y97),AND(Y$4:Y96)),TRUE,Y97)</f>
        <v>0</v>
      </c>
      <c r="AD97" s="439" t="e">
        <f ca="1">IF(AND(NOT(ISBLANK(Jumpoverwrite5)),AND(NOT(AC97),AND(AC$4:AC96))),($J97*$G97-LN(1+Jumpoverwrite5*AE$2))/$G97,_xll.qlInterpolationInterpolate(AC$3,$F97,TRUE))</f>
        <v>#NAME?</v>
      </c>
      <c r="AE97" s="439" t="str">
        <f ca="1">IF(AND(NOT(AC97),AND(AC$4:AC96)),MIN(EXP((AD97-$J97)*$G97),1),"")</f>
        <v/>
      </c>
      <c r="AF97" s="428"/>
      <c r="AG97" s="440" t="b">
        <f ca="1">IF(AND(NOT(AC97),AND(AC$4:AC96)),TRUE,AC97)</f>
        <v>0</v>
      </c>
      <c r="AH97" s="439" t="e">
        <f ca="1">IF(AND(NOT(ISBLANK(Jumpoverwrite6)),AND(NOT(AG97),AND(AG$4:AG96))),($J97*$G97-LN(1+Jumpoverwrite6*AI$2))/$G97,_xll.qlInterpolationInterpolate(AG$3,$F97,TRUE))</f>
        <v>#NAME?</v>
      </c>
      <c r="AI97" s="439" t="str">
        <f ca="1">IF(AND(NOT(AG97),AND(AG$4:AG96)),MIN(EXP((AH97-$J97)*$G97),1),"")</f>
        <v/>
      </c>
      <c r="AJ97" s="428"/>
      <c r="AK97" s="440" t="b">
        <f ca="1">IF(AND(NOT(AG97),AND(AG$4:AG96)),TRUE,AG97)</f>
        <v>0</v>
      </c>
      <c r="AL97" s="439" t="e">
        <f ca="1">IF(AND(NOT(ISBLANK(Jumpoverwrite7)),AND(NOT(AK97),AND(AK$4:AK96))),($J97*$G97-LN(1+Jumpoverwrite7*AM$2))/$G97,_xll.qlInterpolationInterpolate(AK$3,$F97,TRUE))</f>
        <v>#NAME?</v>
      </c>
      <c r="AM97" s="439" t="str">
        <f ca="1">IF(AND(NOT(AK97),AND(AK$4:AK96)),MIN(EXP((AL97-$J97)*$G97),1),"")</f>
        <v/>
      </c>
      <c r="AO97" s="440" t="b">
        <f ca="1">IF(AND(NOT(AK97),AND(AK$4:AK96)),TRUE,AK97)</f>
        <v>0</v>
      </c>
      <c r="AP97" s="439" t="e">
        <f ca="1">IF(AND(NOT(ISBLANK(Jumpoverwrite8)),AND(NOT(AO97),AND(AO$4:AO96))),($J97*$G97-LN(1+Jumpoverwrite8*AQ$2))/$G97,_xll.qlInterpolationInterpolate(AO$3,$F97,TRUE))</f>
        <v>#NAME?</v>
      </c>
      <c r="AQ97" s="439" t="str">
        <f ca="1">IF(AND(NOT(AO97),AND(AO$4:AO96)),MIN(EXP((AP97-$J97)*$G97),1),"")</f>
        <v/>
      </c>
      <c r="AS97" s="440" t="b">
        <f ca="1">IF(AND(NOT(AO97),AND(AO$4:AO96)),TRUE,AO97)</f>
        <v>0</v>
      </c>
      <c r="AT97" s="439" t="e">
        <f ca="1">IF(AND(NOT(ISBLANK(Jumpoverwrite9)),AND(NOT(AS97),AND(AS$4:AS96))),($J97*$G97-LN(1+Jumpoverwrite9*AU$2))/$G97,_xll.qlInterpolationInterpolate(AS$3,$F97,TRUE))</f>
        <v>#NAME?</v>
      </c>
      <c r="AU97" s="439" t="str">
        <f ca="1">IF(AND(NOT(AS97),AND(AS$4:AS96)),MIN(EXP((AT97-$J97)*$G97),1),"")</f>
        <v/>
      </c>
      <c r="AW97" s="440" t="b">
        <f ca="1">IF(AND(NOT(AS97),AND(AS$4:AS96)),TRUE,AS97)</f>
        <v>0</v>
      </c>
      <c r="AX97" s="439" t="e">
        <f ca="1">IF(AND(NOT(ISBLANK(Jumpoverwrite10)),AND(NOT(AW97),AND(AW$4:AW96))),($J97*$G97-LN(1+Jumpoverwrite10*AY$2))/$G97,_xll.qlInterpolationInterpolate(AW$3,$F97,TRUE))</f>
        <v>#NAME?</v>
      </c>
      <c r="AY97" s="439" t="str">
        <f ca="1">IF(AND(NOT(AW97),AND(AW$4:AW96)),MIN(EXP((AX97-$J97)*$G97),1),"")</f>
        <v/>
      </c>
      <c r="BA97" s="440" t="b">
        <f ca="1">IF(AND(NOT(AW97),AND(AW$4:AW96)),TRUE,AW97)</f>
        <v>0</v>
      </c>
      <c r="BB97" s="439" t="e">
        <f ca="1">IF(AND(NOT(ISBLANK(Jumpoverwrite11)),AND(NOT(BA97),AND(BA$4:BA96))),($J97*$G97-LN(1+Jumpoverwrite11*BC$2))/$G97,_xll.qlInterpolationInterpolate(BA$3,$F97,TRUE))</f>
        <v>#NAME?</v>
      </c>
      <c r="BC97" s="439" t="str">
        <f ca="1">IF(AND(NOT(BA97),AND(BA$4:BA96)),MIN(EXP((BB97-$J97)*$G97),1),"")</f>
        <v/>
      </c>
      <c r="BE97" s="440" t="b">
        <f ca="1">IF(AND(NOT(BA97),AND(BA$4:BA96)),TRUE,BA97)</f>
        <v>0</v>
      </c>
      <c r="BF97" s="439" t="e">
        <f ca="1">IF(AND(NOT(ISBLANK(Jumpoverwrite12)),AND(NOT(BE97),AND(BE$4:BE96))),($J97*$G97-LN(1+Jumpoverwrite12*BG$2))/$G97,_xll.qlInterpolationInterpolate(BE$3,$F97,TRUE))</f>
        <v>#NAME?</v>
      </c>
      <c r="BG97" s="439" t="str">
        <f ca="1">IF(AND(NOT(BE97),AND(BE$4:BE96)),MIN(EXP((BF97-$J97)*$G97),1),"")</f>
        <v/>
      </c>
      <c r="BI97" s="440" t="b">
        <f t="shared" ca="1" si="11"/>
        <v>0</v>
      </c>
      <c r="BJ97" s="439" t="e">
        <f ca="1">IF(AND(NOT(ISBLANK(jumpoverwrite13)),AND(NOT(BI97),AND(BI$4:BI96))),($J97*$G97-LN(1+jumpoverwrite13*BK$2))/$G97,_xll.qlInterpolationInterpolate(BI$3,$F97,TRUE))</f>
        <v>#NAME?</v>
      </c>
      <c r="BK97" s="439" t="str">
        <f ca="1">IF(AND(NOT(BI97),AND(BI$4:BI96)),MIN(EXP((BJ97-$J97)*$G97),1),"")</f>
        <v/>
      </c>
    </row>
    <row r="98" spans="1:63" x14ac:dyDescent="0.2">
      <c r="A98" s="438" t="e">
        <f ca="1"/>
        <v>#NAME?</v>
      </c>
      <c r="B98" s="437" t="e">
        <f ca="1">_xll.qlRateHelperRate($A98,InterestRatesTrigger)</f>
        <v>#NAME?</v>
      </c>
      <c r="C98" s="436" t="e">
        <f ca="1">_xll.qlRateHelperEarliestDate($A98)</f>
        <v>#NAME?</v>
      </c>
      <c r="D98" s="435" t="e">
        <f ca="1">_xll.qlRateHelperPillarDate($A98)</f>
        <v>#NAME?</v>
      </c>
      <c r="F98" s="445" t="e">
        <f t="shared" ca="1" si="9"/>
        <v>#N/A</v>
      </c>
      <c r="G98" s="444" t="e">
        <f ca="1">_xll.qlDayCounterYearFraction(DayCounter,D97,D98)</f>
        <v>#NAME?</v>
      </c>
      <c r="I98" s="443" t="b">
        <f t="shared" ca="1" si="10"/>
        <v>0</v>
      </c>
      <c r="J98" s="442" t="e">
        <f ca="1"/>
        <v>#NAME?</v>
      </c>
      <c r="K98" s="441" t="e">
        <f t="shared" ca="1" si="8"/>
        <v>#NAME?</v>
      </c>
      <c r="L98" s="429"/>
      <c r="M98" s="440" t="b">
        <f ca="1">IF(AND(NOT(I98),AND(I$4:I97)),TRUE,I98)</f>
        <v>0</v>
      </c>
      <c r="N98" s="439" t="e">
        <f ca="1">IF(AND(NOT(ISBLANK(Jumpoverwrite1)),AND(NOT(M98),AND(M$4:M97))),($J98*$G98-LN(1+Jumpoverwrite1*O$2))/$G98,_xll.qlInterpolationInterpolate(M$3,$F98,TRUE))</f>
        <v>#NAME?</v>
      </c>
      <c r="O98" s="439" t="str">
        <f ca="1">IF(AND(NOT(M98),AND(M$4:M97)),MIN(EXP((N98-$J98)*$G98),1),"")</f>
        <v/>
      </c>
      <c r="P98" s="428"/>
      <c r="Q98" s="440" t="b">
        <f ca="1">IF(AND(NOT(M98),AND(M$4:M97)),TRUE,M98)</f>
        <v>0</v>
      </c>
      <c r="R98" s="439" t="e">
        <f ca="1">IF(AND(NOT(ISBLANK(Jumpoverwrite2)),AND(NOT(Q98),AND(Q$4:Q97))),($J98*$G98-LN(1+Jumpoverwrite2*S$2))/$G98,_xll.qlInterpolationInterpolate(Q$3,$F98,TRUE))</f>
        <v>#NAME?</v>
      </c>
      <c r="S98" s="439" t="str">
        <f ca="1">IF(AND(NOT(Q98),AND(Q$4:Q97)),MIN(EXP((R98-$J98)*$G98),1),"")</f>
        <v/>
      </c>
      <c r="T98" s="428"/>
      <c r="U98" s="440" t="b">
        <f ca="1">IF(AND(NOT(Q98),AND(Q$4:Q97)),TRUE,Q98)</f>
        <v>0</v>
      </c>
      <c r="V98" s="439" t="e">
        <f ca="1">IF(AND(NOT(ISBLANK(Jumpoverwrite3)),AND(NOT(U98),AND(U$4:U97))),($J98*$G98-LN(1+Jumpoverwrite3*W$2))/$G98,_xll.qlInterpolationInterpolate(U$3,$F98,TRUE))</f>
        <v>#NAME?</v>
      </c>
      <c r="W98" s="439" t="str">
        <f ca="1">IF(AND(NOT(U98),AND(U$4:U97)),MIN(EXP((V98-$J98)*$G98),1),"")</f>
        <v/>
      </c>
      <c r="X98" s="428"/>
      <c r="Y98" s="440" t="b">
        <f ca="1">IF(AND(NOT(U98),AND(U$4:U97)),TRUE,U98)</f>
        <v>0</v>
      </c>
      <c r="Z98" s="439" t="e">
        <f ca="1">IF(AND(NOT(ISBLANK(Jumpoverwrite4)),AND(NOT(Y98),AND(Y$4:Y97))),($J98*$G98-LN(1+Jumpoverwrite4*AA$2))/$G98,_xll.qlInterpolationInterpolate(Y$3,$F98,TRUE))</f>
        <v>#NAME?</v>
      </c>
      <c r="AA98" s="439" t="str">
        <f ca="1">IF(AND(NOT(Y98),AND(Y$4:Y97)),MIN(EXP((Z98-$J98)*$G98),1),"")</f>
        <v/>
      </c>
      <c r="AB98" s="428"/>
      <c r="AC98" s="440" t="b">
        <f ca="1">IF(AND(NOT(Y98),AND(Y$4:Y97)),TRUE,Y98)</f>
        <v>0</v>
      </c>
      <c r="AD98" s="439" t="e">
        <f ca="1">IF(AND(NOT(ISBLANK(Jumpoverwrite5)),AND(NOT(AC98),AND(AC$4:AC97))),($J98*$G98-LN(1+Jumpoverwrite5*AE$2))/$G98,_xll.qlInterpolationInterpolate(AC$3,$F98,TRUE))</f>
        <v>#NAME?</v>
      </c>
      <c r="AE98" s="439" t="str">
        <f ca="1">IF(AND(NOT(AC98),AND(AC$4:AC97)),MIN(EXP((AD98-$J98)*$G98),1),"")</f>
        <v/>
      </c>
      <c r="AF98" s="428"/>
      <c r="AG98" s="440" t="b">
        <f ca="1">IF(AND(NOT(AC98),AND(AC$4:AC97)),TRUE,AC98)</f>
        <v>0</v>
      </c>
      <c r="AH98" s="439" t="e">
        <f ca="1">IF(AND(NOT(ISBLANK(Jumpoverwrite6)),AND(NOT(AG98),AND(AG$4:AG97))),($J98*$G98-LN(1+Jumpoverwrite6*AI$2))/$G98,_xll.qlInterpolationInterpolate(AG$3,$F98,TRUE))</f>
        <v>#NAME?</v>
      </c>
      <c r="AI98" s="439" t="str">
        <f ca="1">IF(AND(NOT(AG98),AND(AG$4:AG97)),MIN(EXP((AH98-$J98)*$G98),1),"")</f>
        <v/>
      </c>
      <c r="AJ98" s="428"/>
      <c r="AK98" s="440" t="b">
        <f ca="1">IF(AND(NOT(AG98),AND(AG$4:AG97)),TRUE,AG98)</f>
        <v>0</v>
      </c>
      <c r="AL98" s="439" t="e">
        <f ca="1">IF(AND(NOT(ISBLANK(Jumpoverwrite7)),AND(NOT(AK98),AND(AK$4:AK97))),($J98*$G98-LN(1+Jumpoverwrite7*AM$2))/$G98,_xll.qlInterpolationInterpolate(AK$3,$F98,TRUE))</f>
        <v>#NAME?</v>
      </c>
      <c r="AM98" s="439" t="str">
        <f ca="1">IF(AND(NOT(AK98),AND(AK$4:AK97)),MIN(EXP((AL98-$J98)*$G98),1),"")</f>
        <v/>
      </c>
      <c r="AO98" s="440" t="b">
        <f ca="1">IF(AND(NOT(AK98),AND(AK$4:AK97)),TRUE,AK98)</f>
        <v>0</v>
      </c>
      <c r="AP98" s="439" t="e">
        <f ca="1">IF(AND(NOT(ISBLANK(Jumpoverwrite8)),AND(NOT(AO98),AND(AO$4:AO97))),($J98*$G98-LN(1+Jumpoverwrite8*AQ$2))/$G98,_xll.qlInterpolationInterpolate(AO$3,$F98,TRUE))</f>
        <v>#NAME?</v>
      </c>
      <c r="AQ98" s="439" t="str">
        <f ca="1">IF(AND(NOT(AO98),AND(AO$4:AO97)),MIN(EXP((AP98-$J98)*$G98),1),"")</f>
        <v/>
      </c>
      <c r="AS98" s="440" t="b">
        <f ca="1">IF(AND(NOT(AO98),AND(AO$4:AO97)),TRUE,AO98)</f>
        <v>0</v>
      </c>
      <c r="AT98" s="439" t="e">
        <f ca="1">IF(AND(NOT(ISBLANK(Jumpoverwrite9)),AND(NOT(AS98),AND(AS$4:AS97))),($J98*$G98-LN(1+Jumpoverwrite9*AU$2))/$G98,_xll.qlInterpolationInterpolate(AS$3,$F98,TRUE))</f>
        <v>#NAME?</v>
      </c>
      <c r="AU98" s="439" t="str">
        <f ca="1">IF(AND(NOT(AS98),AND(AS$4:AS97)),MIN(EXP((AT98-$J98)*$G98),1),"")</f>
        <v/>
      </c>
      <c r="AW98" s="440" t="b">
        <f ca="1">IF(AND(NOT(AS98),AND(AS$4:AS97)),TRUE,AS98)</f>
        <v>0</v>
      </c>
      <c r="AX98" s="439" t="e">
        <f ca="1">IF(AND(NOT(ISBLANK(Jumpoverwrite10)),AND(NOT(AW98),AND(AW$4:AW97))),($J98*$G98-LN(1+Jumpoverwrite10*AY$2))/$G98,_xll.qlInterpolationInterpolate(AW$3,$F98,TRUE))</f>
        <v>#NAME?</v>
      </c>
      <c r="AY98" s="439" t="str">
        <f ca="1">IF(AND(NOT(AW98),AND(AW$4:AW97)),MIN(EXP((AX98-$J98)*$G98),1),"")</f>
        <v/>
      </c>
      <c r="BA98" s="440" t="b">
        <f ca="1">IF(AND(NOT(AW98),AND(AW$4:AW97)),TRUE,AW98)</f>
        <v>0</v>
      </c>
      <c r="BB98" s="439" t="e">
        <f ca="1">IF(AND(NOT(ISBLANK(Jumpoverwrite11)),AND(NOT(BA98),AND(BA$4:BA97))),($J98*$G98-LN(1+Jumpoverwrite11*BC$2))/$G98,_xll.qlInterpolationInterpolate(BA$3,$F98,TRUE))</f>
        <v>#NAME?</v>
      </c>
      <c r="BC98" s="439" t="str">
        <f ca="1">IF(AND(NOT(BA98),AND(BA$4:BA97)),MIN(EXP((BB98-$J98)*$G98),1),"")</f>
        <v/>
      </c>
      <c r="BE98" s="440" t="b">
        <f ca="1">IF(AND(NOT(BA98),AND(BA$4:BA97)),TRUE,BA98)</f>
        <v>0</v>
      </c>
      <c r="BF98" s="439" t="e">
        <f ca="1">IF(AND(NOT(ISBLANK(Jumpoverwrite12)),AND(NOT(BE98),AND(BE$4:BE97))),($J98*$G98-LN(1+Jumpoverwrite12*BG$2))/$G98,_xll.qlInterpolationInterpolate(BE$3,$F98,TRUE))</f>
        <v>#NAME?</v>
      </c>
      <c r="BG98" s="439" t="str">
        <f ca="1">IF(AND(NOT(BE98),AND(BE$4:BE97)),MIN(EXP((BF98-$J98)*$G98),1),"")</f>
        <v/>
      </c>
      <c r="BI98" s="440" t="b">
        <f t="shared" ca="1" si="11"/>
        <v>0</v>
      </c>
      <c r="BJ98" s="439" t="e">
        <f ca="1">IF(AND(NOT(ISBLANK(jumpoverwrite13)),AND(NOT(BI98),AND(BI$4:BI97))),($J98*$G98-LN(1+jumpoverwrite13*BK$2))/$G98,_xll.qlInterpolationInterpolate(BI$3,$F98,TRUE))</f>
        <v>#NAME?</v>
      </c>
      <c r="BK98" s="439" t="str">
        <f ca="1">IF(AND(NOT(BI98),AND(BI$4:BI97)),MIN(EXP((BJ98-$J98)*$G98),1),"")</f>
        <v/>
      </c>
    </row>
    <row r="99" spans="1:63" x14ac:dyDescent="0.2">
      <c r="A99" s="438" t="e">
        <f ca="1"/>
        <v>#NAME?</v>
      </c>
      <c r="B99" s="437" t="e">
        <f ca="1">_xll.qlRateHelperRate($A99,InterestRatesTrigger)</f>
        <v>#NAME?</v>
      </c>
      <c r="C99" s="436" t="e">
        <f ca="1">_xll.qlRateHelperEarliestDate($A99)</f>
        <v>#NAME?</v>
      </c>
      <c r="D99" s="435" t="e">
        <f ca="1">_xll.qlRateHelperPillarDate($A99)</f>
        <v>#NAME?</v>
      </c>
      <c r="F99" s="445" t="e">
        <f t="shared" ca="1" si="9"/>
        <v>#N/A</v>
      </c>
      <c r="G99" s="444" t="e">
        <f ca="1">_xll.qlDayCounterYearFraction(DayCounter,D98,D99)</f>
        <v>#NAME?</v>
      </c>
      <c r="I99" s="443" t="b">
        <f t="shared" ca="1" si="10"/>
        <v>0</v>
      </c>
      <c r="J99" s="442" t="e">
        <f ca="1"/>
        <v>#NAME?</v>
      </c>
      <c r="K99" s="441" t="e">
        <f t="shared" ca="1" si="8"/>
        <v>#NAME?</v>
      </c>
      <c r="L99" s="429"/>
      <c r="M99" s="440" t="b">
        <f ca="1">IF(AND(NOT(I99),AND(I$4:I98)),TRUE,I99)</f>
        <v>0</v>
      </c>
      <c r="N99" s="439" t="e">
        <f ca="1">IF(AND(NOT(ISBLANK(Jumpoverwrite1)),AND(NOT(M99),AND(M$4:M98))),($J99*$G99-LN(1+Jumpoverwrite1*O$2))/$G99,_xll.qlInterpolationInterpolate(M$3,$F99,TRUE))</f>
        <v>#NAME?</v>
      </c>
      <c r="O99" s="439" t="str">
        <f ca="1">IF(AND(NOT(M99),AND(M$4:M98)),MIN(EXP((N99-$J99)*$G99),1),"")</f>
        <v/>
      </c>
      <c r="P99" s="428"/>
      <c r="Q99" s="440" t="b">
        <f ca="1">IF(AND(NOT(M99),AND(M$4:M98)),TRUE,M99)</f>
        <v>0</v>
      </c>
      <c r="R99" s="439" t="e">
        <f ca="1">IF(AND(NOT(ISBLANK(Jumpoverwrite2)),AND(NOT(Q99),AND(Q$4:Q98))),($J99*$G99-LN(1+Jumpoverwrite2*S$2))/$G99,_xll.qlInterpolationInterpolate(Q$3,$F99,TRUE))</f>
        <v>#NAME?</v>
      </c>
      <c r="S99" s="439" t="str">
        <f ca="1">IF(AND(NOT(Q99),AND(Q$4:Q98)),MIN(EXP((R99-$J99)*$G99),1),"")</f>
        <v/>
      </c>
      <c r="T99" s="428"/>
      <c r="U99" s="440" t="b">
        <f ca="1">IF(AND(NOT(Q99),AND(Q$4:Q98)),TRUE,Q99)</f>
        <v>0</v>
      </c>
      <c r="V99" s="439" t="e">
        <f ca="1">IF(AND(NOT(ISBLANK(Jumpoverwrite3)),AND(NOT(U99),AND(U$4:U98))),($J99*$G99-LN(1+Jumpoverwrite3*W$2))/$G99,_xll.qlInterpolationInterpolate(U$3,$F99,TRUE))</f>
        <v>#NAME?</v>
      </c>
      <c r="W99" s="439" t="str">
        <f ca="1">IF(AND(NOT(U99),AND(U$4:U98)),MIN(EXP((V99-$J99)*$G99),1),"")</f>
        <v/>
      </c>
      <c r="X99" s="428"/>
      <c r="Y99" s="440" t="b">
        <f ca="1">IF(AND(NOT(U99),AND(U$4:U98)),TRUE,U99)</f>
        <v>0</v>
      </c>
      <c r="Z99" s="439" t="e">
        <f ca="1">IF(AND(NOT(ISBLANK(Jumpoverwrite4)),AND(NOT(Y99),AND(Y$4:Y98))),($J99*$G99-LN(1+Jumpoverwrite4*AA$2))/$G99,_xll.qlInterpolationInterpolate(Y$3,$F99,TRUE))</f>
        <v>#NAME?</v>
      </c>
      <c r="AA99" s="439" t="str">
        <f ca="1">IF(AND(NOT(Y99),AND(Y$4:Y98)),MIN(EXP((Z99-$J99)*$G99),1),"")</f>
        <v/>
      </c>
      <c r="AB99" s="428"/>
      <c r="AC99" s="440" t="b">
        <f ca="1">IF(AND(NOT(Y99),AND(Y$4:Y98)),TRUE,Y99)</f>
        <v>0</v>
      </c>
      <c r="AD99" s="439" t="e">
        <f ca="1">IF(AND(NOT(ISBLANK(Jumpoverwrite5)),AND(NOT(AC99),AND(AC$4:AC98))),($J99*$G99-LN(1+Jumpoverwrite5*AE$2))/$G99,_xll.qlInterpolationInterpolate(AC$3,$F99,TRUE))</f>
        <v>#NAME?</v>
      </c>
      <c r="AE99" s="439" t="str">
        <f ca="1">IF(AND(NOT(AC99),AND(AC$4:AC98)),MIN(EXP((AD99-$J99)*$G99),1),"")</f>
        <v/>
      </c>
      <c r="AF99" s="428"/>
      <c r="AG99" s="440" t="b">
        <f ca="1">IF(AND(NOT(AC99),AND(AC$4:AC98)),TRUE,AC99)</f>
        <v>0</v>
      </c>
      <c r="AH99" s="439" t="e">
        <f ca="1">IF(AND(NOT(ISBLANK(Jumpoverwrite6)),AND(NOT(AG99),AND(AG$4:AG98))),($J99*$G99-LN(1+Jumpoverwrite6*AI$2))/$G99,_xll.qlInterpolationInterpolate(AG$3,$F99,TRUE))</f>
        <v>#NAME?</v>
      </c>
      <c r="AI99" s="439" t="str">
        <f ca="1">IF(AND(NOT(AG99),AND(AG$4:AG98)),MIN(EXP((AH99-$J99)*$G99),1),"")</f>
        <v/>
      </c>
      <c r="AJ99" s="428"/>
      <c r="AK99" s="440" t="b">
        <f ca="1">IF(AND(NOT(AG99),AND(AG$4:AG98)),TRUE,AG99)</f>
        <v>0</v>
      </c>
      <c r="AL99" s="439" t="e">
        <f ca="1">IF(AND(NOT(ISBLANK(Jumpoverwrite7)),AND(NOT(AK99),AND(AK$4:AK98))),($J99*$G99-LN(1+Jumpoverwrite7*AM$2))/$G99,_xll.qlInterpolationInterpolate(AK$3,$F99,TRUE))</f>
        <v>#NAME?</v>
      </c>
      <c r="AM99" s="439" t="str">
        <f ca="1">IF(AND(NOT(AK99),AND(AK$4:AK98)),MIN(EXP((AL99-$J99)*$G99),1),"")</f>
        <v/>
      </c>
      <c r="AO99" s="440" t="b">
        <f ca="1">IF(AND(NOT(AK99),AND(AK$4:AK98)),TRUE,AK99)</f>
        <v>0</v>
      </c>
      <c r="AP99" s="439" t="e">
        <f ca="1">IF(AND(NOT(ISBLANK(Jumpoverwrite8)),AND(NOT(AO99),AND(AO$4:AO98))),($J99*$G99-LN(1+Jumpoverwrite8*AQ$2))/$G99,_xll.qlInterpolationInterpolate(AO$3,$F99,TRUE))</f>
        <v>#NAME?</v>
      </c>
      <c r="AQ99" s="439" t="str">
        <f ca="1">IF(AND(NOT(AO99),AND(AO$4:AO98)),MIN(EXP((AP99-$J99)*$G99),1),"")</f>
        <v/>
      </c>
      <c r="AS99" s="440" t="b">
        <f ca="1">IF(AND(NOT(AO99),AND(AO$4:AO98)),TRUE,AO99)</f>
        <v>0</v>
      </c>
      <c r="AT99" s="439" t="e">
        <f ca="1">IF(AND(NOT(ISBLANK(Jumpoverwrite9)),AND(NOT(AS99),AND(AS$4:AS98))),($J99*$G99-LN(1+Jumpoverwrite9*AU$2))/$G99,_xll.qlInterpolationInterpolate(AS$3,$F99,TRUE))</f>
        <v>#NAME?</v>
      </c>
      <c r="AU99" s="439" t="str">
        <f ca="1">IF(AND(NOT(AS99),AND(AS$4:AS98)),MIN(EXP((AT99-$J99)*$G99),1),"")</f>
        <v/>
      </c>
      <c r="AW99" s="440" t="b">
        <f ca="1">IF(AND(NOT(AS99),AND(AS$4:AS98)),TRUE,AS99)</f>
        <v>0</v>
      </c>
      <c r="AX99" s="439" t="e">
        <f ca="1">IF(AND(NOT(ISBLANK(Jumpoverwrite10)),AND(NOT(AW99),AND(AW$4:AW98))),($J99*$G99-LN(1+Jumpoverwrite10*AY$2))/$G99,_xll.qlInterpolationInterpolate(AW$3,$F99,TRUE))</f>
        <v>#NAME?</v>
      </c>
      <c r="AY99" s="439" t="str">
        <f ca="1">IF(AND(NOT(AW99),AND(AW$4:AW98)),MIN(EXP((AX99-$J99)*$G99),1),"")</f>
        <v/>
      </c>
      <c r="BA99" s="440" t="b">
        <f ca="1">IF(AND(NOT(AW99),AND(AW$4:AW98)),TRUE,AW99)</f>
        <v>0</v>
      </c>
      <c r="BB99" s="439" t="e">
        <f ca="1">IF(AND(NOT(ISBLANK(Jumpoverwrite11)),AND(NOT(BA99),AND(BA$4:BA98))),($J99*$G99-LN(1+Jumpoverwrite11*BC$2))/$G99,_xll.qlInterpolationInterpolate(BA$3,$F99,TRUE))</f>
        <v>#NAME?</v>
      </c>
      <c r="BC99" s="439" t="str">
        <f ca="1">IF(AND(NOT(BA99),AND(BA$4:BA98)),MIN(EXP((BB99-$J99)*$G99),1),"")</f>
        <v/>
      </c>
      <c r="BE99" s="440" t="b">
        <f ca="1">IF(AND(NOT(BA99),AND(BA$4:BA98)),TRUE,BA99)</f>
        <v>0</v>
      </c>
      <c r="BF99" s="439" t="e">
        <f ca="1">IF(AND(NOT(ISBLANK(Jumpoverwrite12)),AND(NOT(BE99),AND(BE$4:BE98))),($J99*$G99-LN(1+Jumpoverwrite12*BG$2))/$G99,_xll.qlInterpolationInterpolate(BE$3,$F99,TRUE))</f>
        <v>#NAME?</v>
      </c>
      <c r="BG99" s="439" t="str">
        <f ca="1">IF(AND(NOT(BE99),AND(BE$4:BE98)),MIN(EXP((BF99-$J99)*$G99),1),"")</f>
        <v/>
      </c>
      <c r="BI99" s="440" t="b">
        <f t="shared" ca="1" si="11"/>
        <v>0</v>
      </c>
      <c r="BJ99" s="439" t="e">
        <f ca="1">IF(AND(NOT(ISBLANK(jumpoverwrite13)),AND(NOT(BI99),AND(BI$4:BI98))),($J99*$G99-LN(1+jumpoverwrite13*BK$2))/$G99,_xll.qlInterpolationInterpolate(BI$3,$F99,TRUE))</f>
        <v>#NAME?</v>
      </c>
      <c r="BK99" s="439" t="str">
        <f ca="1">IF(AND(NOT(BI99),AND(BI$4:BI98)),MIN(EXP((BJ99-$J99)*$G99),1),"")</f>
        <v/>
      </c>
    </row>
    <row r="100" spans="1:63" x14ac:dyDescent="0.2">
      <c r="A100" s="438" t="e">
        <f ca="1"/>
        <v>#NAME?</v>
      </c>
      <c r="B100" s="437" t="e">
        <f ca="1">_xll.qlRateHelperRate($A100,InterestRatesTrigger)</f>
        <v>#NAME?</v>
      </c>
      <c r="C100" s="436" t="e">
        <f ca="1">_xll.qlRateHelperEarliestDate($A100)</f>
        <v>#NAME?</v>
      </c>
      <c r="D100" s="435" t="e">
        <f ca="1">_xll.qlRateHelperPillarDate($A100)</f>
        <v>#NAME?</v>
      </c>
      <c r="F100" s="445" t="e">
        <f t="shared" ca="1" si="9"/>
        <v>#N/A</v>
      </c>
      <c r="G100" s="444" t="e">
        <f ca="1">_xll.qlDayCounterYearFraction(DayCounter,D99,D100)</f>
        <v>#NAME?</v>
      </c>
      <c r="I100" s="443" t="b">
        <f t="shared" ca="1" si="10"/>
        <v>0</v>
      </c>
      <c r="J100" s="442" t="e">
        <f ca="1"/>
        <v>#NAME?</v>
      </c>
      <c r="K100" s="441" t="e">
        <f t="shared" ref="K100:K129" ca="1" si="12">D100</f>
        <v>#NAME?</v>
      </c>
      <c r="L100" s="429"/>
      <c r="M100" s="440" t="b">
        <f ca="1">IF(AND(NOT(I100),AND(I$4:I99)),TRUE,I100)</f>
        <v>0</v>
      </c>
      <c r="N100" s="439" t="e">
        <f ca="1">IF(AND(NOT(ISBLANK(Jumpoverwrite1)),AND(NOT(M100),AND(M$4:M99))),($J100*$G100-LN(1+Jumpoverwrite1*O$2))/$G100,_xll.qlInterpolationInterpolate(M$3,$F100,TRUE))</f>
        <v>#NAME?</v>
      </c>
      <c r="O100" s="439" t="str">
        <f ca="1">IF(AND(NOT(M100),AND(M$4:M99)),MIN(EXP((N100-$J100)*$G100),1),"")</f>
        <v/>
      </c>
      <c r="P100" s="428"/>
      <c r="Q100" s="440" t="b">
        <f ca="1">IF(AND(NOT(M100),AND(M$4:M99)),TRUE,M100)</f>
        <v>0</v>
      </c>
      <c r="R100" s="439" t="e">
        <f ca="1">IF(AND(NOT(ISBLANK(Jumpoverwrite2)),AND(NOT(Q100),AND(Q$4:Q99))),($J100*$G100-LN(1+Jumpoverwrite2*S$2))/$G100,_xll.qlInterpolationInterpolate(Q$3,$F100,TRUE))</f>
        <v>#NAME?</v>
      </c>
      <c r="S100" s="439" t="str">
        <f ca="1">IF(AND(NOT(Q100),AND(Q$4:Q99)),MIN(EXP((R100-$J100)*$G100),1),"")</f>
        <v/>
      </c>
      <c r="T100" s="428"/>
      <c r="U100" s="440" t="b">
        <f ca="1">IF(AND(NOT(Q100),AND(Q$4:Q99)),TRUE,Q100)</f>
        <v>0</v>
      </c>
      <c r="V100" s="439" t="e">
        <f ca="1">IF(AND(NOT(ISBLANK(Jumpoverwrite3)),AND(NOT(U100),AND(U$4:U99))),($J100*$G100-LN(1+Jumpoverwrite3*W$2))/$G100,_xll.qlInterpolationInterpolate(U$3,$F100,TRUE))</f>
        <v>#NAME?</v>
      </c>
      <c r="W100" s="439" t="str">
        <f ca="1">IF(AND(NOT(U100),AND(U$4:U99)),MIN(EXP((V100-$J100)*$G100),1),"")</f>
        <v/>
      </c>
      <c r="X100" s="428"/>
      <c r="Y100" s="440" t="b">
        <f ca="1">IF(AND(NOT(U100),AND(U$4:U99)),TRUE,U100)</f>
        <v>0</v>
      </c>
      <c r="Z100" s="439" t="e">
        <f ca="1">IF(AND(NOT(ISBLANK(Jumpoverwrite4)),AND(NOT(Y100),AND(Y$4:Y99))),($J100*$G100-LN(1+Jumpoverwrite4*AA$2))/$G100,_xll.qlInterpolationInterpolate(Y$3,$F100,TRUE))</f>
        <v>#NAME?</v>
      </c>
      <c r="AA100" s="439" t="str">
        <f ca="1">IF(AND(NOT(Y100),AND(Y$4:Y99)),MIN(EXP((Z100-$J100)*$G100),1),"")</f>
        <v/>
      </c>
      <c r="AB100" s="428"/>
      <c r="AC100" s="440" t="b">
        <f ca="1">IF(AND(NOT(Y100),AND(Y$4:Y99)),TRUE,Y100)</f>
        <v>0</v>
      </c>
      <c r="AD100" s="439" t="e">
        <f ca="1">IF(AND(NOT(ISBLANK(Jumpoverwrite5)),AND(NOT(AC100),AND(AC$4:AC99))),($J100*$G100-LN(1+Jumpoverwrite5*AE$2))/$G100,_xll.qlInterpolationInterpolate(AC$3,$F100,TRUE))</f>
        <v>#NAME?</v>
      </c>
      <c r="AE100" s="439" t="str">
        <f ca="1">IF(AND(NOT(AC100),AND(AC$4:AC99)),MIN(EXP((AD100-$J100)*$G100),1),"")</f>
        <v/>
      </c>
      <c r="AF100" s="428"/>
      <c r="AG100" s="440" t="b">
        <f ca="1">IF(AND(NOT(AC100),AND(AC$4:AC99)),TRUE,AC100)</f>
        <v>0</v>
      </c>
      <c r="AH100" s="439" t="e">
        <f ca="1">IF(AND(NOT(ISBLANK(Jumpoverwrite6)),AND(NOT(AG100),AND(AG$4:AG99))),($J100*$G100-LN(1+Jumpoverwrite6*AI$2))/$G100,_xll.qlInterpolationInterpolate(AG$3,$F100,TRUE))</f>
        <v>#NAME?</v>
      </c>
      <c r="AI100" s="439" t="str">
        <f ca="1">IF(AND(NOT(AG100),AND(AG$4:AG99)),MIN(EXP((AH100-$J100)*$G100),1),"")</f>
        <v/>
      </c>
      <c r="AJ100" s="428"/>
      <c r="AK100" s="440" t="b">
        <f ca="1">IF(AND(NOT(AG100),AND(AG$4:AG99)),TRUE,AG100)</f>
        <v>0</v>
      </c>
      <c r="AL100" s="439" t="e">
        <f ca="1">IF(AND(NOT(ISBLANK(Jumpoverwrite7)),AND(NOT(AK100),AND(AK$4:AK99))),($J100*$G100-LN(1+Jumpoverwrite7*AM$2))/$G100,_xll.qlInterpolationInterpolate(AK$3,$F100,TRUE))</f>
        <v>#NAME?</v>
      </c>
      <c r="AM100" s="439" t="str">
        <f ca="1">IF(AND(NOT(AK100),AND(AK$4:AK99)),MIN(EXP((AL100-$J100)*$G100),1),"")</f>
        <v/>
      </c>
      <c r="AO100" s="440" t="b">
        <f ca="1">IF(AND(NOT(AK100),AND(AK$4:AK99)),TRUE,AK100)</f>
        <v>0</v>
      </c>
      <c r="AP100" s="439" t="e">
        <f ca="1">IF(AND(NOT(ISBLANK(Jumpoverwrite8)),AND(NOT(AO100),AND(AO$4:AO99))),($J100*$G100-LN(1+Jumpoverwrite8*AQ$2))/$G100,_xll.qlInterpolationInterpolate(AO$3,$F100,TRUE))</f>
        <v>#NAME?</v>
      </c>
      <c r="AQ100" s="439" t="str">
        <f ca="1">IF(AND(NOT(AO100),AND(AO$4:AO99)),MIN(EXP((AP100-$J100)*$G100),1),"")</f>
        <v/>
      </c>
      <c r="AS100" s="440" t="b">
        <f ca="1">IF(AND(NOT(AO100),AND(AO$4:AO99)),TRUE,AO100)</f>
        <v>0</v>
      </c>
      <c r="AT100" s="439" t="e">
        <f ca="1">IF(AND(NOT(ISBLANK(Jumpoverwrite9)),AND(NOT(AS100),AND(AS$4:AS99))),($J100*$G100-LN(1+Jumpoverwrite9*AU$2))/$G100,_xll.qlInterpolationInterpolate(AS$3,$F100,TRUE))</f>
        <v>#NAME?</v>
      </c>
      <c r="AU100" s="439" t="str">
        <f ca="1">IF(AND(NOT(AS100),AND(AS$4:AS99)),MIN(EXP((AT100-$J100)*$G100),1),"")</f>
        <v/>
      </c>
      <c r="AW100" s="440" t="b">
        <f ca="1">IF(AND(NOT(AS100),AND(AS$4:AS99)),TRUE,AS100)</f>
        <v>0</v>
      </c>
      <c r="AX100" s="439" t="e">
        <f ca="1">IF(AND(NOT(ISBLANK(Jumpoverwrite10)),AND(NOT(AW100),AND(AW$4:AW99))),($J100*$G100-LN(1+Jumpoverwrite10*AY$2))/$G100,_xll.qlInterpolationInterpolate(AW$3,$F100,TRUE))</f>
        <v>#NAME?</v>
      </c>
      <c r="AY100" s="439" t="str">
        <f ca="1">IF(AND(NOT(AW100),AND(AW$4:AW99)),MIN(EXP((AX100-$J100)*$G100),1),"")</f>
        <v/>
      </c>
      <c r="BA100" s="440" t="b">
        <f ca="1">IF(AND(NOT(AW100),AND(AW$4:AW99)),TRUE,AW100)</f>
        <v>0</v>
      </c>
      <c r="BB100" s="439" t="e">
        <f ca="1">IF(AND(NOT(ISBLANK(Jumpoverwrite11)),AND(NOT(BA100),AND(BA$4:BA99))),($J100*$G100-LN(1+Jumpoverwrite11*BC$2))/$G100,_xll.qlInterpolationInterpolate(BA$3,$F100,TRUE))</f>
        <v>#NAME?</v>
      </c>
      <c r="BC100" s="439" t="str">
        <f ca="1">IF(AND(NOT(BA100),AND(BA$4:BA99)),MIN(EXP((BB100-$J100)*$G100),1),"")</f>
        <v/>
      </c>
      <c r="BE100" s="440" t="b">
        <f ca="1">IF(AND(NOT(BA100),AND(BA$4:BA99)),TRUE,BA100)</f>
        <v>0</v>
      </c>
      <c r="BF100" s="439" t="e">
        <f ca="1">IF(AND(NOT(ISBLANK(Jumpoverwrite12)),AND(NOT(BE100),AND(BE$4:BE99))),($J100*$G100-LN(1+Jumpoverwrite12*BG$2))/$G100,_xll.qlInterpolationInterpolate(BE$3,$F100,TRUE))</f>
        <v>#NAME?</v>
      </c>
      <c r="BG100" s="439" t="str">
        <f ca="1">IF(AND(NOT(BE100),AND(BE$4:BE99)),MIN(EXP((BF100-$J100)*$G100),1),"")</f>
        <v/>
      </c>
      <c r="BI100" s="440" t="b">
        <f t="shared" ca="1" si="11"/>
        <v>0</v>
      </c>
      <c r="BJ100" s="439" t="e">
        <f ca="1">IF(AND(NOT(ISBLANK(jumpoverwrite13)),AND(NOT(BI100),AND(BI$4:BI99))),($J100*$G100-LN(1+jumpoverwrite13*BK$2))/$G100,_xll.qlInterpolationInterpolate(BI$3,$F100,TRUE))</f>
        <v>#NAME?</v>
      </c>
      <c r="BK100" s="439" t="str">
        <f ca="1">IF(AND(NOT(BI100),AND(BI$4:BI99)),MIN(EXP((BJ100-$J100)*$G100),1),"")</f>
        <v/>
      </c>
    </row>
    <row r="101" spans="1:63" x14ac:dyDescent="0.2">
      <c r="A101" s="438" t="e">
        <f ca="1"/>
        <v>#NAME?</v>
      </c>
      <c r="B101" s="437" t="e">
        <f ca="1">_xll.qlRateHelperRate($A101,InterestRatesTrigger)</f>
        <v>#NAME?</v>
      </c>
      <c r="C101" s="436" t="e">
        <f ca="1">_xll.qlRateHelperEarliestDate($A101)</f>
        <v>#NAME?</v>
      </c>
      <c r="D101" s="435" t="e">
        <f ca="1">_xll.qlRateHelperPillarDate($A101)</f>
        <v>#NAME?</v>
      </c>
      <c r="F101" s="445" t="e">
        <f t="shared" ref="F101:F129" ca="1" si="13">IF(ISERROR(D101),NA(),(D101-D100)/2+D100)</f>
        <v>#N/A</v>
      </c>
      <c r="G101" s="444" t="e">
        <f ca="1">_xll.qlDayCounterYearFraction(DayCounter,D100,D101)</f>
        <v>#NAME?</v>
      </c>
      <c r="I101" s="443" t="b">
        <f t="shared" ref="I101:I129" ca="1" si="14">IF(ISERROR(K101),FALSE,IF(OR(MONTH(K101)-MONTH(K100)=1,YEAR(K101)-YEAR(K100)=1),FALSE,TRUE))</f>
        <v>0</v>
      </c>
      <c r="J101" s="442" t="e">
        <f ca="1"/>
        <v>#NAME?</v>
      </c>
      <c r="K101" s="441" t="e">
        <f t="shared" ca="1" si="12"/>
        <v>#NAME?</v>
      </c>
      <c r="L101" s="429"/>
      <c r="M101" s="440" t="b">
        <f ca="1">IF(AND(NOT(I101),AND(I$4:I100)),TRUE,I101)</f>
        <v>0</v>
      </c>
      <c r="N101" s="439" t="e">
        <f ca="1">IF(AND(NOT(ISBLANK(Jumpoverwrite1)),AND(NOT(M101),AND(M$4:M100))),($J101*$G101-LN(1+Jumpoverwrite1*O$2))/$G101,_xll.qlInterpolationInterpolate(M$3,$F101,TRUE))</f>
        <v>#NAME?</v>
      </c>
      <c r="O101" s="439" t="str">
        <f ca="1">IF(AND(NOT(M101),AND(M$4:M100)),MIN(EXP((N101-$J101)*$G101),1),"")</f>
        <v/>
      </c>
      <c r="P101" s="428"/>
      <c r="Q101" s="440" t="b">
        <f ca="1">IF(AND(NOT(M101),AND(M$4:M100)),TRUE,M101)</f>
        <v>0</v>
      </c>
      <c r="R101" s="439" t="e">
        <f ca="1">IF(AND(NOT(ISBLANK(Jumpoverwrite2)),AND(NOT(Q101),AND(Q$4:Q100))),($J101*$G101-LN(1+Jumpoverwrite2*S$2))/$G101,_xll.qlInterpolationInterpolate(Q$3,$F101,TRUE))</f>
        <v>#NAME?</v>
      </c>
      <c r="S101" s="439" t="str">
        <f ca="1">IF(AND(NOT(Q101),AND(Q$4:Q100)),MIN(EXP((R101-$J101)*$G101),1),"")</f>
        <v/>
      </c>
      <c r="T101" s="428"/>
      <c r="U101" s="440" t="b">
        <f ca="1">IF(AND(NOT(Q101),AND(Q$4:Q100)),TRUE,Q101)</f>
        <v>0</v>
      </c>
      <c r="V101" s="439" t="e">
        <f ca="1">IF(AND(NOT(ISBLANK(Jumpoverwrite3)),AND(NOT(U101),AND(U$4:U100))),($J101*$G101-LN(1+Jumpoverwrite3*W$2))/$G101,_xll.qlInterpolationInterpolate(U$3,$F101,TRUE))</f>
        <v>#NAME?</v>
      </c>
      <c r="W101" s="439" t="str">
        <f ca="1">IF(AND(NOT(U101),AND(U$4:U100)),MIN(EXP((V101-$J101)*$G101),1),"")</f>
        <v/>
      </c>
      <c r="X101" s="428"/>
      <c r="Y101" s="440" t="b">
        <f ca="1">IF(AND(NOT(U101),AND(U$4:U100)),TRUE,U101)</f>
        <v>0</v>
      </c>
      <c r="Z101" s="439" t="e">
        <f ca="1">IF(AND(NOT(ISBLANK(Jumpoverwrite4)),AND(NOT(Y101),AND(Y$4:Y100))),($J101*$G101-LN(1+Jumpoverwrite4*AA$2))/$G101,_xll.qlInterpolationInterpolate(Y$3,$F101,TRUE))</f>
        <v>#NAME?</v>
      </c>
      <c r="AA101" s="439" t="str">
        <f ca="1">IF(AND(NOT(Y101),AND(Y$4:Y100)),MIN(EXP((Z101-$J101)*$G101),1),"")</f>
        <v/>
      </c>
      <c r="AB101" s="428"/>
      <c r="AC101" s="440" t="b">
        <f ca="1">IF(AND(NOT(Y101),AND(Y$4:Y100)),TRUE,Y101)</f>
        <v>0</v>
      </c>
      <c r="AD101" s="439" t="e">
        <f ca="1">IF(AND(NOT(ISBLANK(Jumpoverwrite5)),AND(NOT(AC101),AND(AC$4:AC100))),($J101*$G101-LN(1+Jumpoverwrite5*AE$2))/$G101,_xll.qlInterpolationInterpolate(AC$3,$F101,TRUE))</f>
        <v>#NAME?</v>
      </c>
      <c r="AE101" s="439" t="str">
        <f ca="1">IF(AND(NOT(AC101),AND(AC$4:AC100)),MIN(EXP((AD101-$J101)*$G101),1),"")</f>
        <v/>
      </c>
      <c r="AF101" s="428"/>
      <c r="AG101" s="440" t="b">
        <f ca="1">IF(AND(NOT(AC101),AND(AC$4:AC100)),TRUE,AC101)</f>
        <v>0</v>
      </c>
      <c r="AH101" s="439" t="e">
        <f ca="1">IF(AND(NOT(ISBLANK(Jumpoverwrite6)),AND(NOT(AG101),AND(AG$4:AG100))),($J101*$G101-LN(1+Jumpoverwrite6*AI$2))/$G101,_xll.qlInterpolationInterpolate(AG$3,$F101,TRUE))</f>
        <v>#NAME?</v>
      </c>
      <c r="AI101" s="439" t="str">
        <f ca="1">IF(AND(NOT(AG101),AND(AG$4:AG100)),MIN(EXP((AH101-$J101)*$G101),1),"")</f>
        <v/>
      </c>
      <c r="AJ101" s="428"/>
      <c r="AK101" s="440" t="b">
        <f ca="1">IF(AND(NOT(AG101),AND(AG$4:AG100)),TRUE,AG101)</f>
        <v>0</v>
      </c>
      <c r="AL101" s="439" t="e">
        <f ca="1">IF(AND(NOT(ISBLANK(Jumpoverwrite7)),AND(NOT(AK101),AND(AK$4:AK100))),($J101*$G101-LN(1+Jumpoverwrite7*AM$2))/$G101,_xll.qlInterpolationInterpolate(AK$3,$F101,TRUE))</f>
        <v>#NAME?</v>
      </c>
      <c r="AM101" s="439" t="str">
        <f ca="1">IF(AND(NOT(AK101),AND(AK$4:AK100)),MIN(EXP((AL101-$J101)*$G101),1),"")</f>
        <v/>
      </c>
      <c r="AO101" s="440" t="b">
        <f ca="1">IF(AND(NOT(AK101),AND(AK$4:AK100)),TRUE,AK101)</f>
        <v>0</v>
      </c>
      <c r="AP101" s="439" t="e">
        <f ca="1">IF(AND(NOT(ISBLANK(Jumpoverwrite8)),AND(NOT(AO101),AND(AO$4:AO100))),($J101*$G101-LN(1+Jumpoverwrite8*AQ$2))/$G101,_xll.qlInterpolationInterpolate(AO$3,$F101,TRUE))</f>
        <v>#NAME?</v>
      </c>
      <c r="AQ101" s="439" t="str">
        <f ca="1">IF(AND(NOT(AO101),AND(AO$4:AO100)),MIN(EXP((AP101-$J101)*$G101),1),"")</f>
        <v/>
      </c>
      <c r="AS101" s="440" t="b">
        <f ca="1">IF(AND(NOT(AO101),AND(AO$4:AO100)),TRUE,AO101)</f>
        <v>0</v>
      </c>
      <c r="AT101" s="439" t="e">
        <f ca="1">IF(AND(NOT(ISBLANK(Jumpoverwrite9)),AND(NOT(AS101),AND(AS$4:AS100))),($J101*$G101-LN(1+Jumpoverwrite9*AU$2))/$G101,_xll.qlInterpolationInterpolate(AS$3,$F101,TRUE))</f>
        <v>#NAME?</v>
      </c>
      <c r="AU101" s="439" t="str">
        <f ca="1">IF(AND(NOT(AS101),AND(AS$4:AS100)),MIN(EXP((AT101-$J101)*$G101),1),"")</f>
        <v/>
      </c>
      <c r="AW101" s="440" t="b">
        <f ca="1">IF(AND(NOT(AS101),AND(AS$4:AS100)),TRUE,AS101)</f>
        <v>0</v>
      </c>
      <c r="AX101" s="439" t="e">
        <f ca="1">IF(AND(NOT(ISBLANK(Jumpoverwrite10)),AND(NOT(AW101),AND(AW$4:AW100))),($J101*$G101-LN(1+Jumpoverwrite10*AY$2))/$G101,_xll.qlInterpolationInterpolate(AW$3,$F101,TRUE))</f>
        <v>#NAME?</v>
      </c>
      <c r="AY101" s="439" t="str">
        <f ca="1">IF(AND(NOT(AW101),AND(AW$4:AW100)),MIN(EXP((AX101-$J101)*$G101),1),"")</f>
        <v/>
      </c>
      <c r="BA101" s="440" t="b">
        <f ca="1">IF(AND(NOT(AW101),AND(AW$4:AW100)),TRUE,AW101)</f>
        <v>0</v>
      </c>
      <c r="BB101" s="439" t="e">
        <f ca="1">IF(AND(NOT(ISBLANK(Jumpoverwrite11)),AND(NOT(BA101),AND(BA$4:BA100))),($J101*$G101-LN(1+Jumpoverwrite11*BC$2))/$G101,_xll.qlInterpolationInterpolate(BA$3,$F101,TRUE))</f>
        <v>#NAME?</v>
      </c>
      <c r="BC101" s="439" t="str">
        <f ca="1">IF(AND(NOT(BA101),AND(BA$4:BA100)),MIN(EXP((BB101-$J101)*$G101),1),"")</f>
        <v/>
      </c>
      <c r="BE101" s="440" t="b">
        <f ca="1">IF(AND(NOT(BA101),AND(BA$4:BA100)),TRUE,BA101)</f>
        <v>0</v>
      </c>
      <c r="BF101" s="439" t="e">
        <f ca="1">IF(AND(NOT(ISBLANK(Jumpoverwrite12)),AND(NOT(BE101),AND(BE$4:BE100))),($J101*$G101-LN(1+Jumpoverwrite12*BG$2))/$G101,_xll.qlInterpolationInterpolate(BE$3,$F101,TRUE))</f>
        <v>#NAME?</v>
      </c>
      <c r="BG101" s="439" t="str">
        <f ca="1">IF(AND(NOT(BE101),AND(BE$4:BE100)),MIN(EXP((BF101-$J101)*$G101),1),"")</f>
        <v/>
      </c>
      <c r="BI101" s="440" t="b">
        <f t="shared" ref="BI101:BI129" ca="1" si="15">IF(ISERROR(K101),FALSE,IF(YEAR(K101)-YEAR(SettlementDate)=2,FALSE,TRUE))</f>
        <v>0</v>
      </c>
      <c r="BJ101" s="439" t="e">
        <f ca="1">IF(AND(NOT(ISBLANK(jumpoverwrite13)),AND(NOT(BI101),AND(BI$4:BI100))),($J101*$G101-LN(1+jumpoverwrite13*BK$2))/$G101,_xll.qlInterpolationInterpolate(BI$3,$F101,TRUE))</f>
        <v>#NAME?</v>
      </c>
      <c r="BK101" s="439" t="str">
        <f ca="1">IF(AND(NOT(BI101),AND(BI$4:BI100)),MIN(EXP((BJ101-$J101)*$G101),1),"")</f>
        <v/>
      </c>
    </row>
    <row r="102" spans="1:63" x14ac:dyDescent="0.2">
      <c r="A102" s="438" t="e">
        <f ca="1"/>
        <v>#NAME?</v>
      </c>
      <c r="B102" s="437" t="e">
        <f ca="1">_xll.qlRateHelperRate($A102,InterestRatesTrigger)</f>
        <v>#NAME?</v>
      </c>
      <c r="C102" s="436" t="e">
        <f ca="1">_xll.qlRateHelperEarliestDate($A102)</f>
        <v>#NAME?</v>
      </c>
      <c r="D102" s="435" t="e">
        <f ca="1">_xll.qlRateHelperPillarDate($A102)</f>
        <v>#NAME?</v>
      </c>
      <c r="F102" s="445" t="e">
        <f t="shared" ca="1" si="13"/>
        <v>#N/A</v>
      </c>
      <c r="G102" s="444" t="e">
        <f ca="1">_xll.qlDayCounterYearFraction(DayCounter,D101,D102)</f>
        <v>#NAME?</v>
      </c>
      <c r="I102" s="443" t="b">
        <f t="shared" ca="1" si="14"/>
        <v>0</v>
      </c>
      <c r="J102" s="442" t="e">
        <f ca="1"/>
        <v>#NAME?</v>
      </c>
      <c r="K102" s="441" t="e">
        <f t="shared" ca="1" si="12"/>
        <v>#NAME?</v>
      </c>
      <c r="L102" s="429"/>
      <c r="M102" s="440" t="b">
        <f ca="1">IF(AND(NOT(I102),AND(I$4:I101)),TRUE,I102)</f>
        <v>0</v>
      </c>
      <c r="N102" s="439" t="e">
        <f ca="1">IF(AND(NOT(ISBLANK(Jumpoverwrite1)),AND(NOT(M102),AND(M$4:M101))),($J102*$G102-LN(1+Jumpoverwrite1*O$2))/$G102,_xll.qlInterpolationInterpolate(M$3,$F102,TRUE))</f>
        <v>#NAME?</v>
      </c>
      <c r="O102" s="439" t="str">
        <f ca="1">IF(AND(NOT(M102),AND(M$4:M101)),MIN(EXP((N102-$J102)*$G102),1),"")</f>
        <v/>
      </c>
      <c r="P102" s="428"/>
      <c r="Q102" s="440" t="b">
        <f ca="1">IF(AND(NOT(M102),AND(M$4:M101)),TRUE,M102)</f>
        <v>0</v>
      </c>
      <c r="R102" s="439" t="e">
        <f ca="1">IF(AND(NOT(ISBLANK(Jumpoverwrite2)),AND(NOT(Q102),AND(Q$4:Q101))),($J102*$G102-LN(1+Jumpoverwrite2*S$2))/$G102,_xll.qlInterpolationInterpolate(Q$3,$F102,TRUE))</f>
        <v>#NAME?</v>
      </c>
      <c r="S102" s="439" t="str">
        <f ca="1">IF(AND(NOT(Q102),AND(Q$4:Q101)),MIN(EXP((R102-$J102)*$G102),1),"")</f>
        <v/>
      </c>
      <c r="T102" s="428"/>
      <c r="U102" s="440" t="b">
        <f ca="1">IF(AND(NOT(Q102),AND(Q$4:Q101)),TRUE,Q102)</f>
        <v>0</v>
      </c>
      <c r="V102" s="439" t="e">
        <f ca="1">IF(AND(NOT(ISBLANK(Jumpoverwrite3)),AND(NOT(U102),AND(U$4:U101))),($J102*$G102-LN(1+Jumpoverwrite3*W$2))/$G102,_xll.qlInterpolationInterpolate(U$3,$F102,TRUE))</f>
        <v>#NAME?</v>
      </c>
      <c r="W102" s="439" t="str">
        <f ca="1">IF(AND(NOT(U102),AND(U$4:U101)),MIN(EXP((V102-$J102)*$G102),1),"")</f>
        <v/>
      </c>
      <c r="X102" s="428"/>
      <c r="Y102" s="440" t="b">
        <f ca="1">IF(AND(NOT(U102),AND(U$4:U101)),TRUE,U102)</f>
        <v>0</v>
      </c>
      <c r="Z102" s="439" t="e">
        <f ca="1">IF(AND(NOT(ISBLANK(Jumpoverwrite4)),AND(NOT(Y102),AND(Y$4:Y101))),($J102*$G102-LN(1+Jumpoverwrite4*AA$2))/$G102,_xll.qlInterpolationInterpolate(Y$3,$F102,TRUE))</f>
        <v>#NAME?</v>
      </c>
      <c r="AA102" s="439" t="str">
        <f ca="1">IF(AND(NOT(Y102),AND(Y$4:Y101)),MIN(EXP((Z102-$J102)*$G102),1),"")</f>
        <v/>
      </c>
      <c r="AB102" s="428"/>
      <c r="AC102" s="440" t="b">
        <f ca="1">IF(AND(NOT(Y102),AND(Y$4:Y101)),TRUE,Y102)</f>
        <v>0</v>
      </c>
      <c r="AD102" s="439" t="e">
        <f ca="1">IF(AND(NOT(ISBLANK(Jumpoverwrite5)),AND(NOT(AC102),AND(AC$4:AC101))),($J102*$G102-LN(1+Jumpoverwrite5*AE$2))/$G102,_xll.qlInterpolationInterpolate(AC$3,$F102,TRUE))</f>
        <v>#NAME?</v>
      </c>
      <c r="AE102" s="439" t="str">
        <f ca="1">IF(AND(NOT(AC102),AND(AC$4:AC101)),MIN(EXP((AD102-$J102)*$G102),1),"")</f>
        <v/>
      </c>
      <c r="AF102" s="428"/>
      <c r="AG102" s="440" t="b">
        <f ca="1">IF(AND(NOT(AC102),AND(AC$4:AC101)),TRUE,AC102)</f>
        <v>0</v>
      </c>
      <c r="AH102" s="439" t="e">
        <f ca="1">IF(AND(NOT(ISBLANK(Jumpoverwrite6)),AND(NOT(AG102),AND(AG$4:AG101))),($J102*$G102-LN(1+Jumpoverwrite6*AI$2))/$G102,_xll.qlInterpolationInterpolate(AG$3,$F102,TRUE))</f>
        <v>#NAME?</v>
      </c>
      <c r="AI102" s="439" t="str">
        <f ca="1">IF(AND(NOT(AG102),AND(AG$4:AG101)),MIN(EXP((AH102-$J102)*$G102),1),"")</f>
        <v/>
      </c>
      <c r="AJ102" s="428"/>
      <c r="AK102" s="440" t="b">
        <f ca="1">IF(AND(NOT(AG102),AND(AG$4:AG101)),TRUE,AG102)</f>
        <v>0</v>
      </c>
      <c r="AL102" s="439" t="e">
        <f ca="1">IF(AND(NOT(ISBLANK(Jumpoverwrite7)),AND(NOT(AK102),AND(AK$4:AK101))),($J102*$G102-LN(1+Jumpoverwrite7*AM$2))/$G102,_xll.qlInterpolationInterpolate(AK$3,$F102,TRUE))</f>
        <v>#NAME?</v>
      </c>
      <c r="AM102" s="439" t="str">
        <f ca="1">IF(AND(NOT(AK102),AND(AK$4:AK101)),MIN(EXP((AL102-$J102)*$G102),1),"")</f>
        <v/>
      </c>
      <c r="AO102" s="440" t="b">
        <f ca="1">IF(AND(NOT(AK102),AND(AK$4:AK101)),TRUE,AK102)</f>
        <v>0</v>
      </c>
      <c r="AP102" s="439" t="e">
        <f ca="1">IF(AND(NOT(ISBLANK(Jumpoverwrite8)),AND(NOT(AO102),AND(AO$4:AO101))),($J102*$G102-LN(1+Jumpoverwrite8*AQ$2))/$G102,_xll.qlInterpolationInterpolate(AO$3,$F102,TRUE))</f>
        <v>#NAME?</v>
      </c>
      <c r="AQ102" s="439" t="str">
        <f ca="1">IF(AND(NOT(AO102),AND(AO$4:AO101)),MIN(EXP((AP102-$J102)*$G102),1),"")</f>
        <v/>
      </c>
      <c r="AS102" s="440" t="b">
        <f ca="1">IF(AND(NOT(AO102),AND(AO$4:AO101)),TRUE,AO102)</f>
        <v>0</v>
      </c>
      <c r="AT102" s="439" t="e">
        <f ca="1">IF(AND(NOT(ISBLANK(Jumpoverwrite9)),AND(NOT(AS102),AND(AS$4:AS101))),($J102*$G102-LN(1+Jumpoverwrite9*AU$2))/$G102,_xll.qlInterpolationInterpolate(AS$3,$F102,TRUE))</f>
        <v>#NAME?</v>
      </c>
      <c r="AU102" s="439" t="str">
        <f ca="1">IF(AND(NOT(AS102),AND(AS$4:AS101)),MIN(EXP((AT102-$J102)*$G102),1),"")</f>
        <v/>
      </c>
      <c r="AW102" s="440" t="b">
        <f ca="1">IF(AND(NOT(AS102),AND(AS$4:AS101)),TRUE,AS102)</f>
        <v>0</v>
      </c>
      <c r="AX102" s="439" t="e">
        <f ca="1">IF(AND(NOT(ISBLANK(Jumpoverwrite10)),AND(NOT(AW102),AND(AW$4:AW101))),($J102*$G102-LN(1+Jumpoverwrite10*AY$2))/$G102,_xll.qlInterpolationInterpolate(AW$3,$F102,TRUE))</f>
        <v>#NAME?</v>
      </c>
      <c r="AY102" s="439" t="str">
        <f ca="1">IF(AND(NOT(AW102),AND(AW$4:AW101)),MIN(EXP((AX102-$J102)*$G102),1),"")</f>
        <v/>
      </c>
      <c r="BA102" s="440" t="b">
        <f ca="1">IF(AND(NOT(AW102),AND(AW$4:AW101)),TRUE,AW102)</f>
        <v>0</v>
      </c>
      <c r="BB102" s="439" t="e">
        <f ca="1">IF(AND(NOT(ISBLANK(Jumpoverwrite11)),AND(NOT(BA102),AND(BA$4:BA101))),($J102*$G102-LN(1+Jumpoverwrite11*BC$2))/$G102,_xll.qlInterpolationInterpolate(BA$3,$F102,TRUE))</f>
        <v>#NAME?</v>
      </c>
      <c r="BC102" s="439" t="str">
        <f ca="1">IF(AND(NOT(BA102),AND(BA$4:BA101)),MIN(EXP((BB102-$J102)*$G102),1),"")</f>
        <v/>
      </c>
      <c r="BE102" s="440" t="b">
        <f ca="1">IF(AND(NOT(BA102),AND(BA$4:BA101)),TRUE,BA102)</f>
        <v>0</v>
      </c>
      <c r="BF102" s="439" t="e">
        <f ca="1">IF(AND(NOT(ISBLANK(Jumpoverwrite12)),AND(NOT(BE102),AND(BE$4:BE101))),($J102*$G102-LN(1+Jumpoverwrite12*BG$2))/$G102,_xll.qlInterpolationInterpolate(BE$3,$F102,TRUE))</f>
        <v>#NAME?</v>
      </c>
      <c r="BG102" s="439" t="str">
        <f ca="1">IF(AND(NOT(BE102),AND(BE$4:BE101)),MIN(EXP((BF102-$J102)*$G102),1),"")</f>
        <v/>
      </c>
      <c r="BI102" s="440" t="b">
        <f t="shared" ca="1" si="15"/>
        <v>0</v>
      </c>
      <c r="BJ102" s="439" t="e">
        <f ca="1">IF(AND(NOT(ISBLANK(jumpoverwrite13)),AND(NOT(BI102),AND(BI$4:BI101))),($J102*$G102-LN(1+jumpoverwrite13*BK$2))/$G102,_xll.qlInterpolationInterpolate(BI$3,$F102,TRUE))</f>
        <v>#NAME?</v>
      </c>
      <c r="BK102" s="439" t="str">
        <f ca="1">IF(AND(NOT(BI102),AND(BI$4:BI101)),MIN(EXP((BJ102-$J102)*$G102),1),"")</f>
        <v/>
      </c>
    </row>
    <row r="103" spans="1:63" x14ac:dyDescent="0.2">
      <c r="A103" s="438" t="e">
        <f ca="1"/>
        <v>#NAME?</v>
      </c>
      <c r="B103" s="437" t="e">
        <f ca="1">_xll.qlRateHelperRate($A103,InterestRatesTrigger)</f>
        <v>#NAME?</v>
      </c>
      <c r="C103" s="436" t="e">
        <f ca="1">_xll.qlRateHelperEarliestDate($A103)</f>
        <v>#NAME?</v>
      </c>
      <c r="D103" s="435" t="e">
        <f ca="1">_xll.qlRateHelperPillarDate($A103)</f>
        <v>#NAME?</v>
      </c>
      <c r="F103" s="445" t="e">
        <f t="shared" ca="1" si="13"/>
        <v>#N/A</v>
      </c>
      <c r="G103" s="444" t="e">
        <f ca="1">_xll.qlDayCounterYearFraction(DayCounter,D102,D103)</f>
        <v>#NAME?</v>
      </c>
      <c r="I103" s="443" t="b">
        <f t="shared" ca="1" si="14"/>
        <v>0</v>
      </c>
      <c r="J103" s="442" t="e">
        <f ca="1"/>
        <v>#NAME?</v>
      </c>
      <c r="K103" s="441" t="e">
        <f t="shared" ca="1" si="12"/>
        <v>#NAME?</v>
      </c>
      <c r="L103" s="429"/>
      <c r="M103" s="440" t="b">
        <f ca="1">IF(AND(NOT(I103),AND(I$4:I102)),TRUE,I103)</f>
        <v>0</v>
      </c>
      <c r="N103" s="439" t="e">
        <f ca="1">IF(AND(NOT(ISBLANK(Jumpoverwrite1)),AND(NOT(M103),AND(M$4:M102))),($J103*$G103-LN(1+Jumpoverwrite1*O$2))/$G103,_xll.qlInterpolationInterpolate(M$3,$F103,TRUE))</f>
        <v>#NAME?</v>
      </c>
      <c r="O103" s="439" t="str">
        <f ca="1">IF(AND(NOT(M103),AND(M$4:M102)),MIN(EXP((N103-$J103)*$G103),1),"")</f>
        <v/>
      </c>
      <c r="P103" s="428"/>
      <c r="Q103" s="440" t="b">
        <f ca="1">IF(AND(NOT(M103),AND(M$4:M102)),TRUE,M103)</f>
        <v>0</v>
      </c>
      <c r="R103" s="439" t="e">
        <f ca="1">IF(AND(NOT(ISBLANK(Jumpoverwrite2)),AND(NOT(Q103),AND(Q$4:Q102))),($J103*$G103-LN(1+Jumpoverwrite2*S$2))/$G103,_xll.qlInterpolationInterpolate(Q$3,$F103,TRUE))</f>
        <v>#NAME?</v>
      </c>
      <c r="S103" s="439" t="str">
        <f ca="1">IF(AND(NOT(Q103),AND(Q$4:Q102)),MIN(EXP((R103-$J103)*$G103),1),"")</f>
        <v/>
      </c>
      <c r="T103" s="428"/>
      <c r="U103" s="440" t="b">
        <f ca="1">IF(AND(NOT(Q103),AND(Q$4:Q102)),TRUE,Q103)</f>
        <v>0</v>
      </c>
      <c r="V103" s="439" t="e">
        <f ca="1">IF(AND(NOT(ISBLANK(Jumpoverwrite3)),AND(NOT(U103),AND(U$4:U102))),($J103*$G103-LN(1+Jumpoverwrite3*W$2))/$G103,_xll.qlInterpolationInterpolate(U$3,$F103,TRUE))</f>
        <v>#NAME?</v>
      </c>
      <c r="W103" s="439" t="str">
        <f ca="1">IF(AND(NOT(U103),AND(U$4:U102)),MIN(EXP((V103-$J103)*$G103),1),"")</f>
        <v/>
      </c>
      <c r="X103" s="428"/>
      <c r="Y103" s="440" t="b">
        <f ca="1">IF(AND(NOT(U103),AND(U$4:U102)),TRUE,U103)</f>
        <v>0</v>
      </c>
      <c r="Z103" s="439" t="e">
        <f ca="1">IF(AND(NOT(ISBLANK(Jumpoverwrite4)),AND(NOT(Y103),AND(Y$4:Y102))),($J103*$G103-LN(1+Jumpoverwrite4*AA$2))/$G103,_xll.qlInterpolationInterpolate(Y$3,$F103,TRUE))</f>
        <v>#NAME?</v>
      </c>
      <c r="AA103" s="439" t="str">
        <f ca="1">IF(AND(NOT(Y103),AND(Y$4:Y102)),MIN(EXP((Z103-$J103)*$G103),1),"")</f>
        <v/>
      </c>
      <c r="AB103" s="428"/>
      <c r="AC103" s="440" t="b">
        <f ca="1">IF(AND(NOT(Y103),AND(Y$4:Y102)),TRUE,Y103)</f>
        <v>0</v>
      </c>
      <c r="AD103" s="439" t="e">
        <f ca="1">IF(AND(NOT(ISBLANK(Jumpoverwrite5)),AND(NOT(AC103),AND(AC$4:AC102))),($J103*$G103-LN(1+Jumpoverwrite5*AE$2))/$G103,_xll.qlInterpolationInterpolate(AC$3,$F103,TRUE))</f>
        <v>#NAME?</v>
      </c>
      <c r="AE103" s="439" t="str">
        <f ca="1">IF(AND(NOT(AC103),AND(AC$4:AC102)),MIN(EXP((AD103-$J103)*$G103),1),"")</f>
        <v/>
      </c>
      <c r="AF103" s="428"/>
      <c r="AG103" s="440" t="b">
        <f ca="1">IF(AND(NOT(AC103),AND(AC$4:AC102)),TRUE,AC103)</f>
        <v>0</v>
      </c>
      <c r="AH103" s="439" t="e">
        <f ca="1">IF(AND(NOT(ISBLANK(Jumpoverwrite6)),AND(NOT(AG103),AND(AG$4:AG102))),($J103*$G103-LN(1+Jumpoverwrite6*AI$2))/$G103,_xll.qlInterpolationInterpolate(AG$3,$F103,TRUE))</f>
        <v>#NAME?</v>
      </c>
      <c r="AI103" s="439" t="str">
        <f ca="1">IF(AND(NOT(AG103),AND(AG$4:AG102)),MIN(EXP((AH103-$J103)*$G103),1),"")</f>
        <v/>
      </c>
      <c r="AJ103" s="428"/>
      <c r="AK103" s="440" t="b">
        <f ca="1">IF(AND(NOT(AG103),AND(AG$4:AG102)),TRUE,AG103)</f>
        <v>0</v>
      </c>
      <c r="AL103" s="439" t="e">
        <f ca="1">IF(AND(NOT(ISBLANK(Jumpoverwrite7)),AND(NOT(AK103),AND(AK$4:AK102))),($J103*$G103-LN(1+Jumpoverwrite7*AM$2))/$G103,_xll.qlInterpolationInterpolate(AK$3,$F103,TRUE))</f>
        <v>#NAME?</v>
      </c>
      <c r="AM103" s="439" t="str">
        <f ca="1">IF(AND(NOT(AK103),AND(AK$4:AK102)),MIN(EXP((AL103-$J103)*$G103),1),"")</f>
        <v/>
      </c>
      <c r="AO103" s="440" t="b">
        <f ca="1">IF(AND(NOT(AK103),AND(AK$4:AK102)),TRUE,AK103)</f>
        <v>0</v>
      </c>
      <c r="AP103" s="439" t="e">
        <f ca="1">IF(AND(NOT(ISBLANK(Jumpoverwrite8)),AND(NOT(AO103),AND(AO$4:AO102))),($J103*$G103-LN(1+Jumpoverwrite8*AQ$2))/$G103,_xll.qlInterpolationInterpolate(AO$3,$F103,TRUE))</f>
        <v>#NAME?</v>
      </c>
      <c r="AQ103" s="439" t="str">
        <f ca="1">IF(AND(NOT(AO103),AND(AO$4:AO102)),MIN(EXP((AP103-$J103)*$G103),1),"")</f>
        <v/>
      </c>
      <c r="AS103" s="440" t="b">
        <f ca="1">IF(AND(NOT(AO103),AND(AO$4:AO102)),TRUE,AO103)</f>
        <v>0</v>
      </c>
      <c r="AT103" s="439" t="e">
        <f ca="1">IF(AND(NOT(ISBLANK(Jumpoverwrite9)),AND(NOT(AS103),AND(AS$4:AS102))),($J103*$G103-LN(1+Jumpoverwrite9*AU$2))/$G103,_xll.qlInterpolationInterpolate(AS$3,$F103,TRUE))</f>
        <v>#NAME?</v>
      </c>
      <c r="AU103" s="439" t="str">
        <f ca="1">IF(AND(NOT(AS103),AND(AS$4:AS102)),MIN(EXP((AT103-$J103)*$G103),1),"")</f>
        <v/>
      </c>
      <c r="AW103" s="440" t="b">
        <f ca="1">IF(AND(NOT(AS103),AND(AS$4:AS102)),TRUE,AS103)</f>
        <v>0</v>
      </c>
      <c r="AX103" s="439" t="e">
        <f ca="1">IF(AND(NOT(ISBLANK(Jumpoverwrite10)),AND(NOT(AW103),AND(AW$4:AW102))),($J103*$G103-LN(1+Jumpoverwrite10*AY$2))/$G103,_xll.qlInterpolationInterpolate(AW$3,$F103,TRUE))</f>
        <v>#NAME?</v>
      </c>
      <c r="AY103" s="439" t="str">
        <f ca="1">IF(AND(NOT(AW103),AND(AW$4:AW102)),MIN(EXP((AX103-$J103)*$G103),1),"")</f>
        <v/>
      </c>
      <c r="BA103" s="440" t="b">
        <f ca="1">IF(AND(NOT(AW103),AND(AW$4:AW102)),TRUE,AW103)</f>
        <v>0</v>
      </c>
      <c r="BB103" s="439" t="e">
        <f ca="1">IF(AND(NOT(ISBLANK(Jumpoverwrite11)),AND(NOT(BA103),AND(BA$4:BA102))),($J103*$G103-LN(1+Jumpoverwrite11*BC$2))/$G103,_xll.qlInterpolationInterpolate(BA$3,$F103,TRUE))</f>
        <v>#NAME?</v>
      </c>
      <c r="BC103" s="439" t="str">
        <f ca="1">IF(AND(NOT(BA103),AND(BA$4:BA102)),MIN(EXP((BB103-$J103)*$G103),1),"")</f>
        <v/>
      </c>
      <c r="BE103" s="440" t="b">
        <f ca="1">IF(AND(NOT(BA103),AND(BA$4:BA102)),TRUE,BA103)</f>
        <v>0</v>
      </c>
      <c r="BF103" s="439" t="e">
        <f ca="1">IF(AND(NOT(ISBLANK(Jumpoverwrite12)),AND(NOT(BE103),AND(BE$4:BE102))),($J103*$G103-LN(1+Jumpoverwrite12*BG$2))/$G103,_xll.qlInterpolationInterpolate(BE$3,$F103,TRUE))</f>
        <v>#NAME?</v>
      </c>
      <c r="BG103" s="439" t="str">
        <f ca="1">IF(AND(NOT(BE103),AND(BE$4:BE102)),MIN(EXP((BF103-$J103)*$G103),1),"")</f>
        <v/>
      </c>
      <c r="BI103" s="440" t="b">
        <f t="shared" ca="1" si="15"/>
        <v>0</v>
      </c>
      <c r="BJ103" s="439" t="e">
        <f ca="1">IF(AND(NOT(ISBLANK(jumpoverwrite13)),AND(NOT(BI103),AND(BI$4:BI102))),($J103*$G103-LN(1+jumpoverwrite13*BK$2))/$G103,_xll.qlInterpolationInterpolate(BI$3,$F103,TRUE))</f>
        <v>#NAME?</v>
      </c>
      <c r="BK103" s="439" t="str">
        <f ca="1">IF(AND(NOT(BI103),AND(BI$4:BI102)),MIN(EXP((BJ103-$J103)*$G103),1),"")</f>
        <v/>
      </c>
    </row>
    <row r="104" spans="1:63" x14ac:dyDescent="0.2">
      <c r="A104" s="438" t="e">
        <f ca="1"/>
        <v>#NAME?</v>
      </c>
      <c r="B104" s="437" t="e">
        <f ca="1">_xll.qlRateHelperRate($A104,InterestRatesTrigger)</f>
        <v>#NAME?</v>
      </c>
      <c r="C104" s="436" t="e">
        <f ca="1">_xll.qlRateHelperEarliestDate($A104)</f>
        <v>#NAME?</v>
      </c>
      <c r="D104" s="435" t="e">
        <f ca="1">_xll.qlRateHelperPillarDate($A104)</f>
        <v>#NAME?</v>
      </c>
      <c r="F104" s="445" t="e">
        <f t="shared" ca="1" si="13"/>
        <v>#N/A</v>
      </c>
      <c r="G104" s="444" t="e">
        <f ca="1">_xll.qlDayCounterYearFraction(DayCounter,D103,D104)</f>
        <v>#NAME?</v>
      </c>
      <c r="I104" s="443" t="b">
        <f t="shared" ca="1" si="14"/>
        <v>0</v>
      </c>
      <c r="J104" s="442" t="e">
        <f ca="1"/>
        <v>#NAME?</v>
      </c>
      <c r="K104" s="441" t="e">
        <f t="shared" ca="1" si="12"/>
        <v>#NAME?</v>
      </c>
      <c r="L104" s="429"/>
      <c r="M104" s="440" t="b">
        <f ca="1">IF(AND(NOT(I104),AND(I$4:I103)),TRUE,I104)</f>
        <v>0</v>
      </c>
      <c r="N104" s="439" t="e">
        <f ca="1">IF(AND(NOT(ISBLANK(Jumpoverwrite1)),AND(NOT(M104),AND(M$4:M103))),($J104*$G104-LN(1+Jumpoverwrite1*O$2))/$G104,_xll.qlInterpolationInterpolate(M$3,$F104,TRUE))</f>
        <v>#NAME?</v>
      </c>
      <c r="O104" s="439" t="str">
        <f ca="1">IF(AND(NOT(M104),AND(M$4:M103)),MIN(EXP((N104-$J104)*$G104),1),"")</f>
        <v/>
      </c>
      <c r="P104" s="428"/>
      <c r="Q104" s="440" t="b">
        <f ca="1">IF(AND(NOT(M104),AND(M$4:M103)),TRUE,M104)</f>
        <v>0</v>
      </c>
      <c r="R104" s="439" t="e">
        <f ca="1">IF(AND(NOT(ISBLANK(Jumpoverwrite2)),AND(NOT(Q104),AND(Q$4:Q103))),($J104*$G104-LN(1+Jumpoverwrite2*S$2))/$G104,_xll.qlInterpolationInterpolate(Q$3,$F104,TRUE))</f>
        <v>#NAME?</v>
      </c>
      <c r="S104" s="439" t="str">
        <f ca="1">IF(AND(NOT(Q104),AND(Q$4:Q103)),MIN(EXP((R104-$J104)*$G104),1),"")</f>
        <v/>
      </c>
      <c r="T104" s="428"/>
      <c r="U104" s="440" t="b">
        <f ca="1">IF(AND(NOT(Q104),AND(Q$4:Q103)),TRUE,Q104)</f>
        <v>0</v>
      </c>
      <c r="V104" s="439" t="e">
        <f ca="1">IF(AND(NOT(ISBLANK(Jumpoverwrite3)),AND(NOT(U104),AND(U$4:U103))),($J104*$G104-LN(1+Jumpoverwrite3*W$2))/$G104,_xll.qlInterpolationInterpolate(U$3,$F104,TRUE))</f>
        <v>#NAME?</v>
      </c>
      <c r="W104" s="439" t="str">
        <f ca="1">IF(AND(NOT(U104),AND(U$4:U103)),MIN(EXP((V104-$J104)*$G104),1),"")</f>
        <v/>
      </c>
      <c r="X104" s="428"/>
      <c r="Y104" s="440" t="b">
        <f ca="1">IF(AND(NOT(U104),AND(U$4:U103)),TRUE,U104)</f>
        <v>0</v>
      </c>
      <c r="Z104" s="439" t="e">
        <f ca="1">IF(AND(NOT(ISBLANK(Jumpoverwrite4)),AND(NOT(Y104),AND(Y$4:Y103))),($J104*$G104-LN(1+Jumpoverwrite4*AA$2))/$G104,_xll.qlInterpolationInterpolate(Y$3,$F104,TRUE))</f>
        <v>#NAME?</v>
      </c>
      <c r="AA104" s="439" t="str">
        <f ca="1">IF(AND(NOT(Y104),AND(Y$4:Y103)),MIN(EXP((Z104-$J104)*$G104),1),"")</f>
        <v/>
      </c>
      <c r="AB104" s="428"/>
      <c r="AC104" s="440" t="b">
        <f ca="1">IF(AND(NOT(Y104),AND(Y$4:Y103)),TRUE,Y104)</f>
        <v>0</v>
      </c>
      <c r="AD104" s="439" t="e">
        <f ca="1">IF(AND(NOT(ISBLANK(Jumpoverwrite5)),AND(NOT(AC104),AND(AC$4:AC103))),($J104*$G104-LN(1+Jumpoverwrite5*AE$2))/$G104,_xll.qlInterpolationInterpolate(AC$3,$F104,TRUE))</f>
        <v>#NAME?</v>
      </c>
      <c r="AE104" s="439" t="str">
        <f ca="1">IF(AND(NOT(AC104),AND(AC$4:AC103)),MIN(EXP((AD104-$J104)*$G104),1),"")</f>
        <v/>
      </c>
      <c r="AF104" s="428"/>
      <c r="AG104" s="440" t="b">
        <f ca="1">IF(AND(NOT(AC104),AND(AC$4:AC103)),TRUE,AC104)</f>
        <v>0</v>
      </c>
      <c r="AH104" s="439" t="e">
        <f ca="1">IF(AND(NOT(ISBLANK(Jumpoverwrite6)),AND(NOT(AG104),AND(AG$4:AG103))),($J104*$G104-LN(1+Jumpoverwrite6*AI$2))/$G104,_xll.qlInterpolationInterpolate(AG$3,$F104,TRUE))</f>
        <v>#NAME?</v>
      </c>
      <c r="AI104" s="439" t="str">
        <f ca="1">IF(AND(NOT(AG104),AND(AG$4:AG103)),MIN(EXP((AH104-$J104)*$G104),1),"")</f>
        <v/>
      </c>
      <c r="AJ104" s="428"/>
      <c r="AK104" s="440" t="b">
        <f ca="1">IF(AND(NOT(AG104),AND(AG$4:AG103)),TRUE,AG104)</f>
        <v>0</v>
      </c>
      <c r="AL104" s="439" t="e">
        <f ca="1">IF(AND(NOT(ISBLANK(Jumpoverwrite7)),AND(NOT(AK104),AND(AK$4:AK103))),($J104*$G104-LN(1+Jumpoverwrite7*AM$2))/$G104,_xll.qlInterpolationInterpolate(AK$3,$F104,TRUE))</f>
        <v>#NAME?</v>
      </c>
      <c r="AM104" s="439" t="str">
        <f ca="1">IF(AND(NOT(AK104),AND(AK$4:AK103)),MIN(EXP((AL104-$J104)*$G104),1),"")</f>
        <v/>
      </c>
      <c r="AO104" s="440" t="b">
        <f ca="1">IF(AND(NOT(AK104),AND(AK$4:AK103)),TRUE,AK104)</f>
        <v>0</v>
      </c>
      <c r="AP104" s="439" t="e">
        <f ca="1">IF(AND(NOT(ISBLANK(Jumpoverwrite8)),AND(NOT(AO104),AND(AO$4:AO103))),($J104*$G104-LN(1+Jumpoverwrite8*AQ$2))/$G104,_xll.qlInterpolationInterpolate(AO$3,$F104,TRUE))</f>
        <v>#NAME?</v>
      </c>
      <c r="AQ104" s="439" t="str">
        <f ca="1">IF(AND(NOT(AO104),AND(AO$4:AO103)),MIN(EXP((AP104-$J104)*$G104),1),"")</f>
        <v/>
      </c>
      <c r="AS104" s="440" t="b">
        <f ca="1">IF(AND(NOT(AO104),AND(AO$4:AO103)),TRUE,AO104)</f>
        <v>0</v>
      </c>
      <c r="AT104" s="439" t="e">
        <f ca="1">IF(AND(NOT(ISBLANK(Jumpoverwrite9)),AND(NOT(AS104),AND(AS$4:AS103))),($J104*$G104-LN(1+Jumpoverwrite9*AU$2))/$G104,_xll.qlInterpolationInterpolate(AS$3,$F104,TRUE))</f>
        <v>#NAME?</v>
      </c>
      <c r="AU104" s="439" t="str">
        <f ca="1">IF(AND(NOT(AS104),AND(AS$4:AS103)),MIN(EXP((AT104-$J104)*$G104),1),"")</f>
        <v/>
      </c>
      <c r="AW104" s="440" t="b">
        <f ca="1">IF(AND(NOT(AS104),AND(AS$4:AS103)),TRUE,AS104)</f>
        <v>0</v>
      </c>
      <c r="AX104" s="439" t="e">
        <f ca="1">IF(AND(NOT(ISBLANK(Jumpoverwrite10)),AND(NOT(AW104),AND(AW$4:AW103))),($J104*$G104-LN(1+Jumpoverwrite10*AY$2))/$G104,_xll.qlInterpolationInterpolate(AW$3,$F104,TRUE))</f>
        <v>#NAME?</v>
      </c>
      <c r="AY104" s="439" t="str">
        <f ca="1">IF(AND(NOT(AW104),AND(AW$4:AW103)),MIN(EXP((AX104-$J104)*$G104),1),"")</f>
        <v/>
      </c>
      <c r="BA104" s="440" t="b">
        <f ca="1">IF(AND(NOT(AW104),AND(AW$4:AW103)),TRUE,AW104)</f>
        <v>0</v>
      </c>
      <c r="BB104" s="439" t="e">
        <f ca="1">IF(AND(NOT(ISBLANK(Jumpoverwrite11)),AND(NOT(BA104),AND(BA$4:BA103))),($J104*$G104-LN(1+Jumpoverwrite11*BC$2))/$G104,_xll.qlInterpolationInterpolate(BA$3,$F104,TRUE))</f>
        <v>#NAME?</v>
      </c>
      <c r="BC104" s="439" t="str">
        <f ca="1">IF(AND(NOT(BA104),AND(BA$4:BA103)),MIN(EXP((BB104-$J104)*$G104),1),"")</f>
        <v/>
      </c>
      <c r="BE104" s="440" t="b">
        <f ca="1">IF(AND(NOT(BA104),AND(BA$4:BA103)),TRUE,BA104)</f>
        <v>0</v>
      </c>
      <c r="BF104" s="439" t="e">
        <f ca="1">IF(AND(NOT(ISBLANK(Jumpoverwrite12)),AND(NOT(BE104),AND(BE$4:BE103))),($J104*$G104-LN(1+Jumpoverwrite12*BG$2))/$G104,_xll.qlInterpolationInterpolate(BE$3,$F104,TRUE))</f>
        <v>#NAME?</v>
      </c>
      <c r="BG104" s="439" t="str">
        <f ca="1">IF(AND(NOT(BE104),AND(BE$4:BE103)),MIN(EXP((BF104-$J104)*$G104),1),"")</f>
        <v/>
      </c>
      <c r="BI104" s="440" t="b">
        <f t="shared" ca="1" si="15"/>
        <v>0</v>
      </c>
      <c r="BJ104" s="439" t="e">
        <f ca="1">IF(AND(NOT(ISBLANK(jumpoverwrite13)),AND(NOT(BI104),AND(BI$4:BI103))),($J104*$G104-LN(1+jumpoverwrite13*BK$2))/$G104,_xll.qlInterpolationInterpolate(BI$3,$F104,TRUE))</f>
        <v>#NAME?</v>
      </c>
      <c r="BK104" s="439" t="str">
        <f ca="1">IF(AND(NOT(BI104),AND(BI$4:BI103)),MIN(EXP((BJ104-$J104)*$G104),1),"")</f>
        <v/>
      </c>
    </row>
    <row r="105" spans="1:63" x14ac:dyDescent="0.2">
      <c r="A105" s="438" t="e">
        <f ca="1"/>
        <v>#NAME?</v>
      </c>
      <c r="B105" s="437" t="e">
        <f ca="1">_xll.qlRateHelperRate($A105,InterestRatesTrigger)</f>
        <v>#NAME?</v>
      </c>
      <c r="C105" s="436" t="e">
        <f ca="1">_xll.qlRateHelperEarliestDate($A105)</f>
        <v>#NAME?</v>
      </c>
      <c r="D105" s="435" t="e">
        <f ca="1">_xll.qlRateHelperPillarDate($A105)</f>
        <v>#NAME?</v>
      </c>
      <c r="F105" s="445" t="e">
        <f t="shared" ca="1" si="13"/>
        <v>#N/A</v>
      </c>
      <c r="G105" s="444" t="e">
        <f ca="1">_xll.qlDayCounterYearFraction(DayCounter,D104,D105)</f>
        <v>#NAME?</v>
      </c>
      <c r="I105" s="443" t="b">
        <f t="shared" ca="1" si="14"/>
        <v>0</v>
      </c>
      <c r="J105" s="442" t="e">
        <f ca="1"/>
        <v>#NAME?</v>
      </c>
      <c r="K105" s="441" t="e">
        <f t="shared" ca="1" si="12"/>
        <v>#NAME?</v>
      </c>
      <c r="L105" s="429"/>
      <c r="M105" s="440" t="b">
        <f ca="1">IF(AND(NOT(I105),AND(I$4:I104)),TRUE,I105)</f>
        <v>0</v>
      </c>
      <c r="N105" s="439" t="e">
        <f ca="1">IF(AND(NOT(ISBLANK(Jumpoverwrite1)),AND(NOT(M105),AND(M$4:M104))),($J105*$G105-LN(1+Jumpoverwrite1*O$2))/$G105,_xll.qlInterpolationInterpolate(M$3,$F105,TRUE))</f>
        <v>#NAME?</v>
      </c>
      <c r="O105" s="439" t="str">
        <f ca="1">IF(AND(NOT(M105),AND(M$4:M104)),MIN(EXP((N105-$J105)*$G105),1),"")</f>
        <v/>
      </c>
      <c r="P105" s="428"/>
      <c r="Q105" s="440" t="b">
        <f ca="1">IF(AND(NOT(M105),AND(M$4:M104)),TRUE,M105)</f>
        <v>0</v>
      </c>
      <c r="R105" s="439" t="e">
        <f ca="1">IF(AND(NOT(ISBLANK(Jumpoverwrite2)),AND(NOT(Q105),AND(Q$4:Q104))),($J105*$G105-LN(1+Jumpoverwrite2*S$2))/$G105,_xll.qlInterpolationInterpolate(Q$3,$F105,TRUE))</f>
        <v>#NAME?</v>
      </c>
      <c r="S105" s="439" t="str">
        <f ca="1">IF(AND(NOT(Q105),AND(Q$4:Q104)),MIN(EXP((R105-$J105)*$G105),1),"")</f>
        <v/>
      </c>
      <c r="T105" s="428"/>
      <c r="U105" s="440" t="b">
        <f ca="1">IF(AND(NOT(Q105),AND(Q$4:Q104)),TRUE,Q105)</f>
        <v>0</v>
      </c>
      <c r="V105" s="439" t="e">
        <f ca="1">IF(AND(NOT(ISBLANK(Jumpoverwrite3)),AND(NOT(U105),AND(U$4:U104))),($J105*$G105-LN(1+Jumpoverwrite3*W$2))/$G105,_xll.qlInterpolationInterpolate(U$3,$F105,TRUE))</f>
        <v>#NAME?</v>
      </c>
      <c r="W105" s="439" t="str">
        <f ca="1">IF(AND(NOT(U105),AND(U$4:U104)),MIN(EXP((V105-$J105)*$G105),1),"")</f>
        <v/>
      </c>
      <c r="X105" s="428"/>
      <c r="Y105" s="440" t="b">
        <f ca="1">IF(AND(NOT(U105),AND(U$4:U104)),TRUE,U105)</f>
        <v>0</v>
      </c>
      <c r="Z105" s="439" t="e">
        <f ca="1">IF(AND(NOT(ISBLANK(Jumpoverwrite4)),AND(NOT(Y105),AND(Y$4:Y104))),($J105*$G105-LN(1+Jumpoverwrite4*AA$2))/$G105,_xll.qlInterpolationInterpolate(Y$3,$F105,TRUE))</f>
        <v>#NAME?</v>
      </c>
      <c r="AA105" s="439" t="str">
        <f ca="1">IF(AND(NOT(Y105),AND(Y$4:Y104)),MIN(EXP((Z105-$J105)*$G105),1),"")</f>
        <v/>
      </c>
      <c r="AB105" s="428"/>
      <c r="AC105" s="440" t="b">
        <f ca="1">IF(AND(NOT(Y105),AND(Y$4:Y104)),TRUE,Y105)</f>
        <v>0</v>
      </c>
      <c r="AD105" s="439" t="e">
        <f ca="1">IF(AND(NOT(ISBLANK(Jumpoverwrite5)),AND(NOT(AC105),AND(AC$4:AC104))),($J105*$G105-LN(1+Jumpoverwrite5*AE$2))/$G105,_xll.qlInterpolationInterpolate(AC$3,$F105,TRUE))</f>
        <v>#NAME?</v>
      </c>
      <c r="AE105" s="439" t="str">
        <f ca="1">IF(AND(NOT(AC105),AND(AC$4:AC104)),MIN(EXP((AD105-$J105)*$G105),1),"")</f>
        <v/>
      </c>
      <c r="AF105" s="428"/>
      <c r="AG105" s="440" t="b">
        <f ca="1">IF(AND(NOT(AC105),AND(AC$4:AC104)),TRUE,AC105)</f>
        <v>0</v>
      </c>
      <c r="AH105" s="439" t="e">
        <f ca="1">IF(AND(NOT(ISBLANK(Jumpoverwrite6)),AND(NOT(AG105),AND(AG$4:AG104))),($J105*$G105-LN(1+Jumpoverwrite6*AI$2))/$G105,_xll.qlInterpolationInterpolate(AG$3,$F105,TRUE))</f>
        <v>#NAME?</v>
      </c>
      <c r="AI105" s="439" t="str">
        <f ca="1">IF(AND(NOT(AG105),AND(AG$4:AG104)),MIN(EXP((AH105-$J105)*$G105),1),"")</f>
        <v/>
      </c>
      <c r="AJ105" s="428"/>
      <c r="AK105" s="440" t="b">
        <f ca="1">IF(AND(NOT(AG105),AND(AG$4:AG104)),TRUE,AG105)</f>
        <v>0</v>
      </c>
      <c r="AL105" s="439" t="e">
        <f ca="1">IF(AND(NOT(ISBLANK(Jumpoverwrite7)),AND(NOT(AK105),AND(AK$4:AK104))),($J105*$G105-LN(1+Jumpoverwrite7*AM$2))/$G105,_xll.qlInterpolationInterpolate(AK$3,$F105,TRUE))</f>
        <v>#NAME?</v>
      </c>
      <c r="AM105" s="439" t="str">
        <f ca="1">IF(AND(NOT(AK105),AND(AK$4:AK104)),MIN(EXP((AL105-$J105)*$G105),1),"")</f>
        <v/>
      </c>
      <c r="AO105" s="440" t="b">
        <f ca="1">IF(AND(NOT(AK105),AND(AK$4:AK104)),TRUE,AK105)</f>
        <v>0</v>
      </c>
      <c r="AP105" s="439" t="e">
        <f ca="1">IF(AND(NOT(ISBLANK(Jumpoverwrite8)),AND(NOT(AO105),AND(AO$4:AO104))),($J105*$G105-LN(1+Jumpoverwrite8*AQ$2))/$G105,_xll.qlInterpolationInterpolate(AO$3,$F105,TRUE))</f>
        <v>#NAME?</v>
      </c>
      <c r="AQ105" s="439" t="str">
        <f ca="1">IF(AND(NOT(AO105),AND(AO$4:AO104)),MIN(EXP((AP105-$J105)*$G105),1),"")</f>
        <v/>
      </c>
      <c r="AS105" s="440" t="b">
        <f ca="1">IF(AND(NOT(AO105),AND(AO$4:AO104)),TRUE,AO105)</f>
        <v>0</v>
      </c>
      <c r="AT105" s="439" t="e">
        <f ca="1">IF(AND(NOT(ISBLANK(Jumpoverwrite9)),AND(NOT(AS105),AND(AS$4:AS104))),($J105*$G105-LN(1+Jumpoverwrite9*AU$2))/$G105,_xll.qlInterpolationInterpolate(AS$3,$F105,TRUE))</f>
        <v>#NAME?</v>
      </c>
      <c r="AU105" s="439" t="str">
        <f ca="1">IF(AND(NOT(AS105),AND(AS$4:AS104)),MIN(EXP((AT105-$J105)*$G105),1),"")</f>
        <v/>
      </c>
      <c r="AW105" s="440" t="b">
        <f ca="1">IF(AND(NOT(AS105),AND(AS$4:AS104)),TRUE,AS105)</f>
        <v>0</v>
      </c>
      <c r="AX105" s="439" t="e">
        <f ca="1">IF(AND(NOT(ISBLANK(Jumpoverwrite10)),AND(NOT(AW105),AND(AW$4:AW104))),($J105*$G105-LN(1+Jumpoverwrite10*AY$2))/$G105,_xll.qlInterpolationInterpolate(AW$3,$F105,TRUE))</f>
        <v>#NAME?</v>
      </c>
      <c r="AY105" s="439" t="str">
        <f ca="1">IF(AND(NOT(AW105),AND(AW$4:AW104)),MIN(EXP((AX105-$J105)*$G105),1),"")</f>
        <v/>
      </c>
      <c r="BA105" s="440" t="b">
        <f ca="1">IF(AND(NOT(AW105),AND(AW$4:AW104)),TRUE,AW105)</f>
        <v>0</v>
      </c>
      <c r="BB105" s="439" t="e">
        <f ca="1">IF(AND(NOT(ISBLANK(Jumpoverwrite11)),AND(NOT(BA105),AND(BA$4:BA104))),($J105*$G105-LN(1+Jumpoverwrite11*BC$2))/$G105,_xll.qlInterpolationInterpolate(BA$3,$F105,TRUE))</f>
        <v>#NAME?</v>
      </c>
      <c r="BC105" s="439" t="str">
        <f ca="1">IF(AND(NOT(BA105),AND(BA$4:BA104)),MIN(EXP((BB105-$J105)*$G105),1),"")</f>
        <v/>
      </c>
      <c r="BE105" s="440" t="b">
        <f ca="1">IF(AND(NOT(BA105),AND(BA$4:BA104)),TRUE,BA105)</f>
        <v>0</v>
      </c>
      <c r="BF105" s="439" t="e">
        <f ca="1">IF(AND(NOT(ISBLANK(Jumpoverwrite12)),AND(NOT(BE105),AND(BE$4:BE104))),($J105*$G105-LN(1+Jumpoverwrite12*BG$2))/$G105,_xll.qlInterpolationInterpolate(BE$3,$F105,TRUE))</f>
        <v>#NAME?</v>
      </c>
      <c r="BG105" s="439" t="str">
        <f ca="1">IF(AND(NOT(BE105),AND(BE$4:BE104)),MIN(EXP((BF105-$J105)*$G105),1),"")</f>
        <v/>
      </c>
      <c r="BI105" s="440" t="b">
        <f t="shared" ca="1" si="15"/>
        <v>0</v>
      </c>
      <c r="BJ105" s="439" t="e">
        <f ca="1">IF(AND(NOT(ISBLANK(jumpoverwrite13)),AND(NOT(BI105),AND(BI$4:BI104))),($J105*$G105-LN(1+jumpoverwrite13*BK$2))/$G105,_xll.qlInterpolationInterpolate(BI$3,$F105,TRUE))</f>
        <v>#NAME?</v>
      </c>
      <c r="BK105" s="439" t="str">
        <f ca="1">IF(AND(NOT(BI105),AND(BI$4:BI104)),MIN(EXP((BJ105-$J105)*$G105),1),"")</f>
        <v/>
      </c>
    </row>
    <row r="106" spans="1:63" x14ac:dyDescent="0.2">
      <c r="A106" s="438" t="e">
        <f ca="1"/>
        <v>#NAME?</v>
      </c>
      <c r="B106" s="437" t="e">
        <f ca="1">_xll.qlRateHelperRate($A106,InterestRatesTrigger)</f>
        <v>#NAME?</v>
      </c>
      <c r="C106" s="436" t="e">
        <f ca="1">_xll.qlRateHelperEarliestDate($A106)</f>
        <v>#NAME?</v>
      </c>
      <c r="D106" s="435" t="e">
        <f ca="1">_xll.qlRateHelperPillarDate($A106)</f>
        <v>#NAME?</v>
      </c>
      <c r="F106" s="445" t="e">
        <f t="shared" ca="1" si="13"/>
        <v>#N/A</v>
      </c>
      <c r="G106" s="444" t="e">
        <f ca="1">_xll.qlDayCounterYearFraction(DayCounter,D105,D106)</f>
        <v>#NAME?</v>
      </c>
      <c r="I106" s="443" t="b">
        <f t="shared" ca="1" si="14"/>
        <v>0</v>
      </c>
      <c r="J106" s="442" t="e">
        <f ca="1"/>
        <v>#NAME?</v>
      </c>
      <c r="K106" s="441" t="e">
        <f t="shared" ca="1" si="12"/>
        <v>#NAME?</v>
      </c>
      <c r="L106" s="429"/>
      <c r="M106" s="440" t="b">
        <f ca="1">IF(AND(NOT(I106),AND(I$4:I105)),TRUE,I106)</f>
        <v>0</v>
      </c>
      <c r="N106" s="439" t="e">
        <f ca="1">IF(AND(NOT(ISBLANK(Jumpoverwrite1)),AND(NOT(M106),AND(M$4:M105))),($J106*$G106-LN(1+Jumpoverwrite1*O$2))/$G106,_xll.qlInterpolationInterpolate(M$3,$F106,TRUE))</f>
        <v>#NAME?</v>
      </c>
      <c r="O106" s="439" t="str">
        <f ca="1">IF(AND(NOT(M106),AND(M$4:M105)),MIN(EXP((N106-$J106)*$G106),1),"")</f>
        <v/>
      </c>
      <c r="P106" s="428"/>
      <c r="Q106" s="440" t="b">
        <f ca="1">IF(AND(NOT(M106),AND(M$4:M105)),TRUE,M106)</f>
        <v>0</v>
      </c>
      <c r="R106" s="439" t="e">
        <f ca="1">IF(AND(NOT(ISBLANK(Jumpoverwrite2)),AND(NOT(Q106),AND(Q$4:Q105))),($J106*$G106-LN(1+Jumpoverwrite2*S$2))/$G106,_xll.qlInterpolationInterpolate(Q$3,$F106,TRUE))</f>
        <v>#NAME?</v>
      </c>
      <c r="S106" s="439" t="str">
        <f ca="1">IF(AND(NOT(Q106),AND(Q$4:Q105)),MIN(EXP((R106-$J106)*$G106),1),"")</f>
        <v/>
      </c>
      <c r="T106" s="428"/>
      <c r="U106" s="440" t="b">
        <f ca="1">IF(AND(NOT(Q106),AND(Q$4:Q105)),TRUE,Q106)</f>
        <v>0</v>
      </c>
      <c r="V106" s="439" t="e">
        <f ca="1">IF(AND(NOT(ISBLANK(Jumpoverwrite3)),AND(NOT(U106),AND(U$4:U105))),($J106*$G106-LN(1+Jumpoverwrite3*W$2))/$G106,_xll.qlInterpolationInterpolate(U$3,$F106,TRUE))</f>
        <v>#NAME?</v>
      </c>
      <c r="W106" s="439" t="str">
        <f ca="1">IF(AND(NOT(U106),AND(U$4:U105)),MIN(EXP((V106-$J106)*$G106),1),"")</f>
        <v/>
      </c>
      <c r="X106" s="428"/>
      <c r="Y106" s="440" t="b">
        <f ca="1">IF(AND(NOT(U106),AND(U$4:U105)),TRUE,U106)</f>
        <v>0</v>
      </c>
      <c r="Z106" s="439" t="e">
        <f ca="1">IF(AND(NOT(ISBLANK(Jumpoverwrite4)),AND(NOT(Y106),AND(Y$4:Y105))),($J106*$G106-LN(1+Jumpoverwrite4*AA$2))/$G106,_xll.qlInterpolationInterpolate(Y$3,$F106,TRUE))</f>
        <v>#NAME?</v>
      </c>
      <c r="AA106" s="439" t="str">
        <f ca="1">IF(AND(NOT(Y106),AND(Y$4:Y105)),MIN(EXP((Z106-$J106)*$G106),1),"")</f>
        <v/>
      </c>
      <c r="AB106" s="428"/>
      <c r="AC106" s="440" t="b">
        <f ca="1">IF(AND(NOT(Y106),AND(Y$4:Y105)),TRUE,Y106)</f>
        <v>0</v>
      </c>
      <c r="AD106" s="439" t="e">
        <f ca="1">IF(AND(NOT(ISBLANK(Jumpoverwrite5)),AND(NOT(AC106),AND(AC$4:AC105))),($J106*$G106-LN(1+Jumpoverwrite5*AE$2))/$G106,_xll.qlInterpolationInterpolate(AC$3,$F106,TRUE))</f>
        <v>#NAME?</v>
      </c>
      <c r="AE106" s="439" t="str">
        <f ca="1">IF(AND(NOT(AC106),AND(AC$4:AC105)),MIN(EXP((AD106-$J106)*$G106),1),"")</f>
        <v/>
      </c>
      <c r="AF106" s="428"/>
      <c r="AG106" s="440" t="b">
        <f ca="1">IF(AND(NOT(AC106),AND(AC$4:AC105)),TRUE,AC106)</f>
        <v>0</v>
      </c>
      <c r="AH106" s="439" t="e">
        <f ca="1">IF(AND(NOT(ISBLANK(Jumpoverwrite6)),AND(NOT(AG106),AND(AG$4:AG105))),($J106*$G106-LN(1+Jumpoverwrite6*AI$2))/$G106,_xll.qlInterpolationInterpolate(AG$3,$F106,TRUE))</f>
        <v>#NAME?</v>
      </c>
      <c r="AI106" s="439" t="str">
        <f ca="1">IF(AND(NOT(AG106),AND(AG$4:AG105)),MIN(EXP((AH106-$J106)*$G106),1),"")</f>
        <v/>
      </c>
      <c r="AJ106" s="428"/>
      <c r="AK106" s="440" t="b">
        <f ca="1">IF(AND(NOT(AG106),AND(AG$4:AG105)),TRUE,AG106)</f>
        <v>0</v>
      </c>
      <c r="AL106" s="439" t="e">
        <f ca="1">IF(AND(NOT(ISBLANK(Jumpoverwrite7)),AND(NOT(AK106),AND(AK$4:AK105))),($J106*$G106-LN(1+Jumpoverwrite7*AM$2))/$G106,_xll.qlInterpolationInterpolate(AK$3,$F106,TRUE))</f>
        <v>#NAME?</v>
      </c>
      <c r="AM106" s="439" t="str">
        <f ca="1">IF(AND(NOT(AK106),AND(AK$4:AK105)),MIN(EXP((AL106-$J106)*$G106),1),"")</f>
        <v/>
      </c>
      <c r="AO106" s="440" t="b">
        <f ca="1">IF(AND(NOT(AK106),AND(AK$4:AK105)),TRUE,AK106)</f>
        <v>0</v>
      </c>
      <c r="AP106" s="439" t="e">
        <f ca="1">IF(AND(NOT(ISBLANK(Jumpoverwrite8)),AND(NOT(AO106),AND(AO$4:AO105))),($J106*$G106-LN(1+Jumpoverwrite8*AQ$2))/$G106,_xll.qlInterpolationInterpolate(AO$3,$F106,TRUE))</f>
        <v>#NAME?</v>
      </c>
      <c r="AQ106" s="439" t="str">
        <f ca="1">IF(AND(NOT(AO106),AND(AO$4:AO105)),MIN(EXP((AP106-$J106)*$G106),1),"")</f>
        <v/>
      </c>
      <c r="AS106" s="440" t="b">
        <f ca="1">IF(AND(NOT(AO106),AND(AO$4:AO105)),TRUE,AO106)</f>
        <v>0</v>
      </c>
      <c r="AT106" s="439" t="e">
        <f ca="1">IF(AND(NOT(ISBLANK(Jumpoverwrite9)),AND(NOT(AS106),AND(AS$4:AS105))),($J106*$G106-LN(1+Jumpoverwrite9*AU$2))/$G106,_xll.qlInterpolationInterpolate(AS$3,$F106,TRUE))</f>
        <v>#NAME?</v>
      </c>
      <c r="AU106" s="439" t="str">
        <f ca="1">IF(AND(NOT(AS106),AND(AS$4:AS105)),MIN(EXP((AT106-$J106)*$G106),1),"")</f>
        <v/>
      </c>
      <c r="AW106" s="440" t="b">
        <f ca="1">IF(AND(NOT(AS106),AND(AS$4:AS105)),TRUE,AS106)</f>
        <v>0</v>
      </c>
      <c r="AX106" s="439" t="e">
        <f ca="1">IF(AND(NOT(ISBLANK(Jumpoverwrite10)),AND(NOT(AW106),AND(AW$4:AW105))),($J106*$G106-LN(1+Jumpoverwrite10*AY$2))/$G106,_xll.qlInterpolationInterpolate(AW$3,$F106,TRUE))</f>
        <v>#NAME?</v>
      </c>
      <c r="AY106" s="439" t="str">
        <f ca="1">IF(AND(NOT(AW106),AND(AW$4:AW105)),MIN(EXP((AX106-$J106)*$G106),1),"")</f>
        <v/>
      </c>
      <c r="BA106" s="440" t="b">
        <f ca="1">IF(AND(NOT(AW106),AND(AW$4:AW105)),TRUE,AW106)</f>
        <v>0</v>
      </c>
      <c r="BB106" s="439" t="e">
        <f ca="1">IF(AND(NOT(ISBLANK(Jumpoverwrite11)),AND(NOT(BA106),AND(BA$4:BA105))),($J106*$G106-LN(1+Jumpoverwrite11*BC$2))/$G106,_xll.qlInterpolationInterpolate(BA$3,$F106,TRUE))</f>
        <v>#NAME?</v>
      </c>
      <c r="BC106" s="439" t="str">
        <f ca="1">IF(AND(NOT(BA106),AND(BA$4:BA105)),MIN(EXP((BB106-$J106)*$G106),1),"")</f>
        <v/>
      </c>
      <c r="BE106" s="440" t="b">
        <f ca="1">IF(AND(NOT(BA106),AND(BA$4:BA105)),TRUE,BA106)</f>
        <v>0</v>
      </c>
      <c r="BF106" s="439" t="e">
        <f ca="1">IF(AND(NOT(ISBLANK(Jumpoverwrite12)),AND(NOT(BE106),AND(BE$4:BE105))),($J106*$G106-LN(1+Jumpoverwrite12*BG$2))/$G106,_xll.qlInterpolationInterpolate(BE$3,$F106,TRUE))</f>
        <v>#NAME?</v>
      </c>
      <c r="BG106" s="439" t="str">
        <f ca="1">IF(AND(NOT(BE106),AND(BE$4:BE105)),MIN(EXP((BF106-$J106)*$G106),1),"")</f>
        <v/>
      </c>
      <c r="BI106" s="440" t="b">
        <f t="shared" ca="1" si="15"/>
        <v>0</v>
      </c>
      <c r="BJ106" s="439" t="e">
        <f ca="1">IF(AND(NOT(ISBLANK(jumpoverwrite13)),AND(NOT(BI106),AND(BI$4:BI105))),($J106*$G106-LN(1+jumpoverwrite13*BK$2))/$G106,_xll.qlInterpolationInterpolate(BI$3,$F106,TRUE))</f>
        <v>#NAME?</v>
      </c>
      <c r="BK106" s="439" t="str">
        <f ca="1">IF(AND(NOT(BI106),AND(BI$4:BI105)),MIN(EXP((BJ106-$J106)*$G106),1),"")</f>
        <v/>
      </c>
    </row>
    <row r="107" spans="1:63" x14ac:dyDescent="0.2">
      <c r="A107" s="438" t="e">
        <f ca="1"/>
        <v>#NAME?</v>
      </c>
      <c r="B107" s="437" t="e">
        <f ca="1">_xll.qlRateHelperRate($A107,InterestRatesTrigger)</f>
        <v>#NAME?</v>
      </c>
      <c r="C107" s="436" t="e">
        <f ca="1">_xll.qlRateHelperEarliestDate($A107)</f>
        <v>#NAME?</v>
      </c>
      <c r="D107" s="435" t="e">
        <f ca="1">_xll.qlRateHelperPillarDate($A107)</f>
        <v>#NAME?</v>
      </c>
      <c r="F107" s="445" t="e">
        <f t="shared" ca="1" si="13"/>
        <v>#N/A</v>
      </c>
      <c r="G107" s="444" t="e">
        <f ca="1">_xll.qlDayCounterYearFraction(DayCounter,D106,D107)</f>
        <v>#NAME?</v>
      </c>
      <c r="I107" s="443" t="b">
        <f t="shared" ca="1" si="14"/>
        <v>0</v>
      </c>
      <c r="J107" s="442" t="e">
        <f ca="1"/>
        <v>#NAME?</v>
      </c>
      <c r="K107" s="441" t="e">
        <f t="shared" ca="1" si="12"/>
        <v>#NAME?</v>
      </c>
      <c r="L107" s="429"/>
      <c r="M107" s="440" t="b">
        <f ca="1">IF(AND(NOT(I107),AND(I$4:I106)),TRUE,I107)</f>
        <v>0</v>
      </c>
      <c r="N107" s="439" t="e">
        <f ca="1">IF(AND(NOT(ISBLANK(Jumpoverwrite1)),AND(NOT(M107),AND(M$4:M106))),($J107*$G107-LN(1+Jumpoverwrite1*O$2))/$G107,_xll.qlInterpolationInterpolate(M$3,$F107,TRUE))</f>
        <v>#NAME?</v>
      </c>
      <c r="O107" s="439" t="str">
        <f ca="1">IF(AND(NOT(M107),AND(M$4:M106)),MIN(EXP((N107-$J107)*$G107),1),"")</f>
        <v/>
      </c>
      <c r="P107" s="428"/>
      <c r="Q107" s="440" t="b">
        <f ca="1">IF(AND(NOT(M107),AND(M$4:M106)),TRUE,M107)</f>
        <v>0</v>
      </c>
      <c r="R107" s="439" t="e">
        <f ca="1">IF(AND(NOT(ISBLANK(Jumpoverwrite2)),AND(NOT(Q107),AND(Q$4:Q106))),($J107*$G107-LN(1+Jumpoverwrite2*S$2))/$G107,_xll.qlInterpolationInterpolate(Q$3,$F107,TRUE))</f>
        <v>#NAME?</v>
      </c>
      <c r="S107" s="439" t="str">
        <f ca="1">IF(AND(NOT(Q107),AND(Q$4:Q106)),MIN(EXP((R107-$J107)*$G107),1),"")</f>
        <v/>
      </c>
      <c r="T107" s="428"/>
      <c r="U107" s="440" t="b">
        <f ca="1">IF(AND(NOT(Q107),AND(Q$4:Q106)),TRUE,Q107)</f>
        <v>0</v>
      </c>
      <c r="V107" s="439" t="e">
        <f ca="1">IF(AND(NOT(ISBLANK(Jumpoverwrite3)),AND(NOT(U107),AND(U$4:U106))),($J107*$G107-LN(1+Jumpoverwrite3*W$2))/$G107,_xll.qlInterpolationInterpolate(U$3,$F107,TRUE))</f>
        <v>#NAME?</v>
      </c>
      <c r="W107" s="439" t="str">
        <f ca="1">IF(AND(NOT(U107),AND(U$4:U106)),MIN(EXP((V107-$J107)*$G107),1),"")</f>
        <v/>
      </c>
      <c r="X107" s="428"/>
      <c r="Y107" s="440" t="b">
        <f ca="1">IF(AND(NOT(U107),AND(U$4:U106)),TRUE,U107)</f>
        <v>0</v>
      </c>
      <c r="Z107" s="439" t="e">
        <f ca="1">IF(AND(NOT(ISBLANK(Jumpoverwrite4)),AND(NOT(Y107),AND(Y$4:Y106))),($J107*$G107-LN(1+Jumpoverwrite4*AA$2))/$G107,_xll.qlInterpolationInterpolate(Y$3,$F107,TRUE))</f>
        <v>#NAME?</v>
      </c>
      <c r="AA107" s="439" t="str">
        <f ca="1">IF(AND(NOT(Y107),AND(Y$4:Y106)),MIN(EXP((Z107-$J107)*$G107),1),"")</f>
        <v/>
      </c>
      <c r="AB107" s="428"/>
      <c r="AC107" s="440" t="b">
        <f ca="1">IF(AND(NOT(Y107),AND(Y$4:Y106)),TRUE,Y107)</f>
        <v>0</v>
      </c>
      <c r="AD107" s="439" t="e">
        <f ca="1">IF(AND(NOT(ISBLANK(Jumpoverwrite5)),AND(NOT(AC107),AND(AC$4:AC106))),($J107*$G107-LN(1+Jumpoverwrite5*AE$2))/$G107,_xll.qlInterpolationInterpolate(AC$3,$F107,TRUE))</f>
        <v>#NAME?</v>
      </c>
      <c r="AE107" s="439" t="str">
        <f ca="1">IF(AND(NOT(AC107),AND(AC$4:AC106)),MIN(EXP((AD107-$J107)*$G107),1),"")</f>
        <v/>
      </c>
      <c r="AF107" s="428"/>
      <c r="AG107" s="440" t="b">
        <f ca="1">IF(AND(NOT(AC107),AND(AC$4:AC106)),TRUE,AC107)</f>
        <v>0</v>
      </c>
      <c r="AH107" s="439" t="e">
        <f ca="1">IF(AND(NOT(ISBLANK(Jumpoverwrite6)),AND(NOT(AG107),AND(AG$4:AG106))),($J107*$G107-LN(1+Jumpoverwrite6*AI$2))/$G107,_xll.qlInterpolationInterpolate(AG$3,$F107,TRUE))</f>
        <v>#NAME?</v>
      </c>
      <c r="AI107" s="439" t="str">
        <f ca="1">IF(AND(NOT(AG107),AND(AG$4:AG106)),MIN(EXP((AH107-$J107)*$G107),1),"")</f>
        <v/>
      </c>
      <c r="AJ107" s="428"/>
      <c r="AK107" s="440" t="b">
        <f ca="1">IF(AND(NOT(AG107),AND(AG$4:AG106)),TRUE,AG107)</f>
        <v>0</v>
      </c>
      <c r="AL107" s="439" t="e">
        <f ca="1">IF(AND(NOT(ISBLANK(Jumpoverwrite7)),AND(NOT(AK107),AND(AK$4:AK106))),($J107*$G107-LN(1+Jumpoverwrite7*AM$2))/$G107,_xll.qlInterpolationInterpolate(AK$3,$F107,TRUE))</f>
        <v>#NAME?</v>
      </c>
      <c r="AM107" s="439" t="str">
        <f ca="1">IF(AND(NOT(AK107),AND(AK$4:AK106)),MIN(EXP((AL107-$J107)*$G107),1),"")</f>
        <v/>
      </c>
      <c r="AO107" s="440" t="b">
        <f ca="1">IF(AND(NOT(AK107),AND(AK$4:AK106)),TRUE,AK107)</f>
        <v>0</v>
      </c>
      <c r="AP107" s="439" t="e">
        <f ca="1">IF(AND(NOT(ISBLANK(Jumpoverwrite8)),AND(NOT(AO107),AND(AO$4:AO106))),($J107*$G107-LN(1+Jumpoverwrite8*AQ$2))/$G107,_xll.qlInterpolationInterpolate(AO$3,$F107,TRUE))</f>
        <v>#NAME?</v>
      </c>
      <c r="AQ107" s="439" t="str">
        <f ca="1">IF(AND(NOT(AO107),AND(AO$4:AO106)),MIN(EXP((AP107-$J107)*$G107),1),"")</f>
        <v/>
      </c>
      <c r="AS107" s="440" t="b">
        <f ca="1">IF(AND(NOT(AO107),AND(AO$4:AO106)),TRUE,AO107)</f>
        <v>0</v>
      </c>
      <c r="AT107" s="439" t="e">
        <f ca="1">IF(AND(NOT(ISBLANK(Jumpoverwrite9)),AND(NOT(AS107),AND(AS$4:AS106))),($J107*$G107-LN(1+Jumpoverwrite9*AU$2))/$G107,_xll.qlInterpolationInterpolate(AS$3,$F107,TRUE))</f>
        <v>#NAME?</v>
      </c>
      <c r="AU107" s="439" t="str">
        <f ca="1">IF(AND(NOT(AS107),AND(AS$4:AS106)),MIN(EXP((AT107-$J107)*$G107),1),"")</f>
        <v/>
      </c>
      <c r="AW107" s="440" t="b">
        <f ca="1">IF(AND(NOT(AS107),AND(AS$4:AS106)),TRUE,AS107)</f>
        <v>0</v>
      </c>
      <c r="AX107" s="439" t="e">
        <f ca="1">IF(AND(NOT(ISBLANK(Jumpoverwrite10)),AND(NOT(AW107),AND(AW$4:AW106))),($J107*$G107-LN(1+Jumpoverwrite10*AY$2))/$G107,_xll.qlInterpolationInterpolate(AW$3,$F107,TRUE))</f>
        <v>#NAME?</v>
      </c>
      <c r="AY107" s="439" t="str">
        <f ca="1">IF(AND(NOT(AW107),AND(AW$4:AW106)),MIN(EXP((AX107-$J107)*$G107),1),"")</f>
        <v/>
      </c>
      <c r="BA107" s="440" t="b">
        <f ca="1">IF(AND(NOT(AW107),AND(AW$4:AW106)),TRUE,AW107)</f>
        <v>0</v>
      </c>
      <c r="BB107" s="439" t="e">
        <f ca="1">IF(AND(NOT(ISBLANK(Jumpoverwrite11)),AND(NOT(BA107),AND(BA$4:BA106))),($J107*$G107-LN(1+Jumpoverwrite11*BC$2))/$G107,_xll.qlInterpolationInterpolate(BA$3,$F107,TRUE))</f>
        <v>#NAME?</v>
      </c>
      <c r="BC107" s="439" t="str">
        <f ca="1">IF(AND(NOT(BA107),AND(BA$4:BA106)),MIN(EXP((BB107-$J107)*$G107),1),"")</f>
        <v/>
      </c>
      <c r="BE107" s="440" t="b">
        <f ca="1">IF(AND(NOT(BA107),AND(BA$4:BA106)),TRUE,BA107)</f>
        <v>0</v>
      </c>
      <c r="BF107" s="439" t="e">
        <f ca="1">IF(AND(NOT(ISBLANK(Jumpoverwrite12)),AND(NOT(BE107),AND(BE$4:BE106))),($J107*$G107-LN(1+Jumpoverwrite12*BG$2))/$G107,_xll.qlInterpolationInterpolate(BE$3,$F107,TRUE))</f>
        <v>#NAME?</v>
      </c>
      <c r="BG107" s="439" t="str">
        <f ca="1">IF(AND(NOT(BE107),AND(BE$4:BE106)),MIN(EXP((BF107-$J107)*$G107),1),"")</f>
        <v/>
      </c>
      <c r="BI107" s="440" t="b">
        <f t="shared" ca="1" si="15"/>
        <v>0</v>
      </c>
      <c r="BJ107" s="439" t="e">
        <f ca="1">IF(AND(NOT(ISBLANK(jumpoverwrite13)),AND(NOT(BI107),AND(BI$4:BI106))),($J107*$G107-LN(1+jumpoverwrite13*BK$2))/$G107,_xll.qlInterpolationInterpolate(BI$3,$F107,TRUE))</f>
        <v>#NAME?</v>
      </c>
      <c r="BK107" s="439" t="str">
        <f ca="1">IF(AND(NOT(BI107),AND(BI$4:BI106)),MIN(EXP((BJ107-$J107)*$G107),1),"")</f>
        <v/>
      </c>
    </row>
    <row r="108" spans="1:63" x14ac:dyDescent="0.2">
      <c r="A108" s="438" t="e">
        <f ca="1"/>
        <v>#NAME?</v>
      </c>
      <c r="B108" s="437" t="e">
        <f ca="1">_xll.qlRateHelperRate($A108,InterestRatesTrigger)</f>
        <v>#NAME?</v>
      </c>
      <c r="C108" s="436" t="e">
        <f ca="1">_xll.qlRateHelperEarliestDate($A108)</f>
        <v>#NAME?</v>
      </c>
      <c r="D108" s="435" t="e">
        <f ca="1">_xll.qlRateHelperPillarDate($A108)</f>
        <v>#NAME?</v>
      </c>
      <c r="F108" s="445" t="e">
        <f t="shared" ca="1" si="13"/>
        <v>#N/A</v>
      </c>
      <c r="G108" s="444" t="e">
        <f ca="1">_xll.qlDayCounterYearFraction(DayCounter,D107,D108)</f>
        <v>#NAME?</v>
      </c>
      <c r="I108" s="443" t="b">
        <f t="shared" ca="1" si="14"/>
        <v>0</v>
      </c>
      <c r="J108" s="442" t="e">
        <f ca="1"/>
        <v>#NAME?</v>
      </c>
      <c r="K108" s="441" t="e">
        <f t="shared" ca="1" si="12"/>
        <v>#NAME?</v>
      </c>
      <c r="L108" s="429"/>
      <c r="M108" s="440" t="b">
        <f ca="1">IF(AND(NOT(I108),AND(I$4:I107)),TRUE,I108)</f>
        <v>0</v>
      </c>
      <c r="N108" s="439" t="e">
        <f ca="1">IF(AND(NOT(ISBLANK(Jumpoverwrite1)),AND(NOT(M108),AND(M$4:M107))),($J108*$G108-LN(1+Jumpoverwrite1*O$2))/$G108,_xll.qlInterpolationInterpolate(M$3,$F108,TRUE))</f>
        <v>#NAME?</v>
      </c>
      <c r="O108" s="439" t="str">
        <f ca="1">IF(AND(NOT(M108),AND(M$4:M107)),MIN(EXP((N108-$J108)*$G108),1),"")</f>
        <v/>
      </c>
      <c r="P108" s="428"/>
      <c r="Q108" s="440" t="b">
        <f ca="1">IF(AND(NOT(M108),AND(M$4:M107)),TRUE,M108)</f>
        <v>0</v>
      </c>
      <c r="R108" s="439" t="e">
        <f ca="1">IF(AND(NOT(ISBLANK(Jumpoverwrite2)),AND(NOT(Q108),AND(Q$4:Q107))),($J108*$G108-LN(1+Jumpoverwrite2*S$2))/$G108,_xll.qlInterpolationInterpolate(Q$3,$F108,TRUE))</f>
        <v>#NAME?</v>
      </c>
      <c r="S108" s="439" t="str">
        <f ca="1">IF(AND(NOT(Q108),AND(Q$4:Q107)),MIN(EXP((R108-$J108)*$G108),1),"")</f>
        <v/>
      </c>
      <c r="T108" s="428"/>
      <c r="U108" s="440" t="b">
        <f ca="1">IF(AND(NOT(Q108),AND(Q$4:Q107)),TRUE,Q108)</f>
        <v>0</v>
      </c>
      <c r="V108" s="439" t="e">
        <f ca="1">IF(AND(NOT(ISBLANK(Jumpoverwrite3)),AND(NOT(U108),AND(U$4:U107))),($J108*$G108-LN(1+Jumpoverwrite3*W$2))/$G108,_xll.qlInterpolationInterpolate(U$3,$F108,TRUE))</f>
        <v>#NAME?</v>
      </c>
      <c r="W108" s="439" t="str">
        <f ca="1">IF(AND(NOT(U108),AND(U$4:U107)),MIN(EXP((V108-$J108)*$G108),1),"")</f>
        <v/>
      </c>
      <c r="X108" s="428"/>
      <c r="Y108" s="440" t="b">
        <f ca="1">IF(AND(NOT(U108),AND(U$4:U107)),TRUE,U108)</f>
        <v>0</v>
      </c>
      <c r="Z108" s="439" t="e">
        <f ca="1">IF(AND(NOT(ISBLANK(Jumpoverwrite4)),AND(NOT(Y108),AND(Y$4:Y107))),($J108*$G108-LN(1+Jumpoverwrite4*AA$2))/$G108,_xll.qlInterpolationInterpolate(Y$3,$F108,TRUE))</f>
        <v>#NAME?</v>
      </c>
      <c r="AA108" s="439" t="str">
        <f ca="1">IF(AND(NOT(Y108),AND(Y$4:Y107)),MIN(EXP((Z108-$J108)*$G108),1),"")</f>
        <v/>
      </c>
      <c r="AB108" s="428"/>
      <c r="AC108" s="440" t="b">
        <f ca="1">IF(AND(NOT(Y108),AND(Y$4:Y107)),TRUE,Y108)</f>
        <v>0</v>
      </c>
      <c r="AD108" s="439" t="e">
        <f ca="1">IF(AND(NOT(ISBLANK(Jumpoverwrite5)),AND(NOT(AC108),AND(AC$4:AC107))),($J108*$G108-LN(1+Jumpoverwrite5*AE$2))/$G108,_xll.qlInterpolationInterpolate(AC$3,$F108,TRUE))</f>
        <v>#NAME?</v>
      </c>
      <c r="AE108" s="439" t="str">
        <f ca="1">IF(AND(NOT(AC108),AND(AC$4:AC107)),MIN(EXP((AD108-$J108)*$G108),1),"")</f>
        <v/>
      </c>
      <c r="AF108" s="428"/>
      <c r="AG108" s="440" t="b">
        <f ca="1">IF(AND(NOT(AC108),AND(AC$4:AC107)),TRUE,AC108)</f>
        <v>0</v>
      </c>
      <c r="AH108" s="439" t="e">
        <f ca="1">IF(AND(NOT(ISBLANK(Jumpoverwrite6)),AND(NOT(AG108),AND(AG$4:AG107))),($J108*$G108-LN(1+Jumpoverwrite6*AI$2))/$G108,_xll.qlInterpolationInterpolate(AG$3,$F108,TRUE))</f>
        <v>#NAME?</v>
      </c>
      <c r="AI108" s="439" t="str">
        <f ca="1">IF(AND(NOT(AG108),AND(AG$4:AG107)),MIN(EXP((AH108-$J108)*$G108),1),"")</f>
        <v/>
      </c>
      <c r="AJ108" s="428"/>
      <c r="AK108" s="440" t="b">
        <f ca="1">IF(AND(NOT(AG108),AND(AG$4:AG107)),TRUE,AG108)</f>
        <v>0</v>
      </c>
      <c r="AL108" s="439" t="e">
        <f ca="1">IF(AND(NOT(ISBLANK(Jumpoverwrite7)),AND(NOT(AK108),AND(AK$4:AK107))),($J108*$G108-LN(1+Jumpoverwrite7*AM$2))/$G108,_xll.qlInterpolationInterpolate(AK$3,$F108,TRUE))</f>
        <v>#NAME?</v>
      </c>
      <c r="AM108" s="439" t="str">
        <f ca="1">IF(AND(NOT(AK108),AND(AK$4:AK107)),MIN(EXP((AL108-$J108)*$G108),1),"")</f>
        <v/>
      </c>
      <c r="AO108" s="440" t="b">
        <f ca="1">IF(AND(NOT(AK108),AND(AK$4:AK107)),TRUE,AK108)</f>
        <v>0</v>
      </c>
      <c r="AP108" s="439" t="e">
        <f ca="1">IF(AND(NOT(ISBLANK(Jumpoverwrite8)),AND(NOT(AO108),AND(AO$4:AO107))),($J108*$G108-LN(1+Jumpoverwrite8*AQ$2))/$G108,_xll.qlInterpolationInterpolate(AO$3,$F108,TRUE))</f>
        <v>#NAME?</v>
      </c>
      <c r="AQ108" s="439" t="str">
        <f ca="1">IF(AND(NOT(AO108),AND(AO$4:AO107)),MIN(EXP((AP108-$J108)*$G108),1),"")</f>
        <v/>
      </c>
      <c r="AS108" s="440" t="b">
        <f ca="1">IF(AND(NOT(AO108),AND(AO$4:AO107)),TRUE,AO108)</f>
        <v>0</v>
      </c>
      <c r="AT108" s="439" t="e">
        <f ca="1">IF(AND(NOT(ISBLANK(Jumpoverwrite9)),AND(NOT(AS108),AND(AS$4:AS107))),($J108*$G108-LN(1+Jumpoverwrite9*AU$2))/$G108,_xll.qlInterpolationInterpolate(AS$3,$F108,TRUE))</f>
        <v>#NAME?</v>
      </c>
      <c r="AU108" s="439" t="str">
        <f ca="1">IF(AND(NOT(AS108),AND(AS$4:AS107)),MIN(EXP((AT108-$J108)*$G108),1),"")</f>
        <v/>
      </c>
      <c r="AW108" s="440" t="b">
        <f ca="1">IF(AND(NOT(AS108),AND(AS$4:AS107)),TRUE,AS108)</f>
        <v>0</v>
      </c>
      <c r="AX108" s="439" t="e">
        <f ca="1">IF(AND(NOT(ISBLANK(Jumpoverwrite10)),AND(NOT(AW108),AND(AW$4:AW107))),($J108*$G108-LN(1+Jumpoverwrite10*AY$2))/$G108,_xll.qlInterpolationInterpolate(AW$3,$F108,TRUE))</f>
        <v>#NAME?</v>
      </c>
      <c r="AY108" s="439" t="str">
        <f ca="1">IF(AND(NOT(AW108),AND(AW$4:AW107)),MIN(EXP((AX108-$J108)*$G108),1),"")</f>
        <v/>
      </c>
      <c r="BA108" s="440" t="b">
        <f ca="1">IF(AND(NOT(AW108),AND(AW$4:AW107)),TRUE,AW108)</f>
        <v>0</v>
      </c>
      <c r="BB108" s="439" t="e">
        <f ca="1">IF(AND(NOT(ISBLANK(Jumpoverwrite11)),AND(NOT(BA108),AND(BA$4:BA107))),($J108*$G108-LN(1+Jumpoverwrite11*BC$2))/$G108,_xll.qlInterpolationInterpolate(BA$3,$F108,TRUE))</f>
        <v>#NAME?</v>
      </c>
      <c r="BC108" s="439" t="str">
        <f ca="1">IF(AND(NOT(BA108),AND(BA$4:BA107)),MIN(EXP((BB108-$J108)*$G108),1),"")</f>
        <v/>
      </c>
      <c r="BE108" s="440" t="b">
        <f ca="1">IF(AND(NOT(BA108),AND(BA$4:BA107)),TRUE,BA108)</f>
        <v>0</v>
      </c>
      <c r="BF108" s="439" t="e">
        <f ca="1">IF(AND(NOT(ISBLANK(Jumpoverwrite12)),AND(NOT(BE108),AND(BE$4:BE107))),($J108*$G108-LN(1+Jumpoverwrite12*BG$2))/$G108,_xll.qlInterpolationInterpolate(BE$3,$F108,TRUE))</f>
        <v>#NAME?</v>
      </c>
      <c r="BG108" s="439" t="str">
        <f ca="1">IF(AND(NOT(BE108),AND(BE$4:BE107)),MIN(EXP((BF108-$J108)*$G108),1),"")</f>
        <v/>
      </c>
      <c r="BI108" s="440" t="b">
        <f t="shared" ca="1" si="15"/>
        <v>0</v>
      </c>
      <c r="BJ108" s="439" t="e">
        <f ca="1">IF(AND(NOT(ISBLANK(jumpoverwrite13)),AND(NOT(BI108),AND(BI$4:BI107))),($J108*$G108-LN(1+jumpoverwrite13*BK$2))/$G108,_xll.qlInterpolationInterpolate(BI$3,$F108,TRUE))</f>
        <v>#NAME?</v>
      </c>
      <c r="BK108" s="439" t="str">
        <f ca="1">IF(AND(NOT(BI108),AND(BI$4:BI107)),MIN(EXP((BJ108-$J108)*$G108),1),"")</f>
        <v/>
      </c>
    </row>
    <row r="109" spans="1:63" x14ac:dyDescent="0.2">
      <c r="A109" s="438" t="e">
        <f ca="1"/>
        <v>#NAME?</v>
      </c>
      <c r="B109" s="437" t="e">
        <f ca="1">_xll.qlRateHelperRate($A109,InterestRatesTrigger)</f>
        <v>#NAME?</v>
      </c>
      <c r="C109" s="436" t="e">
        <f ca="1">_xll.qlRateHelperEarliestDate($A109)</f>
        <v>#NAME?</v>
      </c>
      <c r="D109" s="435" t="e">
        <f ca="1">_xll.qlRateHelperPillarDate($A109)</f>
        <v>#NAME?</v>
      </c>
      <c r="F109" s="445" t="e">
        <f t="shared" ca="1" si="13"/>
        <v>#N/A</v>
      </c>
      <c r="G109" s="444" t="e">
        <f ca="1">_xll.qlDayCounterYearFraction(DayCounter,D108,D109)</f>
        <v>#NAME?</v>
      </c>
      <c r="I109" s="443" t="b">
        <f t="shared" ca="1" si="14"/>
        <v>0</v>
      </c>
      <c r="J109" s="442" t="e">
        <f ca="1"/>
        <v>#NAME?</v>
      </c>
      <c r="K109" s="441" t="e">
        <f t="shared" ca="1" si="12"/>
        <v>#NAME?</v>
      </c>
      <c r="L109" s="429"/>
      <c r="M109" s="440" t="b">
        <f ca="1">IF(AND(NOT(I109),AND(I$4:I108)),TRUE,I109)</f>
        <v>0</v>
      </c>
      <c r="N109" s="439" t="e">
        <f ca="1">IF(AND(NOT(ISBLANK(Jumpoverwrite1)),AND(NOT(M109),AND(M$4:M108))),($J109*$G109-LN(1+Jumpoverwrite1*O$2))/$G109,_xll.qlInterpolationInterpolate(M$3,$F109,TRUE))</f>
        <v>#NAME?</v>
      </c>
      <c r="O109" s="439" t="str">
        <f ca="1">IF(AND(NOT(M109),AND(M$4:M108)),MIN(EXP((N109-$J109)*$G109),1),"")</f>
        <v/>
      </c>
      <c r="P109" s="428"/>
      <c r="Q109" s="440" t="b">
        <f ca="1">IF(AND(NOT(M109),AND(M$4:M108)),TRUE,M109)</f>
        <v>0</v>
      </c>
      <c r="R109" s="439" t="e">
        <f ca="1">IF(AND(NOT(ISBLANK(Jumpoverwrite2)),AND(NOT(Q109),AND(Q$4:Q108))),($J109*$G109-LN(1+Jumpoverwrite2*S$2))/$G109,_xll.qlInterpolationInterpolate(Q$3,$F109,TRUE))</f>
        <v>#NAME?</v>
      </c>
      <c r="S109" s="439" t="str">
        <f ca="1">IF(AND(NOT(Q109),AND(Q$4:Q108)),MIN(EXP((R109-$J109)*$G109),1),"")</f>
        <v/>
      </c>
      <c r="T109" s="428"/>
      <c r="U109" s="440" t="b">
        <f ca="1">IF(AND(NOT(Q109),AND(Q$4:Q108)),TRUE,Q109)</f>
        <v>0</v>
      </c>
      <c r="V109" s="439" t="e">
        <f ca="1">IF(AND(NOT(ISBLANK(Jumpoverwrite3)),AND(NOT(U109),AND(U$4:U108))),($J109*$G109-LN(1+Jumpoverwrite3*W$2))/$G109,_xll.qlInterpolationInterpolate(U$3,$F109,TRUE))</f>
        <v>#NAME?</v>
      </c>
      <c r="W109" s="439" t="str">
        <f ca="1">IF(AND(NOT(U109),AND(U$4:U108)),MIN(EXP((V109-$J109)*$G109),1),"")</f>
        <v/>
      </c>
      <c r="X109" s="428"/>
      <c r="Y109" s="440" t="b">
        <f ca="1">IF(AND(NOT(U109),AND(U$4:U108)),TRUE,U109)</f>
        <v>0</v>
      </c>
      <c r="Z109" s="439" t="e">
        <f ca="1">IF(AND(NOT(ISBLANK(Jumpoverwrite4)),AND(NOT(Y109),AND(Y$4:Y108))),($J109*$G109-LN(1+Jumpoverwrite4*AA$2))/$G109,_xll.qlInterpolationInterpolate(Y$3,$F109,TRUE))</f>
        <v>#NAME?</v>
      </c>
      <c r="AA109" s="439" t="str">
        <f ca="1">IF(AND(NOT(Y109),AND(Y$4:Y108)),MIN(EXP((Z109-$J109)*$G109),1),"")</f>
        <v/>
      </c>
      <c r="AB109" s="428"/>
      <c r="AC109" s="440" t="b">
        <f ca="1">IF(AND(NOT(Y109),AND(Y$4:Y108)),TRUE,Y109)</f>
        <v>0</v>
      </c>
      <c r="AD109" s="439" t="e">
        <f ca="1">IF(AND(NOT(ISBLANK(Jumpoverwrite5)),AND(NOT(AC109),AND(AC$4:AC108))),($J109*$G109-LN(1+Jumpoverwrite5*AE$2))/$G109,_xll.qlInterpolationInterpolate(AC$3,$F109,TRUE))</f>
        <v>#NAME?</v>
      </c>
      <c r="AE109" s="439" t="str">
        <f ca="1">IF(AND(NOT(AC109),AND(AC$4:AC108)),MIN(EXP((AD109-$J109)*$G109),1),"")</f>
        <v/>
      </c>
      <c r="AF109" s="428"/>
      <c r="AG109" s="440" t="b">
        <f ca="1">IF(AND(NOT(AC109),AND(AC$4:AC108)),TRUE,AC109)</f>
        <v>0</v>
      </c>
      <c r="AH109" s="439" t="e">
        <f ca="1">IF(AND(NOT(ISBLANK(Jumpoverwrite6)),AND(NOT(AG109),AND(AG$4:AG108))),($J109*$G109-LN(1+Jumpoverwrite6*AI$2))/$G109,_xll.qlInterpolationInterpolate(AG$3,$F109,TRUE))</f>
        <v>#NAME?</v>
      </c>
      <c r="AI109" s="439" t="str">
        <f ca="1">IF(AND(NOT(AG109),AND(AG$4:AG108)),MIN(EXP((AH109-$J109)*$G109),1),"")</f>
        <v/>
      </c>
      <c r="AJ109" s="428"/>
      <c r="AK109" s="440" t="b">
        <f ca="1">IF(AND(NOT(AG109),AND(AG$4:AG108)),TRUE,AG109)</f>
        <v>0</v>
      </c>
      <c r="AL109" s="439" t="e">
        <f ca="1">IF(AND(NOT(ISBLANK(Jumpoverwrite7)),AND(NOT(AK109),AND(AK$4:AK108))),($J109*$G109-LN(1+Jumpoverwrite7*AM$2))/$G109,_xll.qlInterpolationInterpolate(AK$3,$F109,TRUE))</f>
        <v>#NAME?</v>
      </c>
      <c r="AM109" s="439" t="str">
        <f ca="1">IF(AND(NOT(AK109),AND(AK$4:AK108)),MIN(EXP((AL109-$J109)*$G109),1),"")</f>
        <v/>
      </c>
      <c r="AO109" s="440" t="b">
        <f ca="1">IF(AND(NOT(AK109),AND(AK$4:AK108)),TRUE,AK109)</f>
        <v>0</v>
      </c>
      <c r="AP109" s="439" t="e">
        <f ca="1">IF(AND(NOT(ISBLANK(Jumpoverwrite8)),AND(NOT(AO109),AND(AO$4:AO108))),($J109*$G109-LN(1+Jumpoverwrite8*AQ$2))/$G109,_xll.qlInterpolationInterpolate(AO$3,$F109,TRUE))</f>
        <v>#NAME?</v>
      </c>
      <c r="AQ109" s="439" t="str">
        <f ca="1">IF(AND(NOT(AO109),AND(AO$4:AO108)),MIN(EXP((AP109-$J109)*$G109),1),"")</f>
        <v/>
      </c>
      <c r="AS109" s="440" t="b">
        <f ca="1">IF(AND(NOT(AO109),AND(AO$4:AO108)),TRUE,AO109)</f>
        <v>0</v>
      </c>
      <c r="AT109" s="439" t="e">
        <f ca="1">IF(AND(NOT(ISBLANK(Jumpoverwrite9)),AND(NOT(AS109),AND(AS$4:AS108))),($J109*$G109-LN(1+Jumpoverwrite9*AU$2))/$G109,_xll.qlInterpolationInterpolate(AS$3,$F109,TRUE))</f>
        <v>#NAME?</v>
      </c>
      <c r="AU109" s="439" t="str">
        <f ca="1">IF(AND(NOT(AS109),AND(AS$4:AS108)),MIN(EXP((AT109-$J109)*$G109),1),"")</f>
        <v/>
      </c>
      <c r="AW109" s="440" t="b">
        <f ca="1">IF(AND(NOT(AS109),AND(AS$4:AS108)),TRUE,AS109)</f>
        <v>0</v>
      </c>
      <c r="AX109" s="439" t="e">
        <f ca="1">IF(AND(NOT(ISBLANK(Jumpoverwrite10)),AND(NOT(AW109),AND(AW$4:AW108))),($J109*$G109-LN(1+Jumpoverwrite10*AY$2))/$G109,_xll.qlInterpolationInterpolate(AW$3,$F109,TRUE))</f>
        <v>#NAME?</v>
      </c>
      <c r="AY109" s="439" t="str">
        <f ca="1">IF(AND(NOT(AW109),AND(AW$4:AW108)),MIN(EXP((AX109-$J109)*$G109),1),"")</f>
        <v/>
      </c>
      <c r="BA109" s="440" t="b">
        <f ca="1">IF(AND(NOT(AW109),AND(AW$4:AW108)),TRUE,AW109)</f>
        <v>0</v>
      </c>
      <c r="BB109" s="439" t="e">
        <f ca="1">IF(AND(NOT(ISBLANK(Jumpoverwrite11)),AND(NOT(BA109),AND(BA$4:BA108))),($J109*$G109-LN(1+Jumpoverwrite11*BC$2))/$G109,_xll.qlInterpolationInterpolate(BA$3,$F109,TRUE))</f>
        <v>#NAME?</v>
      </c>
      <c r="BC109" s="439" t="str">
        <f ca="1">IF(AND(NOT(BA109),AND(BA$4:BA108)),MIN(EXP((BB109-$J109)*$G109),1),"")</f>
        <v/>
      </c>
      <c r="BE109" s="440" t="b">
        <f ca="1">IF(AND(NOT(BA109),AND(BA$4:BA108)),TRUE,BA109)</f>
        <v>0</v>
      </c>
      <c r="BF109" s="439" t="e">
        <f ca="1">IF(AND(NOT(ISBLANK(Jumpoverwrite12)),AND(NOT(BE109),AND(BE$4:BE108))),($J109*$G109-LN(1+Jumpoverwrite12*BG$2))/$G109,_xll.qlInterpolationInterpolate(BE$3,$F109,TRUE))</f>
        <v>#NAME?</v>
      </c>
      <c r="BG109" s="439" t="str">
        <f ca="1">IF(AND(NOT(BE109),AND(BE$4:BE108)),MIN(EXP((BF109-$J109)*$G109),1),"")</f>
        <v/>
      </c>
      <c r="BI109" s="440" t="b">
        <f t="shared" ca="1" si="15"/>
        <v>0</v>
      </c>
      <c r="BJ109" s="439" t="e">
        <f ca="1">IF(AND(NOT(ISBLANK(jumpoverwrite13)),AND(NOT(BI109),AND(BI$4:BI108))),($J109*$G109-LN(1+jumpoverwrite13*BK$2))/$G109,_xll.qlInterpolationInterpolate(BI$3,$F109,TRUE))</f>
        <v>#NAME?</v>
      </c>
      <c r="BK109" s="439" t="str">
        <f ca="1">IF(AND(NOT(BI109),AND(BI$4:BI108)),MIN(EXP((BJ109-$J109)*$G109),1),"")</f>
        <v/>
      </c>
    </row>
    <row r="110" spans="1:63" x14ac:dyDescent="0.2">
      <c r="A110" s="438" t="e">
        <f ca="1"/>
        <v>#NAME?</v>
      </c>
      <c r="B110" s="437" t="e">
        <f ca="1">_xll.qlRateHelperRate($A110,InterestRatesTrigger)</f>
        <v>#NAME?</v>
      </c>
      <c r="C110" s="436" t="e">
        <f ca="1">_xll.qlRateHelperEarliestDate($A110)</f>
        <v>#NAME?</v>
      </c>
      <c r="D110" s="435" t="e">
        <f ca="1">_xll.qlRateHelperPillarDate($A110)</f>
        <v>#NAME?</v>
      </c>
      <c r="F110" s="445" t="e">
        <f t="shared" ca="1" si="13"/>
        <v>#N/A</v>
      </c>
      <c r="G110" s="444" t="e">
        <f ca="1">_xll.qlDayCounterYearFraction(DayCounter,D109,D110)</f>
        <v>#NAME?</v>
      </c>
      <c r="I110" s="443" t="b">
        <f t="shared" ca="1" si="14"/>
        <v>0</v>
      </c>
      <c r="J110" s="442" t="e">
        <f ca="1"/>
        <v>#NAME?</v>
      </c>
      <c r="K110" s="441" t="e">
        <f t="shared" ca="1" si="12"/>
        <v>#NAME?</v>
      </c>
      <c r="L110" s="429"/>
      <c r="M110" s="440" t="b">
        <f ca="1">IF(AND(NOT(I110),AND(I$4:I109)),TRUE,I110)</f>
        <v>0</v>
      </c>
      <c r="N110" s="439" t="e">
        <f ca="1">IF(AND(NOT(ISBLANK(Jumpoverwrite1)),AND(NOT(M110),AND(M$4:M109))),($J110*$G110-LN(1+Jumpoverwrite1*O$2))/$G110,_xll.qlInterpolationInterpolate(M$3,$F110,TRUE))</f>
        <v>#NAME?</v>
      </c>
      <c r="O110" s="439" t="str">
        <f ca="1">IF(AND(NOT(M110),AND(M$4:M109)),MIN(EXP((N110-$J110)*$G110),1),"")</f>
        <v/>
      </c>
      <c r="P110" s="428"/>
      <c r="Q110" s="440" t="b">
        <f ca="1">IF(AND(NOT(M110),AND(M$4:M109)),TRUE,M110)</f>
        <v>0</v>
      </c>
      <c r="R110" s="439" t="e">
        <f ca="1">IF(AND(NOT(ISBLANK(Jumpoverwrite2)),AND(NOT(Q110),AND(Q$4:Q109))),($J110*$G110-LN(1+Jumpoverwrite2*S$2))/$G110,_xll.qlInterpolationInterpolate(Q$3,$F110,TRUE))</f>
        <v>#NAME?</v>
      </c>
      <c r="S110" s="439" t="str">
        <f ca="1">IF(AND(NOT(Q110),AND(Q$4:Q109)),MIN(EXP((R110-$J110)*$G110),1),"")</f>
        <v/>
      </c>
      <c r="T110" s="428"/>
      <c r="U110" s="440" t="b">
        <f ca="1">IF(AND(NOT(Q110),AND(Q$4:Q109)),TRUE,Q110)</f>
        <v>0</v>
      </c>
      <c r="V110" s="439" t="e">
        <f ca="1">IF(AND(NOT(ISBLANK(Jumpoverwrite3)),AND(NOT(U110),AND(U$4:U109))),($J110*$G110-LN(1+Jumpoverwrite3*W$2))/$G110,_xll.qlInterpolationInterpolate(U$3,$F110,TRUE))</f>
        <v>#NAME?</v>
      </c>
      <c r="W110" s="439" t="str">
        <f ca="1">IF(AND(NOT(U110),AND(U$4:U109)),MIN(EXP((V110-$J110)*$G110),1),"")</f>
        <v/>
      </c>
      <c r="X110" s="428"/>
      <c r="Y110" s="440" t="b">
        <f ca="1">IF(AND(NOT(U110),AND(U$4:U109)),TRUE,U110)</f>
        <v>0</v>
      </c>
      <c r="Z110" s="439" t="e">
        <f ca="1">IF(AND(NOT(ISBLANK(Jumpoverwrite4)),AND(NOT(Y110),AND(Y$4:Y109))),($J110*$G110-LN(1+Jumpoverwrite4*AA$2))/$G110,_xll.qlInterpolationInterpolate(Y$3,$F110,TRUE))</f>
        <v>#NAME?</v>
      </c>
      <c r="AA110" s="439" t="str">
        <f ca="1">IF(AND(NOT(Y110),AND(Y$4:Y109)),MIN(EXP((Z110-$J110)*$G110),1),"")</f>
        <v/>
      </c>
      <c r="AB110" s="428"/>
      <c r="AC110" s="440" t="b">
        <f ca="1">IF(AND(NOT(Y110),AND(Y$4:Y109)),TRUE,Y110)</f>
        <v>0</v>
      </c>
      <c r="AD110" s="439" t="e">
        <f ca="1">IF(AND(NOT(ISBLANK(Jumpoverwrite5)),AND(NOT(AC110),AND(AC$4:AC109))),($J110*$G110-LN(1+Jumpoverwrite5*AE$2))/$G110,_xll.qlInterpolationInterpolate(AC$3,$F110,TRUE))</f>
        <v>#NAME?</v>
      </c>
      <c r="AE110" s="439" t="str">
        <f ca="1">IF(AND(NOT(AC110),AND(AC$4:AC109)),MIN(EXP((AD110-$J110)*$G110),1),"")</f>
        <v/>
      </c>
      <c r="AF110" s="428"/>
      <c r="AG110" s="440" t="b">
        <f ca="1">IF(AND(NOT(AC110),AND(AC$4:AC109)),TRUE,AC110)</f>
        <v>0</v>
      </c>
      <c r="AH110" s="439" t="e">
        <f ca="1">IF(AND(NOT(ISBLANK(Jumpoverwrite6)),AND(NOT(AG110),AND(AG$4:AG109))),($J110*$G110-LN(1+Jumpoverwrite6*AI$2))/$G110,_xll.qlInterpolationInterpolate(AG$3,$F110,TRUE))</f>
        <v>#NAME?</v>
      </c>
      <c r="AI110" s="439" t="str">
        <f ca="1">IF(AND(NOT(AG110),AND(AG$4:AG109)),MIN(EXP((AH110-$J110)*$G110),1),"")</f>
        <v/>
      </c>
      <c r="AJ110" s="428"/>
      <c r="AK110" s="440" t="b">
        <f ca="1">IF(AND(NOT(AG110),AND(AG$4:AG109)),TRUE,AG110)</f>
        <v>0</v>
      </c>
      <c r="AL110" s="439" t="e">
        <f ca="1">IF(AND(NOT(ISBLANK(Jumpoverwrite7)),AND(NOT(AK110),AND(AK$4:AK109))),($J110*$G110-LN(1+Jumpoverwrite7*AM$2))/$G110,_xll.qlInterpolationInterpolate(AK$3,$F110,TRUE))</f>
        <v>#NAME?</v>
      </c>
      <c r="AM110" s="439" t="str">
        <f ca="1">IF(AND(NOT(AK110),AND(AK$4:AK109)),MIN(EXP((AL110-$J110)*$G110),1),"")</f>
        <v/>
      </c>
      <c r="AO110" s="440" t="b">
        <f ca="1">IF(AND(NOT(AK110),AND(AK$4:AK109)),TRUE,AK110)</f>
        <v>0</v>
      </c>
      <c r="AP110" s="439" t="e">
        <f ca="1">IF(AND(NOT(ISBLANK(Jumpoverwrite8)),AND(NOT(AO110),AND(AO$4:AO109))),($J110*$G110-LN(1+Jumpoverwrite8*AQ$2))/$G110,_xll.qlInterpolationInterpolate(AO$3,$F110,TRUE))</f>
        <v>#NAME?</v>
      </c>
      <c r="AQ110" s="439" t="str">
        <f ca="1">IF(AND(NOT(AO110),AND(AO$4:AO109)),MIN(EXP((AP110-$J110)*$G110),1),"")</f>
        <v/>
      </c>
      <c r="AS110" s="440" t="b">
        <f ca="1">IF(AND(NOT(AO110),AND(AO$4:AO109)),TRUE,AO110)</f>
        <v>0</v>
      </c>
      <c r="AT110" s="439" t="e">
        <f ca="1">IF(AND(NOT(ISBLANK(Jumpoverwrite9)),AND(NOT(AS110),AND(AS$4:AS109))),($J110*$G110-LN(1+Jumpoverwrite9*AU$2))/$G110,_xll.qlInterpolationInterpolate(AS$3,$F110,TRUE))</f>
        <v>#NAME?</v>
      </c>
      <c r="AU110" s="439" t="str">
        <f ca="1">IF(AND(NOT(AS110),AND(AS$4:AS109)),MIN(EXP((AT110-$J110)*$G110),1),"")</f>
        <v/>
      </c>
      <c r="AW110" s="440" t="b">
        <f ca="1">IF(AND(NOT(AS110),AND(AS$4:AS109)),TRUE,AS110)</f>
        <v>0</v>
      </c>
      <c r="AX110" s="439" t="e">
        <f ca="1">IF(AND(NOT(ISBLANK(Jumpoverwrite10)),AND(NOT(AW110),AND(AW$4:AW109))),($J110*$G110-LN(1+Jumpoverwrite10*AY$2))/$G110,_xll.qlInterpolationInterpolate(AW$3,$F110,TRUE))</f>
        <v>#NAME?</v>
      </c>
      <c r="AY110" s="439" t="str">
        <f ca="1">IF(AND(NOT(AW110),AND(AW$4:AW109)),MIN(EXP((AX110-$J110)*$G110),1),"")</f>
        <v/>
      </c>
      <c r="BA110" s="440" t="b">
        <f ca="1">IF(AND(NOT(AW110),AND(AW$4:AW109)),TRUE,AW110)</f>
        <v>0</v>
      </c>
      <c r="BB110" s="439" t="e">
        <f ca="1">IF(AND(NOT(ISBLANK(Jumpoverwrite11)),AND(NOT(BA110),AND(BA$4:BA109))),($J110*$G110-LN(1+Jumpoverwrite11*BC$2))/$G110,_xll.qlInterpolationInterpolate(BA$3,$F110,TRUE))</f>
        <v>#NAME?</v>
      </c>
      <c r="BC110" s="439" t="str">
        <f ca="1">IF(AND(NOT(BA110),AND(BA$4:BA109)),MIN(EXP((BB110-$J110)*$G110),1),"")</f>
        <v/>
      </c>
      <c r="BE110" s="440" t="b">
        <f ca="1">IF(AND(NOT(BA110),AND(BA$4:BA109)),TRUE,BA110)</f>
        <v>0</v>
      </c>
      <c r="BF110" s="439" t="e">
        <f ca="1">IF(AND(NOT(ISBLANK(Jumpoverwrite12)),AND(NOT(BE110),AND(BE$4:BE109))),($J110*$G110-LN(1+Jumpoverwrite12*BG$2))/$G110,_xll.qlInterpolationInterpolate(BE$3,$F110,TRUE))</f>
        <v>#NAME?</v>
      </c>
      <c r="BG110" s="439" t="str">
        <f ca="1">IF(AND(NOT(BE110),AND(BE$4:BE109)),MIN(EXP((BF110-$J110)*$G110),1),"")</f>
        <v/>
      </c>
      <c r="BI110" s="440" t="b">
        <f t="shared" ca="1" si="15"/>
        <v>0</v>
      </c>
      <c r="BJ110" s="439" t="e">
        <f ca="1">IF(AND(NOT(ISBLANK(jumpoverwrite13)),AND(NOT(BI110),AND(BI$4:BI109))),($J110*$G110-LN(1+jumpoverwrite13*BK$2))/$G110,_xll.qlInterpolationInterpolate(BI$3,$F110,TRUE))</f>
        <v>#NAME?</v>
      </c>
      <c r="BK110" s="439" t="str">
        <f ca="1">IF(AND(NOT(BI110),AND(BI$4:BI109)),MIN(EXP((BJ110-$J110)*$G110),1),"")</f>
        <v/>
      </c>
    </row>
    <row r="111" spans="1:63" x14ac:dyDescent="0.2">
      <c r="A111" s="438" t="e">
        <f ca="1"/>
        <v>#NAME?</v>
      </c>
      <c r="B111" s="437" t="e">
        <f ca="1">_xll.qlRateHelperRate($A111,InterestRatesTrigger)</f>
        <v>#NAME?</v>
      </c>
      <c r="C111" s="436" t="e">
        <f ca="1">_xll.qlRateHelperEarliestDate($A111)</f>
        <v>#NAME?</v>
      </c>
      <c r="D111" s="435" t="e">
        <f ca="1">_xll.qlRateHelperPillarDate($A111)</f>
        <v>#NAME?</v>
      </c>
      <c r="F111" s="445" t="e">
        <f t="shared" ca="1" si="13"/>
        <v>#N/A</v>
      </c>
      <c r="G111" s="444" t="e">
        <f ca="1">_xll.qlDayCounterYearFraction(DayCounter,D110,D111)</f>
        <v>#NAME?</v>
      </c>
      <c r="I111" s="443" t="b">
        <f t="shared" ca="1" si="14"/>
        <v>0</v>
      </c>
      <c r="J111" s="442" t="e">
        <f ca="1"/>
        <v>#NAME?</v>
      </c>
      <c r="K111" s="441" t="e">
        <f t="shared" ca="1" si="12"/>
        <v>#NAME?</v>
      </c>
      <c r="L111" s="429"/>
      <c r="M111" s="440" t="b">
        <f ca="1">IF(AND(NOT(I111),AND(I$4:I110)),TRUE,I111)</f>
        <v>0</v>
      </c>
      <c r="N111" s="439" t="e">
        <f ca="1">IF(AND(NOT(ISBLANK(Jumpoverwrite1)),AND(NOT(M111),AND(M$4:M110))),($J111*$G111-LN(1+Jumpoverwrite1*O$2))/$G111,_xll.qlInterpolationInterpolate(M$3,$F111,TRUE))</f>
        <v>#NAME?</v>
      </c>
      <c r="O111" s="439" t="str">
        <f ca="1">IF(AND(NOT(M111),AND(M$4:M110)),MIN(EXP((N111-$J111)*$G111),1),"")</f>
        <v/>
      </c>
      <c r="P111" s="428"/>
      <c r="Q111" s="440" t="b">
        <f ca="1">IF(AND(NOT(M111),AND(M$4:M110)),TRUE,M111)</f>
        <v>0</v>
      </c>
      <c r="R111" s="439" t="e">
        <f ca="1">IF(AND(NOT(ISBLANK(Jumpoverwrite2)),AND(NOT(Q111),AND(Q$4:Q110))),($J111*$G111-LN(1+Jumpoverwrite2*S$2))/$G111,_xll.qlInterpolationInterpolate(Q$3,$F111,TRUE))</f>
        <v>#NAME?</v>
      </c>
      <c r="S111" s="439" t="str">
        <f ca="1">IF(AND(NOT(Q111),AND(Q$4:Q110)),MIN(EXP((R111-$J111)*$G111),1),"")</f>
        <v/>
      </c>
      <c r="T111" s="428"/>
      <c r="U111" s="440" t="b">
        <f ca="1">IF(AND(NOT(Q111),AND(Q$4:Q110)),TRUE,Q111)</f>
        <v>0</v>
      </c>
      <c r="V111" s="439" t="e">
        <f ca="1">IF(AND(NOT(ISBLANK(Jumpoverwrite3)),AND(NOT(U111),AND(U$4:U110))),($J111*$G111-LN(1+Jumpoverwrite3*W$2))/$G111,_xll.qlInterpolationInterpolate(U$3,$F111,TRUE))</f>
        <v>#NAME?</v>
      </c>
      <c r="W111" s="439" t="str">
        <f ca="1">IF(AND(NOT(U111),AND(U$4:U110)),MIN(EXP((V111-$J111)*$G111),1),"")</f>
        <v/>
      </c>
      <c r="X111" s="428"/>
      <c r="Y111" s="440" t="b">
        <f ca="1">IF(AND(NOT(U111),AND(U$4:U110)),TRUE,U111)</f>
        <v>0</v>
      </c>
      <c r="Z111" s="439" t="e">
        <f ca="1">IF(AND(NOT(ISBLANK(Jumpoverwrite4)),AND(NOT(Y111),AND(Y$4:Y110))),($J111*$G111-LN(1+Jumpoverwrite4*AA$2))/$G111,_xll.qlInterpolationInterpolate(Y$3,$F111,TRUE))</f>
        <v>#NAME?</v>
      </c>
      <c r="AA111" s="439" t="str">
        <f ca="1">IF(AND(NOT(Y111),AND(Y$4:Y110)),MIN(EXP((Z111-$J111)*$G111),1),"")</f>
        <v/>
      </c>
      <c r="AB111" s="428"/>
      <c r="AC111" s="440" t="b">
        <f ca="1">IF(AND(NOT(Y111),AND(Y$4:Y110)),TRUE,Y111)</f>
        <v>0</v>
      </c>
      <c r="AD111" s="439" t="e">
        <f ca="1">IF(AND(NOT(ISBLANK(Jumpoverwrite5)),AND(NOT(AC111),AND(AC$4:AC110))),($J111*$G111-LN(1+Jumpoverwrite5*AE$2))/$G111,_xll.qlInterpolationInterpolate(AC$3,$F111,TRUE))</f>
        <v>#NAME?</v>
      </c>
      <c r="AE111" s="439" t="str">
        <f ca="1">IF(AND(NOT(AC111),AND(AC$4:AC110)),MIN(EXP((AD111-$J111)*$G111),1),"")</f>
        <v/>
      </c>
      <c r="AF111" s="428"/>
      <c r="AG111" s="440" t="b">
        <f ca="1">IF(AND(NOT(AC111),AND(AC$4:AC110)),TRUE,AC111)</f>
        <v>0</v>
      </c>
      <c r="AH111" s="439" t="e">
        <f ca="1">IF(AND(NOT(ISBLANK(Jumpoverwrite6)),AND(NOT(AG111),AND(AG$4:AG110))),($J111*$G111-LN(1+Jumpoverwrite6*AI$2))/$G111,_xll.qlInterpolationInterpolate(AG$3,$F111,TRUE))</f>
        <v>#NAME?</v>
      </c>
      <c r="AI111" s="439" t="str">
        <f ca="1">IF(AND(NOT(AG111),AND(AG$4:AG110)),MIN(EXP((AH111-$J111)*$G111),1),"")</f>
        <v/>
      </c>
      <c r="AJ111" s="428"/>
      <c r="AK111" s="440" t="b">
        <f ca="1">IF(AND(NOT(AG111),AND(AG$4:AG110)),TRUE,AG111)</f>
        <v>0</v>
      </c>
      <c r="AL111" s="439" t="e">
        <f ca="1">IF(AND(NOT(ISBLANK(Jumpoverwrite7)),AND(NOT(AK111),AND(AK$4:AK110))),($J111*$G111-LN(1+Jumpoverwrite7*AM$2))/$G111,_xll.qlInterpolationInterpolate(AK$3,$F111,TRUE))</f>
        <v>#NAME?</v>
      </c>
      <c r="AM111" s="439" t="str">
        <f ca="1">IF(AND(NOT(AK111),AND(AK$4:AK110)),MIN(EXP((AL111-$J111)*$G111),1),"")</f>
        <v/>
      </c>
      <c r="AO111" s="440" t="b">
        <f ca="1">IF(AND(NOT(AK111),AND(AK$4:AK110)),TRUE,AK111)</f>
        <v>0</v>
      </c>
      <c r="AP111" s="439" t="e">
        <f ca="1">IF(AND(NOT(ISBLANK(Jumpoverwrite8)),AND(NOT(AO111),AND(AO$4:AO110))),($J111*$G111-LN(1+Jumpoverwrite8*AQ$2))/$G111,_xll.qlInterpolationInterpolate(AO$3,$F111,TRUE))</f>
        <v>#NAME?</v>
      </c>
      <c r="AQ111" s="439" t="str">
        <f ca="1">IF(AND(NOT(AO111),AND(AO$4:AO110)),MIN(EXP((AP111-$J111)*$G111),1),"")</f>
        <v/>
      </c>
      <c r="AS111" s="440" t="b">
        <f ca="1">IF(AND(NOT(AO111),AND(AO$4:AO110)),TRUE,AO111)</f>
        <v>0</v>
      </c>
      <c r="AT111" s="439" t="e">
        <f ca="1">IF(AND(NOT(ISBLANK(Jumpoverwrite9)),AND(NOT(AS111),AND(AS$4:AS110))),($J111*$G111-LN(1+Jumpoverwrite9*AU$2))/$G111,_xll.qlInterpolationInterpolate(AS$3,$F111,TRUE))</f>
        <v>#NAME?</v>
      </c>
      <c r="AU111" s="439" t="str">
        <f ca="1">IF(AND(NOT(AS111),AND(AS$4:AS110)),MIN(EXP((AT111-$J111)*$G111),1),"")</f>
        <v/>
      </c>
      <c r="AW111" s="440" t="b">
        <f ca="1">IF(AND(NOT(AS111),AND(AS$4:AS110)),TRUE,AS111)</f>
        <v>0</v>
      </c>
      <c r="AX111" s="439" t="e">
        <f ca="1">IF(AND(NOT(ISBLANK(Jumpoverwrite10)),AND(NOT(AW111),AND(AW$4:AW110))),($J111*$G111-LN(1+Jumpoverwrite10*AY$2))/$G111,_xll.qlInterpolationInterpolate(AW$3,$F111,TRUE))</f>
        <v>#NAME?</v>
      </c>
      <c r="AY111" s="439" t="str">
        <f ca="1">IF(AND(NOT(AW111),AND(AW$4:AW110)),MIN(EXP((AX111-$J111)*$G111),1),"")</f>
        <v/>
      </c>
      <c r="BA111" s="440" t="b">
        <f ca="1">IF(AND(NOT(AW111),AND(AW$4:AW110)),TRUE,AW111)</f>
        <v>0</v>
      </c>
      <c r="BB111" s="439" t="e">
        <f ca="1">IF(AND(NOT(ISBLANK(Jumpoverwrite11)),AND(NOT(BA111),AND(BA$4:BA110))),($J111*$G111-LN(1+Jumpoverwrite11*BC$2))/$G111,_xll.qlInterpolationInterpolate(BA$3,$F111,TRUE))</f>
        <v>#NAME?</v>
      </c>
      <c r="BC111" s="439" t="str">
        <f ca="1">IF(AND(NOT(BA111),AND(BA$4:BA110)),MIN(EXP((BB111-$J111)*$G111),1),"")</f>
        <v/>
      </c>
      <c r="BE111" s="440" t="b">
        <f ca="1">IF(AND(NOT(BA111),AND(BA$4:BA110)),TRUE,BA111)</f>
        <v>0</v>
      </c>
      <c r="BF111" s="439" t="e">
        <f ca="1">IF(AND(NOT(ISBLANK(Jumpoverwrite12)),AND(NOT(BE111),AND(BE$4:BE110))),($J111*$G111-LN(1+Jumpoverwrite12*BG$2))/$G111,_xll.qlInterpolationInterpolate(BE$3,$F111,TRUE))</f>
        <v>#NAME?</v>
      </c>
      <c r="BG111" s="439" t="str">
        <f ca="1">IF(AND(NOT(BE111),AND(BE$4:BE110)),MIN(EXP((BF111-$J111)*$G111),1),"")</f>
        <v/>
      </c>
      <c r="BI111" s="440" t="b">
        <f t="shared" ca="1" si="15"/>
        <v>0</v>
      </c>
      <c r="BJ111" s="439" t="e">
        <f ca="1">IF(AND(NOT(ISBLANK(jumpoverwrite13)),AND(NOT(BI111),AND(BI$4:BI110))),($J111*$G111-LN(1+jumpoverwrite13*BK$2))/$G111,_xll.qlInterpolationInterpolate(BI$3,$F111,TRUE))</f>
        <v>#NAME?</v>
      </c>
      <c r="BK111" s="439" t="str">
        <f ca="1">IF(AND(NOT(BI111),AND(BI$4:BI110)),MIN(EXP((BJ111-$J111)*$G111),1),"")</f>
        <v/>
      </c>
    </row>
    <row r="112" spans="1:63" x14ac:dyDescent="0.2">
      <c r="A112" s="438" t="e">
        <f ca="1"/>
        <v>#NAME?</v>
      </c>
      <c r="B112" s="437" t="e">
        <f ca="1">_xll.qlRateHelperRate($A112,InterestRatesTrigger)</f>
        <v>#NAME?</v>
      </c>
      <c r="C112" s="436" t="e">
        <f ca="1">_xll.qlRateHelperEarliestDate($A112)</f>
        <v>#NAME?</v>
      </c>
      <c r="D112" s="435" t="e">
        <f ca="1">_xll.qlRateHelperPillarDate($A112)</f>
        <v>#NAME?</v>
      </c>
      <c r="F112" s="445" t="e">
        <f t="shared" ca="1" si="13"/>
        <v>#N/A</v>
      </c>
      <c r="G112" s="444" t="e">
        <f ca="1">_xll.qlDayCounterYearFraction(DayCounter,D111,D112)</f>
        <v>#NAME?</v>
      </c>
      <c r="I112" s="443" t="b">
        <f t="shared" ca="1" si="14"/>
        <v>0</v>
      </c>
      <c r="J112" s="442" t="e">
        <f ca="1"/>
        <v>#NAME?</v>
      </c>
      <c r="K112" s="441" t="e">
        <f t="shared" ca="1" si="12"/>
        <v>#NAME?</v>
      </c>
      <c r="L112" s="429"/>
      <c r="M112" s="440" t="b">
        <f ca="1">IF(AND(NOT(I112),AND(I$4:I111)),TRUE,I112)</f>
        <v>0</v>
      </c>
      <c r="N112" s="439" t="e">
        <f ca="1">IF(AND(NOT(ISBLANK(Jumpoverwrite1)),AND(NOT(M112),AND(M$4:M111))),($J112*$G112-LN(1+Jumpoverwrite1*O$2))/$G112,_xll.qlInterpolationInterpolate(M$3,$F112,TRUE))</f>
        <v>#NAME?</v>
      </c>
      <c r="O112" s="439" t="str">
        <f ca="1">IF(AND(NOT(M112),AND(M$4:M111)),MIN(EXP((N112-$J112)*$G112),1),"")</f>
        <v/>
      </c>
      <c r="P112" s="428"/>
      <c r="Q112" s="440" t="b">
        <f ca="1">IF(AND(NOT(M112),AND(M$4:M111)),TRUE,M112)</f>
        <v>0</v>
      </c>
      <c r="R112" s="439" t="e">
        <f ca="1">IF(AND(NOT(ISBLANK(Jumpoverwrite2)),AND(NOT(Q112),AND(Q$4:Q111))),($J112*$G112-LN(1+Jumpoverwrite2*S$2))/$G112,_xll.qlInterpolationInterpolate(Q$3,$F112,TRUE))</f>
        <v>#NAME?</v>
      </c>
      <c r="S112" s="439" t="str">
        <f ca="1">IF(AND(NOT(Q112),AND(Q$4:Q111)),MIN(EXP((R112-$J112)*$G112),1),"")</f>
        <v/>
      </c>
      <c r="T112" s="428"/>
      <c r="U112" s="440" t="b">
        <f ca="1">IF(AND(NOT(Q112),AND(Q$4:Q111)),TRUE,Q112)</f>
        <v>0</v>
      </c>
      <c r="V112" s="439" t="e">
        <f ca="1">IF(AND(NOT(ISBLANK(Jumpoverwrite3)),AND(NOT(U112),AND(U$4:U111))),($J112*$G112-LN(1+Jumpoverwrite3*W$2))/$G112,_xll.qlInterpolationInterpolate(U$3,$F112,TRUE))</f>
        <v>#NAME?</v>
      </c>
      <c r="W112" s="439" t="str">
        <f ca="1">IF(AND(NOT(U112),AND(U$4:U111)),MIN(EXP((V112-$J112)*$G112),1),"")</f>
        <v/>
      </c>
      <c r="X112" s="428"/>
      <c r="Y112" s="440" t="b">
        <f ca="1">IF(AND(NOT(U112),AND(U$4:U111)),TRUE,U112)</f>
        <v>0</v>
      </c>
      <c r="Z112" s="439" t="e">
        <f ca="1">IF(AND(NOT(ISBLANK(Jumpoverwrite4)),AND(NOT(Y112),AND(Y$4:Y111))),($J112*$G112-LN(1+Jumpoverwrite4*AA$2))/$G112,_xll.qlInterpolationInterpolate(Y$3,$F112,TRUE))</f>
        <v>#NAME?</v>
      </c>
      <c r="AA112" s="439" t="str">
        <f ca="1">IF(AND(NOT(Y112),AND(Y$4:Y111)),MIN(EXP((Z112-$J112)*$G112),1),"")</f>
        <v/>
      </c>
      <c r="AB112" s="428"/>
      <c r="AC112" s="440" t="b">
        <f ca="1">IF(AND(NOT(Y112),AND(Y$4:Y111)),TRUE,Y112)</f>
        <v>0</v>
      </c>
      <c r="AD112" s="439" t="e">
        <f ca="1">IF(AND(NOT(ISBLANK(Jumpoverwrite5)),AND(NOT(AC112),AND(AC$4:AC111))),($J112*$G112-LN(1+Jumpoverwrite5*AE$2))/$G112,_xll.qlInterpolationInterpolate(AC$3,$F112,TRUE))</f>
        <v>#NAME?</v>
      </c>
      <c r="AE112" s="439" t="str">
        <f ca="1">IF(AND(NOT(AC112),AND(AC$4:AC111)),MIN(EXP((AD112-$J112)*$G112),1),"")</f>
        <v/>
      </c>
      <c r="AF112" s="428"/>
      <c r="AG112" s="440" t="b">
        <f ca="1">IF(AND(NOT(AC112),AND(AC$4:AC111)),TRUE,AC112)</f>
        <v>0</v>
      </c>
      <c r="AH112" s="439" t="e">
        <f ca="1">IF(AND(NOT(ISBLANK(Jumpoverwrite6)),AND(NOT(AG112),AND(AG$4:AG111))),($J112*$G112-LN(1+Jumpoverwrite6*AI$2))/$G112,_xll.qlInterpolationInterpolate(AG$3,$F112,TRUE))</f>
        <v>#NAME?</v>
      </c>
      <c r="AI112" s="439" t="str">
        <f ca="1">IF(AND(NOT(AG112),AND(AG$4:AG111)),MIN(EXP((AH112-$J112)*$G112),1),"")</f>
        <v/>
      </c>
      <c r="AJ112" s="428"/>
      <c r="AK112" s="440" t="b">
        <f ca="1">IF(AND(NOT(AG112),AND(AG$4:AG111)),TRUE,AG112)</f>
        <v>0</v>
      </c>
      <c r="AL112" s="439" t="e">
        <f ca="1">IF(AND(NOT(ISBLANK(Jumpoverwrite7)),AND(NOT(AK112),AND(AK$4:AK111))),($J112*$G112-LN(1+Jumpoverwrite7*AM$2))/$G112,_xll.qlInterpolationInterpolate(AK$3,$F112,TRUE))</f>
        <v>#NAME?</v>
      </c>
      <c r="AM112" s="439" t="str">
        <f ca="1">IF(AND(NOT(AK112),AND(AK$4:AK111)),MIN(EXP((AL112-$J112)*$G112),1),"")</f>
        <v/>
      </c>
      <c r="AO112" s="440" t="b">
        <f ca="1">IF(AND(NOT(AK112),AND(AK$4:AK111)),TRUE,AK112)</f>
        <v>0</v>
      </c>
      <c r="AP112" s="439" t="e">
        <f ca="1">IF(AND(NOT(ISBLANK(Jumpoverwrite8)),AND(NOT(AO112),AND(AO$4:AO111))),($J112*$G112-LN(1+Jumpoverwrite8*AQ$2))/$G112,_xll.qlInterpolationInterpolate(AO$3,$F112,TRUE))</f>
        <v>#NAME?</v>
      </c>
      <c r="AQ112" s="439" t="str">
        <f ca="1">IF(AND(NOT(AO112),AND(AO$4:AO111)),MIN(EXP((AP112-$J112)*$G112),1),"")</f>
        <v/>
      </c>
      <c r="AS112" s="440" t="b">
        <f ca="1">IF(AND(NOT(AO112),AND(AO$4:AO111)),TRUE,AO112)</f>
        <v>0</v>
      </c>
      <c r="AT112" s="439" t="e">
        <f ca="1">IF(AND(NOT(ISBLANK(Jumpoverwrite9)),AND(NOT(AS112),AND(AS$4:AS111))),($J112*$G112-LN(1+Jumpoverwrite9*AU$2))/$G112,_xll.qlInterpolationInterpolate(AS$3,$F112,TRUE))</f>
        <v>#NAME?</v>
      </c>
      <c r="AU112" s="439" t="str">
        <f ca="1">IF(AND(NOT(AS112),AND(AS$4:AS111)),MIN(EXP((AT112-$J112)*$G112),1),"")</f>
        <v/>
      </c>
      <c r="AW112" s="440" t="b">
        <f ca="1">IF(AND(NOT(AS112),AND(AS$4:AS111)),TRUE,AS112)</f>
        <v>0</v>
      </c>
      <c r="AX112" s="439" t="e">
        <f ca="1">IF(AND(NOT(ISBLANK(Jumpoverwrite10)),AND(NOT(AW112),AND(AW$4:AW111))),($J112*$G112-LN(1+Jumpoverwrite10*AY$2))/$G112,_xll.qlInterpolationInterpolate(AW$3,$F112,TRUE))</f>
        <v>#NAME?</v>
      </c>
      <c r="AY112" s="439" t="str">
        <f ca="1">IF(AND(NOT(AW112),AND(AW$4:AW111)),MIN(EXP((AX112-$J112)*$G112),1),"")</f>
        <v/>
      </c>
      <c r="BA112" s="440" t="b">
        <f ca="1">IF(AND(NOT(AW112),AND(AW$4:AW111)),TRUE,AW112)</f>
        <v>0</v>
      </c>
      <c r="BB112" s="439" t="e">
        <f ca="1">IF(AND(NOT(ISBLANK(Jumpoverwrite11)),AND(NOT(BA112),AND(BA$4:BA111))),($J112*$G112-LN(1+Jumpoverwrite11*BC$2))/$G112,_xll.qlInterpolationInterpolate(BA$3,$F112,TRUE))</f>
        <v>#NAME?</v>
      </c>
      <c r="BC112" s="439" t="str">
        <f ca="1">IF(AND(NOT(BA112),AND(BA$4:BA111)),MIN(EXP((BB112-$J112)*$G112),1),"")</f>
        <v/>
      </c>
      <c r="BE112" s="440" t="b">
        <f ca="1">IF(AND(NOT(BA112),AND(BA$4:BA111)),TRUE,BA112)</f>
        <v>0</v>
      </c>
      <c r="BF112" s="439" t="e">
        <f ca="1">IF(AND(NOT(ISBLANK(Jumpoverwrite12)),AND(NOT(BE112),AND(BE$4:BE111))),($J112*$G112-LN(1+Jumpoverwrite12*BG$2))/$G112,_xll.qlInterpolationInterpolate(BE$3,$F112,TRUE))</f>
        <v>#NAME?</v>
      </c>
      <c r="BG112" s="439" t="str">
        <f ca="1">IF(AND(NOT(BE112),AND(BE$4:BE111)),MIN(EXP((BF112-$J112)*$G112),1),"")</f>
        <v/>
      </c>
      <c r="BI112" s="440" t="b">
        <f t="shared" ca="1" si="15"/>
        <v>0</v>
      </c>
      <c r="BJ112" s="439" t="e">
        <f ca="1">IF(AND(NOT(ISBLANK(jumpoverwrite13)),AND(NOT(BI112),AND(BI$4:BI111))),($J112*$G112-LN(1+jumpoverwrite13*BK$2))/$G112,_xll.qlInterpolationInterpolate(BI$3,$F112,TRUE))</f>
        <v>#NAME?</v>
      </c>
      <c r="BK112" s="439" t="str">
        <f ca="1">IF(AND(NOT(BI112),AND(BI$4:BI111)),MIN(EXP((BJ112-$J112)*$G112),1),"")</f>
        <v/>
      </c>
    </row>
    <row r="113" spans="1:63" x14ac:dyDescent="0.2">
      <c r="A113" s="438" t="e">
        <f ca="1"/>
        <v>#NAME?</v>
      </c>
      <c r="B113" s="437" t="e">
        <f ca="1">_xll.qlRateHelperRate($A113,InterestRatesTrigger)</f>
        <v>#NAME?</v>
      </c>
      <c r="C113" s="436" t="e">
        <f ca="1">_xll.qlRateHelperEarliestDate($A113)</f>
        <v>#NAME?</v>
      </c>
      <c r="D113" s="435" t="e">
        <f ca="1">_xll.qlRateHelperPillarDate($A113)</f>
        <v>#NAME?</v>
      </c>
      <c r="F113" s="445" t="e">
        <f t="shared" ca="1" si="13"/>
        <v>#N/A</v>
      </c>
      <c r="G113" s="444" t="e">
        <f ca="1">_xll.qlDayCounterYearFraction(DayCounter,D112,D113)</f>
        <v>#NAME?</v>
      </c>
      <c r="I113" s="443" t="b">
        <f t="shared" ca="1" si="14"/>
        <v>0</v>
      </c>
      <c r="J113" s="442" t="e">
        <f ca="1"/>
        <v>#NAME?</v>
      </c>
      <c r="K113" s="441" t="e">
        <f t="shared" ca="1" si="12"/>
        <v>#NAME?</v>
      </c>
      <c r="L113" s="429"/>
      <c r="M113" s="440" t="b">
        <f ca="1">IF(AND(NOT(I113),AND(I$4:I112)),TRUE,I113)</f>
        <v>0</v>
      </c>
      <c r="N113" s="439" t="e">
        <f ca="1">IF(AND(NOT(ISBLANK(Jumpoverwrite1)),AND(NOT(M113),AND(M$4:M112))),($J113*$G113-LN(1+Jumpoverwrite1*O$2))/$G113,_xll.qlInterpolationInterpolate(M$3,$F113,TRUE))</f>
        <v>#NAME?</v>
      </c>
      <c r="O113" s="439" t="str">
        <f ca="1">IF(AND(NOT(M113),AND(M$4:M112)),MIN(EXP((N113-$J113)*$G113),1),"")</f>
        <v/>
      </c>
      <c r="P113" s="428"/>
      <c r="Q113" s="440" t="b">
        <f ca="1">IF(AND(NOT(M113),AND(M$4:M112)),TRUE,M113)</f>
        <v>0</v>
      </c>
      <c r="R113" s="439" t="e">
        <f ca="1">IF(AND(NOT(ISBLANK(Jumpoverwrite2)),AND(NOT(Q113),AND(Q$4:Q112))),($J113*$G113-LN(1+Jumpoverwrite2*S$2))/$G113,_xll.qlInterpolationInterpolate(Q$3,$F113,TRUE))</f>
        <v>#NAME?</v>
      </c>
      <c r="S113" s="439" t="str">
        <f ca="1">IF(AND(NOT(Q113),AND(Q$4:Q112)),MIN(EXP((R113-$J113)*$G113),1),"")</f>
        <v/>
      </c>
      <c r="T113" s="428"/>
      <c r="U113" s="440" t="b">
        <f ca="1">IF(AND(NOT(Q113),AND(Q$4:Q112)),TRUE,Q113)</f>
        <v>0</v>
      </c>
      <c r="V113" s="439" t="e">
        <f ca="1">IF(AND(NOT(ISBLANK(Jumpoverwrite3)),AND(NOT(U113),AND(U$4:U112))),($J113*$G113-LN(1+Jumpoverwrite3*W$2))/$G113,_xll.qlInterpolationInterpolate(U$3,$F113,TRUE))</f>
        <v>#NAME?</v>
      </c>
      <c r="W113" s="439" t="str">
        <f ca="1">IF(AND(NOT(U113),AND(U$4:U112)),MIN(EXP((V113-$J113)*$G113),1),"")</f>
        <v/>
      </c>
      <c r="X113" s="428"/>
      <c r="Y113" s="440" t="b">
        <f ca="1">IF(AND(NOT(U113),AND(U$4:U112)),TRUE,U113)</f>
        <v>0</v>
      </c>
      <c r="Z113" s="439" t="e">
        <f ca="1">IF(AND(NOT(ISBLANK(Jumpoverwrite4)),AND(NOT(Y113),AND(Y$4:Y112))),($J113*$G113-LN(1+Jumpoverwrite4*AA$2))/$G113,_xll.qlInterpolationInterpolate(Y$3,$F113,TRUE))</f>
        <v>#NAME?</v>
      </c>
      <c r="AA113" s="439" t="str">
        <f ca="1">IF(AND(NOT(Y113),AND(Y$4:Y112)),MIN(EXP((Z113-$J113)*$G113),1),"")</f>
        <v/>
      </c>
      <c r="AB113" s="428"/>
      <c r="AC113" s="440" t="b">
        <f ca="1">IF(AND(NOT(Y113),AND(Y$4:Y112)),TRUE,Y113)</f>
        <v>0</v>
      </c>
      <c r="AD113" s="439" t="e">
        <f ca="1">IF(AND(NOT(ISBLANK(Jumpoverwrite5)),AND(NOT(AC113),AND(AC$4:AC112))),($J113*$G113-LN(1+Jumpoverwrite5*AE$2))/$G113,_xll.qlInterpolationInterpolate(AC$3,$F113,TRUE))</f>
        <v>#NAME?</v>
      </c>
      <c r="AE113" s="439" t="str">
        <f ca="1">IF(AND(NOT(AC113),AND(AC$4:AC112)),MIN(EXP((AD113-$J113)*$G113),1),"")</f>
        <v/>
      </c>
      <c r="AF113" s="428"/>
      <c r="AG113" s="440" t="b">
        <f ca="1">IF(AND(NOT(AC113),AND(AC$4:AC112)),TRUE,AC113)</f>
        <v>0</v>
      </c>
      <c r="AH113" s="439" t="e">
        <f ca="1">IF(AND(NOT(ISBLANK(Jumpoverwrite6)),AND(NOT(AG113),AND(AG$4:AG112))),($J113*$G113-LN(1+Jumpoverwrite6*AI$2))/$G113,_xll.qlInterpolationInterpolate(AG$3,$F113,TRUE))</f>
        <v>#NAME?</v>
      </c>
      <c r="AI113" s="439" t="str">
        <f ca="1">IF(AND(NOT(AG113),AND(AG$4:AG112)),MIN(EXP((AH113-$J113)*$G113),1),"")</f>
        <v/>
      </c>
      <c r="AJ113" s="428"/>
      <c r="AK113" s="440" t="b">
        <f ca="1">IF(AND(NOT(AG113),AND(AG$4:AG112)),TRUE,AG113)</f>
        <v>0</v>
      </c>
      <c r="AL113" s="439" t="e">
        <f ca="1">IF(AND(NOT(ISBLANK(Jumpoverwrite7)),AND(NOT(AK113),AND(AK$4:AK112))),($J113*$G113-LN(1+Jumpoverwrite7*AM$2))/$G113,_xll.qlInterpolationInterpolate(AK$3,$F113,TRUE))</f>
        <v>#NAME?</v>
      </c>
      <c r="AM113" s="439" t="str">
        <f ca="1">IF(AND(NOT(AK113),AND(AK$4:AK112)),MIN(EXP((AL113-$J113)*$G113),1),"")</f>
        <v/>
      </c>
      <c r="AO113" s="440" t="b">
        <f ca="1">IF(AND(NOT(AK113),AND(AK$4:AK112)),TRUE,AK113)</f>
        <v>0</v>
      </c>
      <c r="AP113" s="439" t="e">
        <f ca="1">IF(AND(NOT(ISBLANK(Jumpoverwrite8)),AND(NOT(AO113),AND(AO$4:AO112))),($J113*$G113-LN(1+Jumpoverwrite8*AQ$2))/$G113,_xll.qlInterpolationInterpolate(AO$3,$F113,TRUE))</f>
        <v>#NAME?</v>
      </c>
      <c r="AQ113" s="439" t="str">
        <f ca="1">IF(AND(NOT(AO113),AND(AO$4:AO112)),MIN(EXP((AP113-$J113)*$G113),1),"")</f>
        <v/>
      </c>
      <c r="AS113" s="440" t="b">
        <f ca="1">IF(AND(NOT(AO113),AND(AO$4:AO112)),TRUE,AO113)</f>
        <v>0</v>
      </c>
      <c r="AT113" s="439" t="e">
        <f ca="1">IF(AND(NOT(ISBLANK(Jumpoverwrite9)),AND(NOT(AS113),AND(AS$4:AS112))),($J113*$G113-LN(1+Jumpoverwrite9*AU$2))/$G113,_xll.qlInterpolationInterpolate(AS$3,$F113,TRUE))</f>
        <v>#NAME?</v>
      </c>
      <c r="AU113" s="439" t="str">
        <f ca="1">IF(AND(NOT(AS113),AND(AS$4:AS112)),MIN(EXP((AT113-$J113)*$G113),1),"")</f>
        <v/>
      </c>
      <c r="AW113" s="440" t="b">
        <f ca="1">IF(AND(NOT(AS113),AND(AS$4:AS112)),TRUE,AS113)</f>
        <v>0</v>
      </c>
      <c r="AX113" s="439" t="e">
        <f ca="1">IF(AND(NOT(ISBLANK(Jumpoverwrite10)),AND(NOT(AW113),AND(AW$4:AW112))),($J113*$G113-LN(1+Jumpoverwrite10*AY$2))/$G113,_xll.qlInterpolationInterpolate(AW$3,$F113,TRUE))</f>
        <v>#NAME?</v>
      </c>
      <c r="AY113" s="439" t="str">
        <f ca="1">IF(AND(NOT(AW113),AND(AW$4:AW112)),MIN(EXP((AX113-$J113)*$G113),1),"")</f>
        <v/>
      </c>
      <c r="BA113" s="440" t="b">
        <f ca="1">IF(AND(NOT(AW113),AND(AW$4:AW112)),TRUE,AW113)</f>
        <v>0</v>
      </c>
      <c r="BB113" s="439" t="e">
        <f ca="1">IF(AND(NOT(ISBLANK(Jumpoverwrite11)),AND(NOT(BA113),AND(BA$4:BA112))),($J113*$G113-LN(1+Jumpoverwrite11*BC$2))/$G113,_xll.qlInterpolationInterpolate(BA$3,$F113,TRUE))</f>
        <v>#NAME?</v>
      </c>
      <c r="BC113" s="439" t="str">
        <f ca="1">IF(AND(NOT(BA113),AND(BA$4:BA112)),MIN(EXP((BB113-$J113)*$G113),1),"")</f>
        <v/>
      </c>
      <c r="BE113" s="440" t="b">
        <f ca="1">IF(AND(NOT(BA113),AND(BA$4:BA112)),TRUE,BA113)</f>
        <v>0</v>
      </c>
      <c r="BF113" s="439" t="e">
        <f ca="1">IF(AND(NOT(ISBLANK(Jumpoverwrite12)),AND(NOT(BE113),AND(BE$4:BE112))),($J113*$G113-LN(1+Jumpoverwrite12*BG$2))/$G113,_xll.qlInterpolationInterpolate(BE$3,$F113,TRUE))</f>
        <v>#NAME?</v>
      </c>
      <c r="BG113" s="439" t="str">
        <f ca="1">IF(AND(NOT(BE113),AND(BE$4:BE112)),MIN(EXP((BF113-$J113)*$G113),1),"")</f>
        <v/>
      </c>
      <c r="BI113" s="440" t="b">
        <f t="shared" ca="1" si="15"/>
        <v>0</v>
      </c>
      <c r="BJ113" s="439" t="e">
        <f ca="1">IF(AND(NOT(ISBLANK(jumpoverwrite13)),AND(NOT(BI113),AND(BI$4:BI112))),($J113*$G113-LN(1+jumpoverwrite13*BK$2))/$G113,_xll.qlInterpolationInterpolate(BI$3,$F113,TRUE))</f>
        <v>#NAME?</v>
      </c>
      <c r="BK113" s="439" t="str">
        <f ca="1">IF(AND(NOT(BI113),AND(BI$4:BI112)),MIN(EXP((BJ113-$J113)*$G113),1),"")</f>
        <v/>
      </c>
    </row>
    <row r="114" spans="1:63" x14ac:dyDescent="0.2">
      <c r="A114" s="438" t="e">
        <f ca="1"/>
        <v>#NAME?</v>
      </c>
      <c r="B114" s="437" t="e">
        <f ca="1">_xll.qlRateHelperRate($A114,InterestRatesTrigger)</f>
        <v>#NAME?</v>
      </c>
      <c r="C114" s="436" t="e">
        <f ca="1">_xll.qlRateHelperEarliestDate($A114)</f>
        <v>#NAME?</v>
      </c>
      <c r="D114" s="435" t="e">
        <f ca="1">_xll.qlRateHelperPillarDate($A114)</f>
        <v>#NAME?</v>
      </c>
      <c r="F114" s="445" t="e">
        <f t="shared" ca="1" si="13"/>
        <v>#N/A</v>
      </c>
      <c r="G114" s="444" t="e">
        <f ca="1">_xll.qlDayCounterYearFraction(DayCounter,D113,D114)</f>
        <v>#NAME?</v>
      </c>
      <c r="I114" s="443" t="b">
        <f t="shared" ca="1" si="14"/>
        <v>0</v>
      </c>
      <c r="J114" s="442" t="e">
        <f ca="1"/>
        <v>#NAME?</v>
      </c>
      <c r="K114" s="441" t="e">
        <f t="shared" ca="1" si="12"/>
        <v>#NAME?</v>
      </c>
      <c r="L114" s="429"/>
      <c r="M114" s="440" t="b">
        <f ca="1">IF(AND(NOT(I114),AND(I$4:I113)),TRUE,I114)</f>
        <v>0</v>
      </c>
      <c r="N114" s="439" t="e">
        <f ca="1">IF(AND(NOT(ISBLANK(Jumpoverwrite1)),AND(NOT(M114),AND(M$4:M113))),($J114*$G114-LN(1+Jumpoverwrite1*O$2))/$G114,_xll.qlInterpolationInterpolate(M$3,$F114,TRUE))</f>
        <v>#NAME?</v>
      </c>
      <c r="O114" s="439" t="str">
        <f ca="1">IF(AND(NOT(M114),AND(M$4:M113)),MIN(EXP((N114-$J114)*$G114),1),"")</f>
        <v/>
      </c>
      <c r="P114" s="428"/>
      <c r="Q114" s="440" t="b">
        <f ca="1">IF(AND(NOT(M114),AND(M$4:M113)),TRUE,M114)</f>
        <v>0</v>
      </c>
      <c r="R114" s="439" t="e">
        <f ca="1">IF(AND(NOT(ISBLANK(Jumpoverwrite2)),AND(NOT(Q114),AND(Q$4:Q113))),($J114*$G114-LN(1+Jumpoverwrite2*S$2))/$G114,_xll.qlInterpolationInterpolate(Q$3,$F114,TRUE))</f>
        <v>#NAME?</v>
      </c>
      <c r="S114" s="439" t="str">
        <f ca="1">IF(AND(NOT(Q114),AND(Q$4:Q113)),MIN(EXP((R114-$J114)*$G114),1),"")</f>
        <v/>
      </c>
      <c r="T114" s="428"/>
      <c r="U114" s="440" t="b">
        <f ca="1">IF(AND(NOT(Q114),AND(Q$4:Q113)),TRUE,Q114)</f>
        <v>0</v>
      </c>
      <c r="V114" s="439" t="e">
        <f ca="1">IF(AND(NOT(ISBLANK(Jumpoverwrite3)),AND(NOT(U114),AND(U$4:U113))),($J114*$G114-LN(1+Jumpoverwrite3*W$2))/$G114,_xll.qlInterpolationInterpolate(U$3,$F114,TRUE))</f>
        <v>#NAME?</v>
      </c>
      <c r="W114" s="439" t="str">
        <f ca="1">IF(AND(NOT(U114),AND(U$4:U113)),MIN(EXP((V114-$J114)*$G114),1),"")</f>
        <v/>
      </c>
      <c r="X114" s="428"/>
      <c r="Y114" s="440" t="b">
        <f ca="1">IF(AND(NOT(U114),AND(U$4:U113)),TRUE,U114)</f>
        <v>0</v>
      </c>
      <c r="Z114" s="439" t="e">
        <f ca="1">IF(AND(NOT(ISBLANK(Jumpoverwrite4)),AND(NOT(Y114),AND(Y$4:Y113))),($J114*$G114-LN(1+Jumpoverwrite4*AA$2))/$G114,_xll.qlInterpolationInterpolate(Y$3,$F114,TRUE))</f>
        <v>#NAME?</v>
      </c>
      <c r="AA114" s="439" t="str">
        <f ca="1">IF(AND(NOT(Y114),AND(Y$4:Y113)),MIN(EXP((Z114-$J114)*$G114),1),"")</f>
        <v/>
      </c>
      <c r="AB114" s="428"/>
      <c r="AC114" s="440" t="b">
        <f ca="1">IF(AND(NOT(Y114),AND(Y$4:Y113)),TRUE,Y114)</f>
        <v>0</v>
      </c>
      <c r="AD114" s="439" t="e">
        <f ca="1">IF(AND(NOT(ISBLANK(Jumpoverwrite5)),AND(NOT(AC114),AND(AC$4:AC113))),($J114*$G114-LN(1+Jumpoverwrite5*AE$2))/$G114,_xll.qlInterpolationInterpolate(AC$3,$F114,TRUE))</f>
        <v>#NAME?</v>
      </c>
      <c r="AE114" s="439" t="str">
        <f ca="1">IF(AND(NOT(AC114),AND(AC$4:AC113)),MIN(EXP((AD114-$J114)*$G114),1),"")</f>
        <v/>
      </c>
      <c r="AF114" s="428"/>
      <c r="AG114" s="440" t="b">
        <f ca="1">IF(AND(NOT(AC114),AND(AC$4:AC113)),TRUE,AC114)</f>
        <v>0</v>
      </c>
      <c r="AH114" s="439" t="e">
        <f ca="1">IF(AND(NOT(ISBLANK(Jumpoverwrite6)),AND(NOT(AG114),AND(AG$4:AG113))),($J114*$G114-LN(1+Jumpoverwrite6*AI$2))/$G114,_xll.qlInterpolationInterpolate(AG$3,$F114,TRUE))</f>
        <v>#NAME?</v>
      </c>
      <c r="AI114" s="439" t="str">
        <f ca="1">IF(AND(NOT(AG114),AND(AG$4:AG113)),MIN(EXP((AH114-$J114)*$G114),1),"")</f>
        <v/>
      </c>
      <c r="AJ114" s="428"/>
      <c r="AK114" s="440" t="b">
        <f ca="1">IF(AND(NOT(AG114),AND(AG$4:AG113)),TRUE,AG114)</f>
        <v>0</v>
      </c>
      <c r="AL114" s="439" t="e">
        <f ca="1">IF(AND(NOT(ISBLANK(Jumpoverwrite7)),AND(NOT(AK114),AND(AK$4:AK113))),($J114*$G114-LN(1+Jumpoverwrite7*AM$2))/$G114,_xll.qlInterpolationInterpolate(AK$3,$F114,TRUE))</f>
        <v>#NAME?</v>
      </c>
      <c r="AM114" s="439" t="str">
        <f ca="1">IF(AND(NOT(AK114),AND(AK$4:AK113)),MIN(EXP((AL114-$J114)*$G114),1),"")</f>
        <v/>
      </c>
      <c r="AO114" s="440" t="b">
        <f ca="1">IF(AND(NOT(AK114),AND(AK$4:AK113)),TRUE,AK114)</f>
        <v>0</v>
      </c>
      <c r="AP114" s="439" t="e">
        <f ca="1">IF(AND(NOT(ISBLANK(Jumpoverwrite8)),AND(NOT(AO114),AND(AO$4:AO113))),($J114*$G114-LN(1+Jumpoverwrite8*AQ$2))/$G114,_xll.qlInterpolationInterpolate(AO$3,$F114,TRUE))</f>
        <v>#NAME?</v>
      </c>
      <c r="AQ114" s="439" t="str">
        <f ca="1">IF(AND(NOT(AO114),AND(AO$4:AO113)),MIN(EXP((AP114-$J114)*$G114),1),"")</f>
        <v/>
      </c>
      <c r="AS114" s="440" t="b">
        <f ca="1">IF(AND(NOT(AO114),AND(AO$4:AO113)),TRUE,AO114)</f>
        <v>0</v>
      </c>
      <c r="AT114" s="439" t="e">
        <f ca="1">IF(AND(NOT(ISBLANK(Jumpoverwrite9)),AND(NOT(AS114),AND(AS$4:AS113))),($J114*$G114-LN(1+Jumpoverwrite9*AU$2))/$G114,_xll.qlInterpolationInterpolate(AS$3,$F114,TRUE))</f>
        <v>#NAME?</v>
      </c>
      <c r="AU114" s="439" t="str">
        <f ca="1">IF(AND(NOT(AS114),AND(AS$4:AS113)),MIN(EXP((AT114-$J114)*$G114),1),"")</f>
        <v/>
      </c>
      <c r="AW114" s="440" t="b">
        <f ca="1">IF(AND(NOT(AS114),AND(AS$4:AS113)),TRUE,AS114)</f>
        <v>0</v>
      </c>
      <c r="AX114" s="439" t="e">
        <f ca="1">IF(AND(NOT(ISBLANK(Jumpoverwrite10)),AND(NOT(AW114),AND(AW$4:AW113))),($J114*$G114-LN(1+Jumpoverwrite10*AY$2))/$G114,_xll.qlInterpolationInterpolate(AW$3,$F114,TRUE))</f>
        <v>#NAME?</v>
      </c>
      <c r="AY114" s="439" t="str">
        <f ca="1">IF(AND(NOT(AW114),AND(AW$4:AW113)),MIN(EXP((AX114-$J114)*$G114),1),"")</f>
        <v/>
      </c>
      <c r="BA114" s="440" t="b">
        <f ca="1">IF(AND(NOT(AW114),AND(AW$4:AW113)),TRUE,AW114)</f>
        <v>0</v>
      </c>
      <c r="BB114" s="439" t="e">
        <f ca="1">IF(AND(NOT(ISBLANK(Jumpoverwrite11)),AND(NOT(BA114),AND(BA$4:BA113))),($J114*$G114-LN(1+Jumpoverwrite11*BC$2))/$G114,_xll.qlInterpolationInterpolate(BA$3,$F114,TRUE))</f>
        <v>#NAME?</v>
      </c>
      <c r="BC114" s="439" t="str">
        <f ca="1">IF(AND(NOT(BA114),AND(BA$4:BA113)),MIN(EXP((BB114-$J114)*$G114),1),"")</f>
        <v/>
      </c>
      <c r="BE114" s="440" t="b">
        <f ca="1">IF(AND(NOT(BA114),AND(BA$4:BA113)),TRUE,BA114)</f>
        <v>0</v>
      </c>
      <c r="BF114" s="439" t="e">
        <f ca="1">IF(AND(NOT(ISBLANK(Jumpoverwrite12)),AND(NOT(BE114),AND(BE$4:BE113))),($J114*$G114-LN(1+Jumpoverwrite12*BG$2))/$G114,_xll.qlInterpolationInterpolate(BE$3,$F114,TRUE))</f>
        <v>#NAME?</v>
      </c>
      <c r="BG114" s="439" t="str">
        <f ca="1">IF(AND(NOT(BE114),AND(BE$4:BE113)),MIN(EXP((BF114-$J114)*$G114),1),"")</f>
        <v/>
      </c>
      <c r="BI114" s="440" t="b">
        <f t="shared" ca="1" si="15"/>
        <v>0</v>
      </c>
      <c r="BJ114" s="439" t="e">
        <f ca="1">IF(AND(NOT(ISBLANK(jumpoverwrite13)),AND(NOT(BI114),AND(BI$4:BI113))),($J114*$G114-LN(1+jumpoverwrite13*BK$2))/$G114,_xll.qlInterpolationInterpolate(BI$3,$F114,TRUE))</f>
        <v>#NAME?</v>
      </c>
      <c r="BK114" s="439" t="str">
        <f ca="1">IF(AND(NOT(BI114),AND(BI$4:BI113)),MIN(EXP((BJ114-$J114)*$G114),1),"")</f>
        <v/>
      </c>
    </row>
    <row r="115" spans="1:63" x14ac:dyDescent="0.2">
      <c r="A115" s="438" t="e">
        <f ca="1"/>
        <v>#NAME?</v>
      </c>
      <c r="B115" s="437" t="e">
        <f ca="1">_xll.qlRateHelperRate($A115,InterestRatesTrigger)</f>
        <v>#NAME?</v>
      </c>
      <c r="C115" s="436" t="e">
        <f ca="1">_xll.qlRateHelperEarliestDate($A115)</f>
        <v>#NAME?</v>
      </c>
      <c r="D115" s="435" t="e">
        <f ca="1">_xll.qlRateHelperPillarDate($A115)</f>
        <v>#NAME?</v>
      </c>
      <c r="F115" s="445" t="e">
        <f t="shared" ca="1" si="13"/>
        <v>#N/A</v>
      </c>
      <c r="G115" s="444" t="e">
        <f ca="1">_xll.qlDayCounterYearFraction(DayCounter,D114,D115)</f>
        <v>#NAME?</v>
      </c>
      <c r="I115" s="443" t="b">
        <f t="shared" ca="1" si="14"/>
        <v>0</v>
      </c>
      <c r="J115" s="442" t="e">
        <f ca="1"/>
        <v>#NAME?</v>
      </c>
      <c r="K115" s="441" t="e">
        <f t="shared" ca="1" si="12"/>
        <v>#NAME?</v>
      </c>
      <c r="L115" s="429"/>
      <c r="M115" s="440" t="b">
        <f ca="1">IF(AND(NOT(I115),AND(I$4:I114)),TRUE,I115)</f>
        <v>0</v>
      </c>
      <c r="N115" s="439" t="e">
        <f ca="1">IF(AND(NOT(ISBLANK(Jumpoverwrite1)),AND(NOT(M115),AND(M$4:M114))),($J115*$G115-LN(1+Jumpoverwrite1*O$2))/$G115,_xll.qlInterpolationInterpolate(M$3,$F115,TRUE))</f>
        <v>#NAME?</v>
      </c>
      <c r="O115" s="439" t="str">
        <f ca="1">IF(AND(NOT(M115),AND(M$4:M114)),MIN(EXP((N115-$J115)*$G115),1),"")</f>
        <v/>
      </c>
      <c r="P115" s="428"/>
      <c r="Q115" s="440" t="b">
        <f ca="1">IF(AND(NOT(M115),AND(M$4:M114)),TRUE,M115)</f>
        <v>0</v>
      </c>
      <c r="R115" s="439" t="e">
        <f ca="1">IF(AND(NOT(ISBLANK(Jumpoverwrite2)),AND(NOT(Q115),AND(Q$4:Q114))),($J115*$G115-LN(1+Jumpoverwrite2*S$2))/$G115,_xll.qlInterpolationInterpolate(Q$3,$F115,TRUE))</f>
        <v>#NAME?</v>
      </c>
      <c r="S115" s="439" t="str">
        <f ca="1">IF(AND(NOT(Q115),AND(Q$4:Q114)),MIN(EXP((R115-$J115)*$G115),1),"")</f>
        <v/>
      </c>
      <c r="T115" s="428"/>
      <c r="U115" s="440" t="b">
        <f ca="1">IF(AND(NOT(Q115),AND(Q$4:Q114)),TRUE,Q115)</f>
        <v>0</v>
      </c>
      <c r="V115" s="439" t="e">
        <f ca="1">IF(AND(NOT(ISBLANK(Jumpoverwrite3)),AND(NOT(U115),AND(U$4:U114))),($J115*$G115-LN(1+Jumpoverwrite3*W$2))/$G115,_xll.qlInterpolationInterpolate(U$3,$F115,TRUE))</f>
        <v>#NAME?</v>
      </c>
      <c r="W115" s="439" t="str">
        <f ca="1">IF(AND(NOT(U115),AND(U$4:U114)),MIN(EXP((V115-$J115)*$G115),1),"")</f>
        <v/>
      </c>
      <c r="X115" s="428"/>
      <c r="Y115" s="440" t="b">
        <f ca="1">IF(AND(NOT(U115),AND(U$4:U114)),TRUE,U115)</f>
        <v>0</v>
      </c>
      <c r="Z115" s="439" t="e">
        <f ca="1">IF(AND(NOT(ISBLANK(Jumpoverwrite4)),AND(NOT(Y115),AND(Y$4:Y114))),($J115*$G115-LN(1+Jumpoverwrite4*AA$2))/$G115,_xll.qlInterpolationInterpolate(Y$3,$F115,TRUE))</f>
        <v>#NAME?</v>
      </c>
      <c r="AA115" s="439" t="str">
        <f ca="1">IF(AND(NOT(Y115),AND(Y$4:Y114)),MIN(EXP((Z115-$J115)*$G115),1),"")</f>
        <v/>
      </c>
      <c r="AB115" s="428"/>
      <c r="AC115" s="440" t="b">
        <f ca="1">IF(AND(NOT(Y115),AND(Y$4:Y114)),TRUE,Y115)</f>
        <v>0</v>
      </c>
      <c r="AD115" s="439" t="e">
        <f ca="1">IF(AND(NOT(ISBLANK(Jumpoverwrite5)),AND(NOT(AC115),AND(AC$4:AC114))),($J115*$G115-LN(1+Jumpoverwrite5*AE$2))/$G115,_xll.qlInterpolationInterpolate(AC$3,$F115,TRUE))</f>
        <v>#NAME?</v>
      </c>
      <c r="AE115" s="439" t="str">
        <f ca="1">IF(AND(NOT(AC115),AND(AC$4:AC114)),MIN(EXP((AD115-$J115)*$G115),1),"")</f>
        <v/>
      </c>
      <c r="AF115" s="428"/>
      <c r="AG115" s="440" t="b">
        <f ca="1">IF(AND(NOT(AC115),AND(AC$4:AC114)),TRUE,AC115)</f>
        <v>0</v>
      </c>
      <c r="AH115" s="439" t="e">
        <f ca="1">IF(AND(NOT(ISBLANK(Jumpoverwrite6)),AND(NOT(AG115),AND(AG$4:AG114))),($J115*$G115-LN(1+Jumpoverwrite6*AI$2))/$G115,_xll.qlInterpolationInterpolate(AG$3,$F115,TRUE))</f>
        <v>#NAME?</v>
      </c>
      <c r="AI115" s="439" t="str">
        <f ca="1">IF(AND(NOT(AG115),AND(AG$4:AG114)),MIN(EXP((AH115-$J115)*$G115),1),"")</f>
        <v/>
      </c>
      <c r="AJ115" s="428"/>
      <c r="AK115" s="440" t="b">
        <f ca="1">IF(AND(NOT(AG115),AND(AG$4:AG114)),TRUE,AG115)</f>
        <v>0</v>
      </c>
      <c r="AL115" s="439" t="e">
        <f ca="1">IF(AND(NOT(ISBLANK(Jumpoverwrite7)),AND(NOT(AK115),AND(AK$4:AK114))),($J115*$G115-LN(1+Jumpoverwrite7*AM$2))/$G115,_xll.qlInterpolationInterpolate(AK$3,$F115,TRUE))</f>
        <v>#NAME?</v>
      </c>
      <c r="AM115" s="439" t="str">
        <f ca="1">IF(AND(NOT(AK115),AND(AK$4:AK114)),MIN(EXP((AL115-$J115)*$G115),1),"")</f>
        <v/>
      </c>
      <c r="AO115" s="440" t="b">
        <f ca="1">IF(AND(NOT(AK115),AND(AK$4:AK114)),TRUE,AK115)</f>
        <v>0</v>
      </c>
      <c r="AP115" s="439" t="e">
        <f ca="1">IF(AND(NOT(ISBLANK(Jumpoverwrite8)),AND(NOT(AO115),AND(AO$4:AO114))),($J115*$G115-LN(1+Jumpoverwrite8*AQ$2))/$G115,_xll.qlInterpolationInterpolate(AO$3,$F115,TRUE))</f>
        <v>#NAME?</v>
      </c>
      <c r="AQ115" s="439" t="str">
        <f ca="1">IF(AND(NOT(AO115),AND(AO$4:AO114)),MIN(EXP((AP115-$J115)*$G115),1),"")</f>
        <v/>
      </c>
      <c r="AS115" s="440" t="b">
        <f ca="1">IF(AND(NOT(AO115),AND(AO$4:AO114)),TRUE,AO115)</f>
        <v>0</v>
      </c>
      <c r="AT115" s="439" t="e">
        <f ca="1">IF(AND(NOT(ISBLANK(Jumpoverwrite9)),AND(NOT(AS115),AND(AS$4:AS114))),($J115*$G115-LN(1+Jumpoverwrite9*AU$2))/$G115,_xll.qlInterpolationInterpolate(AS$3,$F115,TRUE))</f>
        <v>#NAME?</v>
      </c>
      <c r="AU115" s="439" t="str">
        <f ca="1">IF(AND(NOT(AS115),AND(AS$4:AS114)),MIN(EXP((AT115-$J115)*$G115),1),"")</f>
        <v/>
      </c>
      <c r="AW115" s="440" t="b">
        <f ca="1">IF(AND(NOT(AS115),AND(AS$4:AS114)),TRUE,AS115)</f>
        <v>0</v>
      </c>
      <c r="AX115" s="439" t="e">
        <f ca="1">IF(AND(NOT(ISBLANK(Jumpoverwrite10)),AND(NOT(AW115),AND(AW$4:AW114))),($J115*$G115-LN(1+Jumpoverwrite10*AY$2))/$G115,_xll.qlInterpolationInterpolate(AW$3,$F115,TRUE))</f>
        <v>#NAME?</v>
      </c>
      <c r="AY115" s="439" t="str">
        <f ca="1">IF(AND(NOT(AW115),AND(AW$4:AW114)),MIN(EXP((AX115-$J115)*$G115),1),"")</f>
        <v/>
      </c>
      <c r="BA115" s="440" t="b">
        <f ca="1">IF(AND(NOT(AW115),AND(AW$4:AW114)),TRUE,AW115)</f>
        <v>0</v>
      </c>
      <c r="BB115" s="439" t="e">
        <f ca="1">IF(AND(NOT(ISBLANK(Jumpoverwrite11)),AND(NOT(BA115),AND(BA$4:BA114))),($J115*$G115-LN(1+Jumpoverwrite11*BC$2))/$G115,_xll.qlInterpolationInterpolate(BA$3,$F115,TRUE))</f>
        <v>#NAME?</v>
      </c>
      <c r="BC115" s="439" t="str">
        <f ca="1">IF(AND(NOT(BA115),AND(BA$4:BA114)),MIN(EXP((BB115-$J115)*$G115),1),"")</f>
        <v/>
      </c>
      <c r="BE115" s="440" t="b">
        <f ca="1">IF(AND(NOT(BA115),AND(BA$4:BA114)),TRUE,BA115)</f>
        <v>0</v>
      </c>
      <c r="BF115" s="439" t="e">
        <f ca="1">IF(AND(NOT(ISBLANK(Jumpoverwrite12)),AND(NOT(BE115),AND(BE$4:BE114))),($J115*$G115-LN(1+Jumpoverwrite12*BG$2))/$G115,_xll.qlInterpolationInterpolate(BE$3,$F115,TRUE))</f>
        <v>#NAME?</v>
      </c>
      <c r="BG115" s="439" t="str">
        <f ca="1">IF(AND(NOT(BE115),AND(BE$4:BE114)),MIN(EXP((BF115-$J115)*$G115),1),"")</f>
        <v/>
      </c>
      <c r="BI115" s="440" t="b">
        <f t="shared" ca="1" si="15"/>
        <v>0</v>
      </c>
      <c r="BJ115" s="439" t="e">
        <f ca="1">IF(AND(NOT(ISBLANK(jumpoverwrite13)),AND(NOT(BI115),AND(BI$4:BI114))),($J115*$G115-LN(1+jumpoverwrite13*BK$2))/$G115,_xll.qlInterpolationInterpolate(BI$3,$F115,TRUE))</f>
        <v>#NAME?</v>
      </c>
      <c r="BK115" s="439" t="str">
        <f ca="1">IF(AND(NOT(BI115),AND(BI$4:BI114)),MIN(EXP((BJ115-$J115)*$G115),1),"")</f>
        <v/>
      </c>
    </row>
    <row r="116" spans="1:63" x14ac:dyDescent="0.2">
      <c r="A116" s="438" t="e">
        <f ca="1"/>
        <v>#NAME?</v>
      </c>
      <c r="B116" s="437" t="e">
        <f ca="1">_xll.qlRateHelperRate($A116,InterestRatesTrigger)</f>
        <v>#NAME?</v>
      </c>
      <c r="C116" s="436" t="e">
        <f ca="1">_xll.qlRateHelperEarliestDate($A116)</f>
        <v>#NAME?</v>
      </c>
      <c r="D116" s="435" t="e">
        <f ca="1">_xll.qlRateHelperPillarDate($A116)</f>
        <v>#NAME?</v>
      </c>
      <c r="F116" s="445" t="e">
        <f t="shared" ca="1" si="13"/>
        <v>#N/A</v>
      </c>
      <c r="G116" s="444" t="e">
        <f ca="1">_xll.qlDayCounterYearFraction(DayCounter,D115,D116)</f>
        <v>#NAME?</v>
      </c>
      <c r="I116" s="443" t="b">
        <f t="shared" ca="1" si="14"/>
        <v>0</v>
      </c>
      <c r="J116" s="442" t="e">
        <f ca="1"/>
        <v>#NAME?</v>
      </c>
      <c r="K116" s="441" t="e">
        <f t="shared" ca="1" si="12"/>
        <v>#NAME?</v>
      </c>
      <c r="L116" s="429"/>
      <c r="M116" s="440" t="b">
        <f ca="1">IF(AND(NOT(I116),AND(I$4:I115)),TRUE,I116)</f>
        <v>0</v>
      </c>
      <c r="N116" s="439" t="e">
        <f ca="1">IF(AND(NOT(ISBLANK(Jumpoverwrite1)),AND(NOT(M116),AND(M$4:M115))),($J116*$G116-LN(1+Jumpoverwrite1*O$2))/$G116,_xll.qlInterpolationInterpolate(M$3,$F116,TRUE))</f>
        <v>#NAME?</v>
      </c>
      <c r="O116" s="439" t="str">
        <f ca="1">IF(AND(NOT(M116),AND(M$4:M115)),MIN(EXP((N116-$J116)*$G116),1),"")</f>
        <v/>
      </c>
      <c r="P116" s="428"/>
      <c r="Q116" s="440" t="b">
        <f ca="1">IF(AND(NOT(M116),AND(M$4:M115)),TRUE,M116)</f>
        <v>0</v>
      </c>
      <c r="R116" s="439" t="e">
        <f ca="1">IF(AND(NOT(ISBLANK(Jumpoverwrite2)),AND(NOT(Q116),AND(Q$4:Q115))),($J116*$G116-LN(1+Jumpoverwrite2*S$2))/$G116,_xll.qlInterpolationInterpolate(Q$3,$F116,TRUE))</f>
        <v>#NAME?</v>
      </c>
      <c r="S116" s="439" t="str">
        <f ca="1">IF(AND(NOT(Q116),AND(Q$4:Q115)),MIN(EXP((R116-$J116)*$G116),1),"")</f>
        <v/>
      </c>
      <c r="T116" s="428"/>
      <c r="U116" s="440" t="b">
        <f ca="1">IF(AND(NOT(Q116),AND(Q$4:Q115)),TRUE,Q116)</f>
        <v>0</v>
      </c>
      <c r="V116" s="439" t="e">
        <f ca="1">IF(AND(NOT(ISBLANK(Jumpoverwrite3)),AND(NOT(U116),AND(U$4:U115))),($J116*$G116-LN(1+Jumpoverwrite3*W$2))/$G116,_xll.qlInterpolationInterpolate(U$3,$F116,TRUE))</f>
        <v>#NAME?</v>
      </c>
      <c r="W116" s="439" t="str">
        <f ca="1">IF(AND(NOT(U116),AND(U$4:U115)),MIN(EXP((V116-$J116)*$G116),1),"")</f>
        <v/>
      </c>
      <c r="X116" s="428"/>
      <c r="Y116" s="440" t="b">
        <f ca="1">IF(AND(NOT(U116),AND(U$4:U115)),TRUE,U116)</f>
        <v>0</v>
      </c>
      <c r="Z116" s="439" t="e">
        <f ca="1">IF(AND(NOT(ISBLANK(Jumpoverwrite4)),AND(NOT(Y116),AND(Y$4:Y115))),($J116*$G116-LN(1+Jumpoverwrite4*AA$2))/$G116,_xll.qlInterpolationInterpolate(Y$3,$F116,TRUE))</f>
        <v>#NAME?</v>
      </c>
      <c r="AA116" s="439" t="str">
        <f ca="1">IF(AND(NOT(Y116),AND(Y$4:Y115)),MIN(EXP((Z116-$J116)*$G116),1),"")</f>
        <v/>
      </c>
      <c r="AB116" s="428"/>
      <c r="AC116" s="440" t="b">
        <f ca="1">IF(AND(NOT(Y116),AND(Y$4:Y115)),TRUE,Y116)</f>
        <v>0</v>
      </c>
      <c r="AD116" s="439" t="e">
        <f ca="1">IF(AND(NOT(ISBLANK(Jumpoverwrite5)),AND(NOT(AC116),AND(AC$4:AC115))),($J116*$G116-LN(1+Jumpoverwrite5*AE$2))/$G116,_xll.qlInterpolationInterpolate(AC$3,$F116,TRUE))</f>
        <v>#NAME?</v>
      </c>
      <c r="AE116" s="439" t="str">
        <f ca="1">IF(AND(NOT(AC116),AND(AC$4:AC115)),MIN(EXP((AD116-$J116)*$G116),1),"")</f>
        <v/>
      </c>
      <c r="AF116" s="428"/>
      <c r="AG116" s="440" t="b">
        <f ca="1">IF(AND(NOT(AC116),AND(AC$4:AC115)),TRUE,AC116)</f>
        <v>0</v>
      </c>
      <c r="AH116" s="439" t="e">
        <f ca="1">IF(AND(NOT(ISBLANK(Jumpoverwrite6)),AND(NOT(AG116),AND(AG$4:AG115))),($J116*$G116-LN(1+Jumpoverwrite6*AI$2))/$G116,_xll.qlInterpolationInterpolate(AG$3,$F116,TRUE))</f>
        <v>#NAME?</v>
      </c>
      <c r="AI116" s="439" t="str">
        <f ca="1">IF(AND(NOT(AG116),AND(AG$4:AG115)),MIN(EXP((AH116-$J116)*$G116),1),"")</f>
        <v/>
      </c>
      <c r="AJ116" s="428"/>
      <c r="AK116" s="440" t="b">
        <f ca="1">IF(AND(NOT(AG116),AND(AG$4:AG115)),TRUE,AG116)</f>
        <v>0</v>
      </c>
      <c r="AL116" s="439" t="e">
        <f ca="1">IF(AND(NOT(ISBLANK(Jumpoverwrite7)),AND(NOT(AK116),AND(AK$4:AK115))),($J116*$G116-LN(1+Jumpoverwrite7*AM$2))/$G116,_xll.qlInterpolationInterpolate(AK$3,$F116,TRUE))</f>
        <v>#NAME?</v>
      </c>
      <c r="AM116" s="439" t="str">
        <f ca="1">IF(AND(NOT(AK116),AND(AK$4:AK115)),MIN(EXP((AL116-$J116)*$G116),1),"")</f>
        <v/>
      </c>
      <c r="AO116" s="440" t="b">
        <f ca="1">IF(AND(NOT(AK116),AND(AK$4:AK115)),TRUE,AK116)</f>
        <v>0</v>
      </c>
      <c r="AP116" s="439" t="e">
        <f ca="1">IF(AND(NOT(ISBLANK(Jumpoverwrite8)),AND(NOT(AO116),AND(AO$4:AO115))),($J116*$G116-LN(1+Jumpoverwrite8*AQ$2))/$G116,_xll.qlInterpolationInterpolate(AO$3,$F116,TRUE))</f>
        <v>#NAME?</v>
      </c>
      <c r="AQ116" s="439" t="str">
        <f ca="1">IF(AND(NOT(AO116),AND(AO$4:AO115)),MIN(EXP((AP116-$J116)*$G116),1),"")</f>
        <v/>
      </c>
      <c r="AS116" s="440" t="b">
        <f ca="1">IF(AND(NOT(AO116),AND(AO$4:AO115)),TRUE,AO116)</f>
        <v>0</v>
      </c>
      <c r="AT116" s="439" t="e">
        <f ca="1">IF(AND(NOT(ISBLANK(Jumpoverwrite9)),AND(NOT(AS116),AND(AS$4:AS115))),($J116*$G116-LN(1+Jumpoverwrite9*AU$2))/$G116,_xll.qlInterpolationInterpolate(AS$3,$F116,TRUE))</f>
        <v>#NAME?</v>
      </c>
      <c r="AU116" s="439" t="str">
        <f ca="1">IF(AND(NOT(AS116),AND(AS$4:AS115)),MIN(EXP((AT116-$J116)*$G116),1),"")</f>
        <v/>
      </c>
      <c r="AW116" s="440" t="b">
        <f ca="1">IF(AND(NOT(AS116),AND(AS$4:AS115)),TRUE,AS116)</f>
        <v>0</v>
      </c>
      <c r="AX116" s="439" t="e">
        <f ca="1">IF(AND(NOT(ISBLANK(Jumpoverwrite10)),AND(NOT(AW116),AND(AW$4:AW115))),($J116*$G116-LN(1+Jumpoverwrite10*AY$2))/$G116,_xll.qlInterpolationInterpolate(AW$3,$F116,TRUE))</f>
        <v>#NAME?</v>
      </c>
      <c r="AY116" s="439" t="str">
        <f ca="1">IF(AND(NOT(AW116),AND(AW$4:AW115)),MIN(EXP((AX116-$J116)*$G116),1),"")</f>
        <v/>
      </c>
      <c r="BA116" s="440" t="b">
        <f ca="1">IF(AND(NOT(AW116),AND(AW$4:AW115)),TRUE,AW116)</f>
        <v>0</v>
      </c>
      <c r="BB116" s="439" t="e">
        <f ca="1">IF(AND(NOT(ISBLANK(Jumpoverwrite11)),AND(NOT(BA116),AND(BA$4:BA115))),($J116*$G116-LN(1+Jumpoverwrite11*BC$2))/$G116,_xll.qlInterpolationInterpolate(BA$3,$F116,TRUE))</f>
        <v>#NAME?</v>
      </c>
      <c r="BC116" s="439" t="str">
        <f ca="1">IF(AND(NOT(BA116),AND(BA$4:BA115)),MIN(EXP((BB116-$J116)*$G116),1),"")</f>
        <v/>
      </c>
      <c r="BE116" s="440" t="b">
        <f ca="1">IF(AND(NOT(BA116),AND(BA$4:BA115)),TRUE,BA116)</f>
        <v>0</v>
      </c>
      <c r="BF116" s="439" t="e">
        <f ca="1">IF(AND(NOT(ISBLANK(Jumpoverwrite12)),AND(NOT(BE116),AND(BE$4:BE115))),($J116*$G116-LN(1+Jumpoverwrite12*BG$2))/$G116,_xll.qlInterpolationInterpolate(BE$3,$F116,TRUE))</f>
        <v>#NAME?</v>
      </c>
      <c r="BG116" s="439" t="str">
        <f ca="1">IF(AND(NOT(BE116),AND(BE$4:BE115)),MIN(EXP((BF116-$J116)*$G116),1),"")</f>
        <v/>
      </c>
      <c r="BI116" s="440" t="b">
        <f t="shared" ca="1" si="15"/>
        <v>0</v>
      </c>
      <c r="BJ116" s="439" t="e">
        <f ca="1">IF(AND(NOT(ISBLANK(jumpoverwrite13)),AND(NOT(BI116),AND(BI$4:BI115))),($J116*$G116-LN(1+jumpoverwrite13*BK$2))/$G116,_xll.qlInterpolationInterpolate(BI$3,$F116,TRUE))</f>
        <v>#NAME?</v>
      </c>
      <c r="BK116" s="439" t="str">
        <f ca="1">IF(AND(NOT(BI116),AND(BI$4:BI115)),MIN(EXP((BJ116-$J116)*$G116),1),"")</f>
        <v/>
      </c>
    </row>
    <row r="117" spans="1:63" x14ac:dyDescent="0.2">
      <c r="A117" s="438" t="e">
        <f ca="1"/>
        <v>#NAME?</v>
      </c>
      <c r="B117" s="437" t="e">
        <f ca="1">_xll.qlRateHelperRate($A117,InterestRatesTrigger)</f>
        <v>#NAME?</v>
      </c>
      <c r="C117" s="436" t="e">
        <f ca="1">_xll.qlRateHelperEarliestDate($A117)</f>
        <v>#NAME?</v>
      </c>
      <c r="D117" s="435" t="e">
        <f ca="1">_xll.qlRateHelperPillarDate($A117)</f>
        <v>#NAME?</v>
      </c>
      <c r="F117" s="445" t="e">
        <f t="shared" ca="1" si="13"/>
        <v>#N/A</v>
      </c>
      <c r="G117" s="444" t="e">
        <f ca="1">_xll.qlDayCounterYearFraction(DayCounter,D116,D117)</f>
        <v>#NAME?</v>
      </c>
      <c r="I117" s="443" t="b">
        <f t="shared" ca="1" si="14"/>
        <v>0</v>
      </c>
      <c r="J117" s="442" t="e">
        <f ca="1"/>
        <v>#NAME?</v>
      </c>
      <c r="K117" s="441" t="e">
        <f t="shared" ca="1" si="12"/>
        <v>#NAME?</v>
      </c>
      <c r="L117" s="429"/>
      <c r="M117" s="440" t="b">
        <f ca="1">IF(AND(NOT(I117),AND(I$4:I116)),TRUE,I117)</f>
        <v>0</v>
      </c>
      <c r="N117" s="439" t="e">
        <f ca="1">IF(AND(NOT(ISBLANK(Jumpoverwrite1)),AND(NOT(M117),AND(M$4:M116))),($J117*$G117-LN(1+Jumpoverwrite1*O$2))/$G117,_xll.qlInterpolationInterpolate(M$3,$F117,TRUE))</f>
        <v>#NAME?</v>
      </c>
      <c r="O117" s="439" t="str">
        <f ca="1">IF(AND(NOT(M117),AND(M$4:M116)),MIN(EXP((N117-$J117)*$G117),1),"")</f>
        <v/>
      </c>
      <c r="P117" s="428"/>
      <c r="Q117" s="440" t="b">
        <f ca="1">IF(AND(NOT(M117),AND(M$4:M116)),TRUE,M117)</f>
        <v>0</v>
      </c>
      <c r="R117" s="439" t="e">
        <f ca="1">IF(AND(NOT(ISBLANK(Jumpoverwrite2)),AND(NOT(Q117),AND(Q$4:Q116))),($J117*$G117-LN(1+Jumpoverwrite2*S$2))/$G117,_xll.qlInterpolationInterpolate(Q$3,$F117,TRUE))</f>
        <v>#NAME?</v>
      </c>
      <c r="S117" s="439" t="str">
        <f ca="1">IF(AND(NOT(Q117),AND(Q$4:Q116)),MIN(EXP((R117-$J117)*$G117),1),"")</f>
        <v/>
      </c>
      <c r="T117" s="428"/>
      <c r="U117" s="440" t="b">
        <f ca="1">IF(AND(NOT(Q117),AND(Q$4:Q116)),TRUE,Q117)</f>
        <v>0</v>
      </c>
      <c r="V117" s="439" t="e">
        <f ca="1">IF(AND(NOT(ISBLANK(Jumpoverwrite3)),AND(NOT(U117),AND(U$4:U116))),($J117*$G117-LN(1+Jumpoverwrite3*W$2))/$G117,_xll.qlInterpolationInterpolate(U$3,$F117,TRUE))</f>
        <v>#NAME?</v>
      </c>
      <c r="W117" s="439" t="str">
        <f ca="1">IF(AND(NOT(U117),AND(U$4:U116)),MIN(EXP((V117-$J117)*$G117),1),"")</f>
        <v/>
      </c>
      <c r="X117" s="428"/>
      <c r="Y117" s="440" t="b">
        <f ca="1">IF(AND(NOT(U117),AND(U$4:U116)),TRUE,U117)</f>
        <v>0</v>
      </c>
      <c r="Z117" s="439" t="e">
        <f ca="1">IF(AND(NOT(ISBLANK(Jumpoverwrite4)),AND(NOT(Y117),AND(Y$4:Y116))),($J117*$G117-LN(1+Jumpoverwrite4*AA$2))/$G117,_xll.qlInterpolationInterpolate(Y$3,$F117,TRUE))</f>
        <v>#NAME?</v>
      </c>
      <c r="AA117" s="439" t="str">
        <f ca="1">IF(AND(NOT(Y117),AND(Y$4:Y116)),MIN(EXP((Z117-$J117)*$G117),1),"")</f>
        <v/>
      </c>
      <c r="AB117" s="428"/>
      <c r="AC117" s="440" t="b">
        <f ca="1">IF(AND(NOT(Y117),AND(Y$4:Y116)),TRUE,Y117)</f>
        <v>0</v>
      </c>
      <c r="AD117" s="439" t="e">
        <f ca="1">IF(AND(NOT(ISBLANK(Jumpoverwrite5)),AND(NOT(AC117),AND(AC$4:AC116))),($J117*$G117-LN(1+Jumpoverwrite5*AE$2))/$G117,_xll.qlInterpolationInterpolate(AC$3,$F117,TRUE))</f>
        <v>#NAME?</v>
      </c>
      <c r="AE117" s="439" t="str">
        <f ca="1">IF(AND(NOT(AC117),AND(AC$4:AC116)),MIN(EXP((AD117-$J117)*$G117),1),"")</f>
        <v/>
      </c>
      <c r="AF117" s="428"/>
      <c r="AG117" s="440" t="b">
        <f ca="1">IF(AND(NOT(AC117),AND(AC$4:AC116)),TRUE,AC117)</f>
        <v>0</v>
      </c>
      <c r="AH117" s="439" t="e">
        <f ca="1">IF(AND(NOT(ISBLANK(Jumpoverwrite6)),AND(NOT(AG117),AND(AG$4:AG116))),($J117*$G117-LN(1+Jumpoverwrite6*AI$2))/$G117,_xll.qlInterpolationInterpolate(AG$3,$F117,TRUE))</f>
        <v>#NAME?</v>
      </c>
      <c r="AI117" s="439" t="str">
        <f ca="1">IF(AND(NOT(AG117),AND(AG$4:AG116)),MIN(EXP((AH117-$J117)*$G117),1),"")</f>
        <v/>
      </c>
      <c r="AJ117" s="428"/>
      <c r="AK117" s="440" t="b">
        <f ca="1">IF(AND(NOT(AG117),AND(AG$4:AG116)),TRUE,AG117)</f>
        <v>0</v>
      </c>
      <c r="AL117" s="439" t="e">
        <f ca="1">IF(AND(NOT(ISBLANK(Jumpoverwrite7)),AND(NOT(AK117),AND(AK$4:AK116))),($J117*$G117-LN(1+Jumpoverwrite7*AM$2))/$G117,_xll.qlInterpolationInterpolate(AK$3,$F117,TRUE))</f>
        <v>#NAME?</v>
      </c>
      <c r="AM117" s="439" t="str">
        <f ca="1">IF(AND(NOT(AK117),AND(AK$4:AK116)),MIN(EXP((AL117-$J117)*$G117),1),"")</f>
        <v/>
      </c>
      <c r="AO117" s="440" t="b">
        <f ca="1">IF(AND(NOT(AK117),AND(AK$4:AK116)),TRUE,AK117)</f>
        <v>0</v>
      </c>
      <c r="AP117" s="439" t="e">
        <f ca="1">IF(AND(NOT(ISBLANK(Jumpoverwrite8)),AND(NOT(AO117),AND(AO$4:AO116))),($J117*$G117-LN(1+Jumpoverwrite8*AQ$2))/$G117,_xll.qlInterpolationInterpolate(AO$3,$F117,TRUE))</f>
        <v>#NAME?</v>
      </c>
      <c r="AQ117" s="439" t="str">
        <f ca="1">IF(AND(NOT(AO117),AND(AO$4:AO116)),MIN(EXP((AP117-$J117)*$G117),1),"")</f>
        <v/>
      </c>
      <c r="AS117" s="440" t="b">
        <f ca="1">IF(AND(NOT(AO117),AND(AO$4:AO116)),TRUE,AO117)</f>
        <v>0</v>
      </c>
      <c r="AT117" s="439" t="e">
        <f ca="1">IF(AND(NOT(ISBLANK(Jumpoverwrite9)),AND(NOT(AS117),AND(AS$4:AS116))),($J117*$G117-LN(1+Jumpoverwrite9*AU$2))/$G117,_xll.qlInterpolationInterpolate(AS$3,$F117,TRUE))</f>
        <v>#NAME?</v>
      </c>
      <c r="AU117" s="439" t="str">
        <f ca="1">IF(AND(NOT(AS117),AND(AS$4:AS116)),MIN(EXP((AT117-$J117)*$G117),1),"")</f>
        <v/>
      </c>
      <c r="AW117" s="440" t="b">
        <f ca="1">IF(AND(NOT(AS117),AND(AS$4:AS116)),TRUE,AS117)</f>
        <v>0</v>
      </c>
      <c r="AX117" s="439" t="e">
        <f ca="1">IF(AND(NOT(ISBLANK(Jumpoverwrite10)),AND(NOT(AW117),AND(AW$4:AW116))),($J117*$G117-LN(1+Jumpoverwrite10*AY$2))/$G117,_xll.qlInterpolationInterpolate(AW$3,$F117,TRUE))</f>
        <v>#NAME?</v>
      </c>
      <c r="AY117" s="439" t="str">
        <f ca="1">IF(AND(NOT(AW117),AND(AW$4:AW116)),MIN(EXP((AX117-$J117)*$G117),1),"")</f>
        <v/>
      </c>
      <c r="BA117" s="440" t="b">
        <f ca="1">IF(AND(NOT(AW117),AND(AW$4:AW116)),TRUE,AW117)</f>
        <v>0</v>
      </c>
      <c r="BB117" s="439" t="e">
        <f ca="1">IF(AND(NOT(ISBLANK(Jumpoverwrite11)),AND(NOT(BA117),AND(BA$4:BA116))),($J117*$G117-LN(1+Jumpoverwrite11*BC$2))/$G117,_xll.qlInterpolationInterpolate(BA$3,$F117,TRUE))</f>
        <v>#NAME?</v>
      </c>
      <c r="BC117" s="439" t="str">
        <f ca="1">IF(AND(NOT(BA117),AND(BA$4:BA116)),MIN(EXP((BB117-$J117)*$G117),1),"")</f>
        <v/>
      </c>
      <c r="BE117" s="440" t="b">
        <f ca="1">IF(AND(NOT(BA117),AND(BA$4:BA116)),TRUE,BA117)</f>
        <v>0</v>
      </c>
      <c r="BF117" s="439" t="e">
        <f ca="1">IF(AND(NOT(ISBLANK(Jumpoverwrite12)),AND(NOT(BE117),AND(BE$4:BE116))),($J117*$G117-LN(1+Jumpoverwrite12*BG$2))/$G117,_xll.qlInterpolationInterpolate(BE$3,$F117,TRUE))</f>
        <v>#NAME?</v>
      </c>
      <c r="BG117" s="439" t="str">
        <f ca="1">IF(AND(NOT(BE117),AND(BE$4:BE116)),MIN(EXP((BF117-$J117)*$G117),1),"")</f>
        <v/>
      </c>
      <c r="BI117" s="440" t="b">
        <f t="shared" ca="1" si="15"/>
        <v>0</v>
      </c>
      <c r="BJ117" s="439" t="e">
        <f ca="1">IF(AND(NOT(ISBLANK(jumpoverwrite13)),AND(NOT(BI117),AND(BI$4:BI116))),($J117*$G117-LN(1+jumpoverwrite13*BK$2))/$G117,_xll.qlInterpolationInterpolate(BI$3,$F117,TRUE))</f>
        <v>#NAME?</v>
      </c>
      <c r="BK117" s="439" t="str">
        <f ca="1">IF(AND(NOT(BI117),AND(BI$4:BI116)),MIN(EXP((BJ117-$J117)*$G117),1),"")</f>
        <v/>
      </c>
    </row>
    <row r="118" spans="1:63" x14ac:dyDescent="0.2">
      <c r="A118" s="438" t="e">
        <f ca="1"/>
        <v>#NAME?</v>
      </c>
      <c r="B118" s="437" t="e">
        <f ca="1">_xll.qlRateHelperRate($A118,InterestRatesTrigger)</f>
        <v>#NAME?</v>
      </c>
      <c r="C118" s="436" t="e">
        <f ca="1">_xll.qlRateHelperEarliestDate($A118)</f>
        <v>#NAME?</v>
      </c>
      <c r="D118" s="435" t="e">
        <f ca="1">_xll.qlRateHelperPillarDate($A118)</f>
        <v>#NAME?</v>
      </c>
      <c r="F118" s="445" t="e">
        <f t="shared" ca="1" si="13"/>
        <v>#N/A</v>
      </c>
      <c r="G118" s="444" t="e">
        <f ca="1">_xll.qlDayCounterYearFraction(DayCounter,D117,D118)</f>
        <v>#NAME?</v>
      </c>
      <c r="I118" s="443" t="b">
        <f t="shared" ca="1" si="14"/>
        <v>0</v>
      </c>
      <c r="J118" s="442" t="e">
        <f ca="1"/>
        <v>#NAME?</v>
      </c>
      <c r="K118" s="441" t="e">
        <f t="shared" ca="1" si="12"/>
        <v>#NAME?</v>
      </c>
      <c r="L118" s="429"/>
      <c r="M118" s="440" t="b">
        <f ca="1">IF(AND(NOT(I118),AND(I$4:I117)),TRUE,I118)</f>
        <v>0</v>
      </c>
      <c r="N118" s="439" t="e">
        <f ca="1">IF(AND(NOT(ISBLANK(Jumpoverwrite1)),AND(NOT(M118),AND(M$4:M117))),($J118*$G118-LN(1+Jumpoverwrite1*O$2))/$G118,_xll.qlInterpolationInterpolate(M$3,$F118,TRUE))</f>
        <v>#NAME?</v>
      </c>
      <c r="O118" s="439" t="str">
        <f ca="1">IF(AND(NOT(M118),AND(M$4:M117)),MIN(EXP((N118-$J118)*$G118),1),"")</f>
        <v/>
      </c>
      <c r="P118" s="428"/>
      <c r="Q118" s="440" t="b">
        <f ca="1">IF(AND(NOT(M118),AND(M$4:M117)),TRUE,M118)</f>
        <v>0</v>
      </c>
      <c r="R118" s="439" t="e">
        <f ca="1">IF(AND(NOT(ISBLANK(Jumpoverwrite2)),AND(NOT(Q118),AND(Q$4:Q117))),($J118*$G118-LN(1+Jumpoverwrite2*S$2))/$G118,_xll.qlInterpolationInterpolate(Q$3,$F118,TRUE))</f>
        <v>#NAME?</v>
      </c>
      <c r="S118" s="439" t="str">
        <f ca="1">IF(AND(NOT(Q118),AND(Q$4:Q117)),MIN(EXP((R118-$J118)*$G118),1),"")</f>
        <v/>
      </c>
      <c r="T118" s="428"/>
      <c r="U118" s="440" t="b">
        <f ca="1">IF(AND(NOT(Q118),AND(Q$4:Q117)),TRUE,Q118)</f>
        <v>0</v>
      </c>
      <c r="V118" s="439" t="e">
        <f ca="1">IF(AND(NOT(ISBLANK(Jumpoverwrite3)),AND(NOT(U118),AND(U$4:U117))),($J118*$G118-LN(1+Jumpoverwrite3*W$2))/$G118,_xll.qlInterpolationInterpolate(U$3,$F118,TRUE))</f>
        <v>#NAME?</v>
      </c>
      <c r="W118" s="439" t="str">
        <f ca="1">IF(AND(NOT(U118),AND(U$4:U117)),MIN(EXP((V118-$J118)*$G118),1),"")</f>
        <v/>
      </c>
      <c r="X118" s="428"/>
      <c r="Y118" s="440" t="b">
        <f ca="1">IF(AND(NOT(U118),AND(U$4:U117)),TRUE,U118)</f>
        <v>0</v>
      </c>
      <c r="Z118" s="439" t="e">
        <f ca="1">IF(AND(NOT(ISBLANK(Jumpoverwrite4)),AND(NOT(Y118),AND(Y$4:Y117))),($J118*$G118-LN(1+Jumpoverwrite4*AA$2))/$G118,_xll.qlInterpolationInterpolate(Y$3,$F118,TRUE))</f>
        <v>#NAME?</v>
      </c>
      <c r="AA118" s="439" t="str">
        <f ca="1">IF(AND(NOT(Y118),AND(Y$4:Y117)),MIN(EXP((Z118-$J118)*$G118),1),"")</f>
        <v/>
      </c>
      <c r="AB118" s="428"/>
      <c r="AC118" s="440" t="b">
        <f ca="1">IF(AND(NOT(Y118),AND(Y$4:Y117)),TRUE,Y118)</f>
        <v>0</v>
      </c>
      <c r="AD118" s="439" t="e">
        <f ca="1">IF(AND(NOT(ISBLANK(Jumpoverwrite5)),AND(NOT(AC118),AND(AC$4:AC117))),($J118*$G118-LN(1+Jumpoverwrite5*AE$2))/$G118,_xll.qlInterpolationInterpolate(AC$3,$F118,TRUE))</f>
        <v>#NAME?</v>
      </c>
      <c r="AE118" s="439" t="str">
        <f ca="1">IF(AND(NOT(AC118),AND(AC$4:AC117)),MIN(EXP((AD118-$J118)*$G118),1),"")</f>
        <v/>
      </c>
      <c r="AF118" s="428"/>
      <c r="AG118" s="440" t="b">
        <f ca="1">IF(AND(NOT(AC118),AND(AC$4:AC117)),TRUE,AC118)</f>
        <v>0</v>
      </c>
      <c r="AH118" s="439" t="e">
        <f ca="1">IF(AND(NOT(ISBLANK(Jumpoverwrite6)),AND(NOT(AG118),AND(AG$4:AG117))),($J118*$G118-LN(1+Jumpoverwrite6*AI$2))/$G118,_xll.qlInterpolationInterpolate(AG$3,$F118,TRUE))</f>
        <v>#NAME?</v>
      </c>
      <c r="AI118" s="439" t="str">
        <f ca="1">IF(AND(NOT(AG118),AND(AG$4:AG117)),MIN(EXP((AH118-$J118)*$G118),1),"")</f>
        <v/>
      </c>
      <c r="AJ118" s="428"/>
      <c r="AK118" s="440" t="b">
        <f ca="1">IF(AND(NOT(AG118),AND(AG$4:AG117)),TRUE,AG118)</f>
        <v>0</v>
      </c>
      <c r="AL118" s="439" t="e">
        <f ca="1">IF(AND(NOT(ISBLANK(Jumpoverwrite7)),AND(NOT(AK118),AND(AK$4:AK117))),($J118*$G118-LN(1+Jumpoverwrite7*AM$2))/$G118,_xll.qlInterpolationInterpolate(AK$3,$F118,TRUE))</f>
        <v>#NAME?</v>
      </c>
      <c r="AM118" s="439" t="str">
        <f ca="1">IF(AND(NOT(AK118),AND(AK$4:AK117)),MIN(EXP((AL118-$J118)*$G118),1),"")</f>
        <v/>
      </c>
      <c r="AO118" s="440" t="b">
        <f ca="1">IF(AND(NOT(AK118),AND(AK$4:AK117)),TRUE,AK118)</f>
        <v>0</v>
      </c>
      <c r="AP118" s="439" t="e">
        <f ca="1">IF(AND(NOT(ISBLANK(Jumpoverwrite8)),AND(NOT(AO118),AND(AO$4:AO117))),($J118*$G118-LN(1+Jumpoverwrite8*AQ$2))/$G118,_xll.qlInterpolationInterpolate(AO$3,$F118,TRUE))</f>
        <v>#NAME?</v>
      </c>
      <c r="AQ118" s="439" t="str">
        <f ca="1">IF(AND(NOT(AO118),AND(AO$4:AO117)),MIN(EXP((AP118-$J118)*$G118),1),"")</f>
        <v/>
      </c>
      <c r="AS118" s="440" t="b">
        <f ca="1">IF(AND(NOT(AO118),AND(AO$4:AO117)),TRUE,AO118)</f>
        <v>0</v>
      </c>
      <c r="AT118" s="439" t="e">
        <f ca="1">IF(AND(NOT(ISBLANK(Jumpoverwrite9)),AND(NOT(AS118),AND(AS$4:AS117))),($J118*$G118-LN(1+Jumpoverwrite9*AU$2))/$G118,_xll.qlInterpolationInterpolate(AS$3,$F118,TRUE))</f>
        <v>#NAME?</v>
      </c>
      <c r="AU118" s="439" t="str">
        <f ca="1">IF(AND(NOT(AS118),AND(AS$4:AS117)),MIN(EXP((AT118-$J118)*$G118),1),"")</f>
        <v/>
      </c>
      <c r="AW118" s="440" t="b">
        <f ca="1">IF(AND(NOT(AS118),AND(AS$4:AS117)),TRUE,AS118)</f>
        <v>0</v>
      </c>
      <c r="AX118" s="439" t="e">
        <f ca="1">IF(AND(NOT(ISBLANK(Jumpoverwrite10)),AND(NOT(AW118),AND(AW$4:AW117))),($J118*$G118-LN(1+Jumpoverwrite10*AY$2))/$G118,_xll.qlInterpolationInterpolate(AW$3,$F118,TRUE))</f>
        <v>#NAME?</v>
      </c>
      <c r="AY118" s="439" t="str">
        <f ca="1">IF(AND(NOT(AW118),AND(AW$4:AW117)),MIN(EXP((AX118-$J118)*$G118),1),"")</f>
        <v/>
      </c>
      <c r="BA118" s="440" t="b">
        <f ca="1">IF(AND(NOT(AW118),AND(AW$4:AW117)),TRUE,AW118)</f>
        <v>0</v>
      </c>
      <c r="BB118" s="439" t="e">
        <f ca="1">IF(AND(NOT(ISBLANK(Jumpoverwrite11)),AND(NOT(BA118),AND(BA$4:BA117))),($J118*$G118-LN(1+Jumpoverwrite11*BC$2))/$G118,_xll.qlInterpolationInterpolate(BA$3,$F118,TRUE))</f>
        <v>#NAME?</v>
      </c>
      <c r="BC118" s="439" t="str">
        <f ca="1">IF(AND(NOT(BA118),AND(BA$4:BA117)),MIN(EXP((BB118-$J118)*$G118),1),"")</f>
        <v/>
      </c>
      <c r="BE118" s="440" t="b">
        <f ca="1">IF(AND(NOT(BA118),AND(BA$4:BA117)),TRUE,BA118)</f>
        <v>0</v>
      </c>
      <c r="BF118" s="439" t="e">
        <f ca="1">IF(AND(NOT(ISBLANK(Jumpoverwrite12)),AND(NOT(BE118),AND(BE$4:BE117))),($J118*$G118-LN(1+Jumpoverwrite12*BG$2))/$G118,_xll.qlInterpolationInterpolate(BE$3,$F118,TRUE))</f>
        <v>#NAME?</v>
      </c>
      <c r="BG118" s="439" t="str">
        <f ca="1">IF(AND(NOT(BE118),AND(BE$4:BE117)),MIN(EXP((BF118-$J118)*$G118),1),"")</f>
        <v/>
      </c>
      <c r="BI118" s="440" t="b">
        <f t="shared" ca="1" si="15"/>
        <v>0</v>
      </c>
      <c r="BJ118" s="439" t="e">
        <f ca="1">IF(AND(NOT(ISBLANK(jumpoverwrite13)),AND(NOT(BI118),AND(BI$4:BI117))),($J118*$G118-LN(1+jumpoverwrite13*BK$2))/$G118,_xll.qlInterpolationInterpolate(BI$3,$F118,TRUE))</f>
        <v>#NAME?</v>
      </c>
      <c r="BK118" s="439" t="str">
        <f ca="1">IF(AND(NOT(BI118),AND(BI$4:BI117)),MIN(EXP((BJ118-$J118)*$G118),1),"")</f>
        <v/>
      </c>
    </row>
    <row r="119" spans="1:63" x14ac:dyDescent="0.2">
      <c r="A119" s="438" t="e">
        <f ca="1"/>
        <v>#NAME?</v>
      </c>
      <c r="B119" s="437" t="e">
        <f ca="1">_xll.qlRateHelperRate($A119,InterestRatesTrigger)</f>
        <v>#NAME?</v>
      </c>
      <c r="C119" s="436" t="e">
        <f ca="1">_xll.qlRateHelperEarliestDate($A119)</f>
        <v>#NAME?</v>
      </c>
      <c r="D119" s="435" t="e">
        <f ca="1">_xll.qlRateHelperPillarDate($A119)</f>
        <v>#NAME?</v>
      </c>
      <c r="F119" s="445" t="e">
        <f t="shared" ca="1" si="13"/>
        <v>#N/A</v>
      </c>
      <c r="G119" s="444" t="e">
        <f ca="1">_xll.qlDayCounterYearFraction(DayCounter,D118,D119)</f>
        <v>#NAME?</v>
      </c>
      <c r="I119" s="443" t="b">
        <f t="shared" ca="1" si="14"/>
        <v>0</v>
      </c>
      <c r="J119" s="442" t="e">
        <f ca="1"/>
        <v>#NAME?</v>
      </c>
      <c r="K119" s="441" t="e">
        <f t="shared" ca="1" si="12"/>
        <v>#NAME?</v>
      </c>
      <c r="L119" s="429"/>
      <c r="M119" s="440" t="b">
        <f ca="1">IF(AND(NOT(I119),AND(I$4:I118)),TRUE,I119)</f>
        <v>0</v>
      </c>
      <c r="N119" s="439" t="e">
        <f ca="1">IF(AND(NOT(ISBLANK(Jumpoverwrite1)),AND(NOT(M119),AND(M$4:M118))),($J119*$G119-LN(1+Jumpoverwrite1*O$2))/$G119,_xll.qlInterpolationInterpolate(M$3,$F119,TRUE))</f>
        <v>#NAME?</v>
      </c>
      <c r="O119" s="439" t="str">
        <f ca="1">IF(AND(NOT(M119),AND(M$4:M118)),MIN(EXP((N119-$J119)*$G119),1),"")</f>
        <v/>
      </c>
      <c r="P119" s="428"/>
      <c r="Q119" s="440" t="b">
        <f ca="1">IF(AND(NOT(M119),AND(M$4:M118)),TRUE,M119)</f>
        <v>0</v>
      </c>
      <c r="R119" s="439" t="e">
        <f ca="1">IF(AND(NOT(ISBLANK(Jumpoverwrite2)),AND(NOT(Q119),AND(Q$4:Q118))),($J119*$G119-LN(1+Jumpoverwrite2*S$2))/$G119,_xll.qlInterpolationInterpolate(Q$3,$F119,TRUE))</f>
        <v>#NAME?</v>
      </c>
      <c r="S119" s="439" t="str">
        <f ca="1">IF(AND(NOT(Q119),AND(Q$4:Q118)),MIN(EXP((R119-$J119)*$G119),1),"")</f>
        <v/>
      </c>
      <c r="T119" s="428"/>
      <c r="U119" s="440" t="b">
        <f ca="1">IF(AND(NOT(Q119),AND(Q$4:Q118)),TRUE,Q119)</f>
        <v>0</v>
      </c>
      <c r="V119" s="439" t="e">
        <f ca="1">IF(AND(NOT(ISBLANK(Jumpoverwrite3)),AND(NOT(U119),AND(U$4:U118))),($J119*$G119-LN(1+Jumpoverwrite3*W$2))/$G119,_xll.qlInterpolationInterpolate(U$3,$F119,TRUE))</f>
        <v>#NAME?</v>
      </c>
      <c r="W119" s="439" t="str">
        <f ca="1">IF(AND(NOT(U119),AND(U$4:U118)),MIN(EXP((V119-$J119)*$G119),1),"")</f>
        <v/>
      </c>
      <c r="X119" s="428"/>
      <c r="Y119" s="440" t="b">
        <f ca="1">IF(AND(NOT(U119),AND(U$4:U118)),TRUE,U119)</f>
        <v>0</v>
      </c>
      <c r="Z119" s="439" t="e">
        <f ca="1">IF(AND(NOT(ISBLANK(Jumpoverwrite4)),AND(NOT(Y119),AND(Y$4:Y118))),($J119*$G119-LN(1+Jumpoverwrite4*AA$2))/$G119,_xll.qlInterpolationInterpolate(Y$3,$F119,TRUE))</f>
        <v>#NAME?</v>
      </c>
      <c r="AA119" s="439" t="str">
        <f ca="1">IF(AND(NOT(Y119),AND(Y$4:Y118)),MIN(EXP((Z119-$J119)*$G119),1),"")</f>
        <v/>
      </c>
      <c r="AB119" s="428"/>
      <c r="AC119" s="440" t="b">
        <f ca="1">IF(AND(NOT(Y119),AND(Y$4:Y118)),TRUE,Y119)</f>
        <v>0</v>
      </c>
      <c r="AD119" s="439" t="e">
        <f ca="1">IF(AND(NOT(ISBLANK(Jumpoverwrite5)),AND(NOT(AC119),AND(AC$4:AC118))),($J119*$G119-LN(1+Jumpoverwrite5*AE$2))/$G119,_xll.qlInterpolationInterpolate(AC$3,$F119,TRUE))</f>
        <v>#NAME?</v>
      </c>
      <c r="AE119" s="439" t="str">
        <f ca="1">IF(AND(NOT(AC119),AND(AC$4:AC118)),MIN(EXP((AD119-$J119)*$G119),1),"")</f>
        <v/>
      </c>
      <c r="AF119" s="428"/>
      <c r="AG119" s="440" t="b">
        <f ca="1">IF(AND(NOT(AC119),AND(AC$4:AC118)),TRUE,AC119)</f>
        <v>0</v>
      </c>
      <c r="AH119" s="439" t="e">
        <f ca="1">IF(AND(NOT(ISBLANK(Jumpoverwrite6)),AND(NOT(AG119),AND(AG$4:AG118))),($J119*$G119-LN(1+Jumpoverwrite6*AI$2))/$G119,_xll.qlInterpolationInterpolate(AG$3,$F119,TRUE))</f>
        <v>#NAME?</v>
      </c>
      <c r="AI119" s="439" t="str">
        <f ca="1">IF(AND(NOT(AG119),AND(AG$4:AG118)),MIN(EXP((AH119-$J119)*$G119),1),"")</f>
        <v/>
      </c>
      <c r="AJ119" s="428"/>
      <c r="AK119" s="440" t="b">
        <f ca="1">IF(AND(NOT(AG119),AND(AG$4:AG118)),TRUE,AG119)</f>
        <v>0</v>
      </c>
      <c r="AL119" s="439" t="e">
        <f ca="1">IF(AND(NOT(ISBLANK(Jumpoverwrite7)),AND(NOT(AK119),AND(AK$4:AK118))),($J119*$G119-LN(1+Jumpoverwrite7*AM$2))/$G119,_xll.qlInterpolationInterpolate(AK$3,$F119,TRUE))</f>
        <v>#NAME?</v>
      </c>
      <c r="AM119" s="439" t="str">
        <f ca="1">IF(AND(NOT(AK119),AND(AK$4:AK118)),MIN(EXP((AL119-$J119)*$G119),1),"")</f>
        <v/>
      </c>
      <c r="AO119" s="440" t="b">
        <f ca="1">IF(AND(NOT(AK119),AND(AK$4:AK118)),TRUE,AK119)</f>
        <v>0</v>
      </c>
      <c r="AP119" s="439" t="e">
        <f ca="1">IF(AND(NOT(ISBLANK(Jumpoverwrite8)),AND(NOT(AO119),AND(AO$4:AO118))),($J119*$G119-LN(1+Jumpoverwrite8*AQ$2))/$G119,_xll.qlInterpolationInterpolate(AO$3,$F119,TRUE))</f>
        <v>#NAME?</v>
      </c>
      <c r="AQ119" s="439" t="str">
        <f ca="1">IF(AND(NOT(AO119),AND(AO$4:AO118)),MIN(EXP((AP119-$J119)*$G119),1),"")</f>
        <v/>
      </c>
      <c r="AS119" s="440" t="b">
        <f ca="1">IF(AND(NOT(AO119),AND(AO$4:AO118)),TRUE,AO119)</f>
        <v>0</v>
      </c>
      <c r="AT119" s="439" t="e">
        <f ca="1">IF(AND(NOT(ISBLANK(Jumpoverwrite9)),AND(NOT(AS119),AND(AS$4:AS118))),($J119*$G119-LN(1+Jumpoverwrite9*AU$2))/$G119,_xll.qlInterpolationInterpolate(AS$3,$F119,TRUE))</f>
        <v>#NAME?</v>
      </c>
      <c r="AU119" s="439" t="str">
        <f ca="1">IF(AND(NOT(AS119),AND(AS$4:AS118)),MIN(EXP((AT119-$J119)*$G119),1),"")</f>
        <v/>
      </c>
      <c r="AW119" s="440" t="b">
        <f ca="1">IF(AND(NOT(AS119),AND(AS$4:AS118)),TRUE,AS119)</f>
        <v>0</v>
      </c>
      <c r="AX119" s="439" t="e">
        <f ca="1">IF(AND(NOT(ISBLANK(Jumpoverwrite10)),AND(NOT(AW119),AND(AW$4:AW118))),($J119*$G119-LN(1+Jumpoverwrite10*AY$2))/$G119,_xll.qlInterpolationInterpolate(AW$3,$F119,TRUE))</f>
        <v>#NAME?</v>
      </c>
      <c r="AY119" s="439" t="str">
        <f ca="1">IF(AND(NOT(AW119),AND(AW$4:AW118)),MIN(EXP((AX119-$J119)*$G119),1),"")</f>
        <v/>
      </c>
      <c r="BA119" s="440" t="b">
        <f ca="1">IF(AND(NOT(AW119),AND(AW$4:AW118)),TRUE,AW119)</f>
        <v>0</v>
      </c>
      <c r="BB119" s="439" t="e">
        <f ca="1">IF(AND(NOT(ISBLANK(Jumpoverwrite11)),AND(NOT(BA119),AND(BA$4:BA118))),($J119*$G119-LN(1+Jumpoverwrite11*BC$2))/$G119,_xll.qlInterpolationInterpolate(BA$3,$F119,TRUE))</f>
        <v>#NAME?</v>
      </c>
      <c r="BC119" s="439" t="str">
        <f ca="1">IF(AND(NOT(BA119),AND(BA$4:BA118)),MIN(EXP((BB119-$J119)*$G119),1),"")</f>
        <v/>
      </c>
      <c r="BE119" s="440" t="b">
        <f ca="1">IF(AND(NOT(BA119),AND(BA$4:BA118)),TRUE,BA119)</f>
        <v>0</v>
      </c>
      <c r="BF119" s="439" t="e">
        <f ca="1">IF(AND(NOT(ISBLANK(Jumpoverwrite12)),AND(NOT(BE119),AND(BE$4:BE118))),($J119*$G119-LN(1+Jumpoverwrite12*BG$2))/$G119,_xll.qlInterpolationInterpolate(BE$3,$F119,TRUE))</f>
        <v>#NAME?</v>
      </c>
      <c r="BG119" s="439" t="str">
        <f ca="1">IF(AND(NOT(BE119),AND(BE$4:BE118)),MIN(EXP((BF119-$J119)*$G119),1),"")</f>
        <v/>
      </c>
      <c r="BI119" s="440" t="b">
        <f t="shared" ca="1" si="15"/>
        <v>0</v>
      </c>
      <c r="BJ119" s="439" t="e">
        <f ca="1">IF(AND(NOT(ISBLANK(jumpoverwrite13)),AND(NOT(BI119),AND(BI$4:BI118))),($J119*$G119-LN(1+jumpoverwrite13*BK$2))/$G119,_xll.qlInterpolationInterpolate(BI$3,$F119,TRUE))</f>
        <v>#NAME?</v>
      </c>
      <c r="BK119" s="439" t="str">
        <f ca="1">IF(AND(NOT(BI119),AND(BI$4:BI118)),MIN(EXP((BJ119-$J119)*$G119),1),"")</f>
        <v/>
      </c>
    </row>
    <row r="120" spans="1:63" x14ac:dyDescent="0.2">
      <c r="A120" s="438" t="e">
        <f ca="1"/>
        <v>#NAME?</v>
      </c>
      <c r="B120" s="437" t="e">
        <f ca="1">_xll.qlRateHelperRate($A120,InterestRatesTrigger)</f>
        <v>#NAME?</v>
      </c>
      <c r="C120" s="436" t="e">
        <f ca="1">_xll.qlRateHelperEarliestDate($A120)</f>
        <v>#NAME?</v>
      </c>
      <c r="D120" s="435" t="e">
        <f ca="1">_xll.qlRateHelperPillarDate($A120)</f>
        <v>#NAME?</v>
      </c>
      <c r="F120" s="445" t="e">
        <f t="shared" ca="1" si="13"/>
        <v>#N/A</v>
      </c>
      <c r="G120" s="444" t="e">
        <f ca="1">_xll.qlDayCounterYearFraction(DayCounter,D119,D120)</f>
        <v>#NAME?</v>
      </c>
      <c r="I120" s="443" t="b">
        <f t="shared" ca="1" si="14"/>
        <v>0</v>
      </c>
      <c r="J120" s="442" t="e">
        <f ca="1"/>
        <v>#NAME?</v>
      </c>
      <c r="K120" s="441" t="e">
        <f t="shared" ca="1" si="12"/>
        <v>#NAME?</v>
      </c>
      <c r="L120" s="429"/>
      <c r="M120" s="440" t="b">
        <f ca="1">IF(AND(NOT(I120),AND(I$4:I119)),TRUE,I120)</f>
        <v>0</v>
      </c>
      <c r="N120" s="439" t="e">
        <f ca="1">IF(AND(NOT(ISBLANK(Jumpoverwrite1)),AND(NOT(M120),AND(M$4:M119))),($J120*$G120-LN(1+Jumpoverwrite1*O$2))/$G120,_xll.qlInterpolationInterpolate(M$3,$F120,TRUE))</f>
        <v>#NAME?</v>
      </c>
      <c r="O120" s="439" t="str">
        <f ca="1">IF(AND(NOT(M120),AND(M$4:M119)),MIN(EXP((N120-$J120)*$G120),1),"")</f>
        <v/>
      </c>
      <c r="P120" s="428"/>
      <c r="Q120" s="440" t="b">
        <f ca="1">IF(AND(NOT(M120),AND(M$4:M119)),TRUE,M120)</f>
        <v>0</v>
      </c>
      <c r="R120" s="439" t="e">
        <f ca="1">IF(AND(NOT(ISBLANK(Jumpoverwrite2)),AND(NOT(Q120),AND(Q$4:Q119))),($J120*$G120-LN(1+Jumpoverwrite2*S$2))/$G120,_xll.qlInterpolationInterpolate(Q$3,$F120,TRUE))</f>
        <v>#NAME?</v>
      </c>
      <c r="S120" s="439" t="str">
        <f ca="1">IF(AND(NOT(Q120),AND(Q$4:Q119)),MIN(EXP((R120-$J120)*$G120),1),"")</f>
        <v/>
      </c>
      <c r="T120" s="428"/>
      <c r="U120" s="440" t="b">
        <f ca="1">IF(AND(NOT(Q120),AND(Q$4:Q119)),TRUE,Q120)</f>
        <v>0</v>
      </c>
      <c r="V120" s="439" t="e">
        <f ca="1">IF(AND(NOT(ISBLANK(Jumpoverwrite3)),AND(NOT(U120),AND(U$4:U119))),($J120*$G120-LN(1+Jumpoverwrite3*W$2))/$G120,_xll.qlInterpolationInterpolate(U$3,$F120,TRUE))</f>
        <v>#NAME?</v>
      </c>
      <c r="W120" s="439" t="str">
        <f ca="1">IF(AND(NOT(U120),AND(U$4:U119)),MIN(EXP((V120-$J120)*$G120),1),"")</f>
        <v/>
      </c>
      <c r="X120" s="428"/>
      <c r="Y120" s="440" t="b">
        <f ca="1">IF(AND(NOT(U120),AND(U$4:U119)),TRUE,U120)</f>
        <v>0</v>
      </c>
      <c r="Z120" s="439" t="e">
        <f ca="1">IF(AND(NOT(ISBLANK(Jumpoverwrite4)),AND(NOT(Y120),AND(Y$4:Y119))),($J120*$G120-LN(1+Jumpoverwrite4*AA$2))/$G120,_xll.qlInterpolationInterpolate(Y$3,$F120,TRUE))</f>
        <v>#NAME?</v>
      </c>
      <c r="AA120" s="439" t="str">
        <f ca="1">IF(AND(NOT(Y120),AND(Y$4:Y119)),MIN(EXP((Z120-$J120)*$G120),1),"")</f>
        <v/>
      </c>
      <c r="AB120" s="428"/>
      <c r="AC120" s="440" t="b">
        <f ca="1">IF(AND(NOT(Y120),AND(Y$4:Y119)),TRUE,Y120)</f>
        <v>0</v>
      </c>
      <c r="AD120" s="439" t="e">
        <f ca="1">IF(AND(NOT(ISBLANK(Jumpoverwrite5)),AND(NOT(AC120),AND(AC$4:AC119))),($J120*$G120-LN(1+Jumpoverwrite5*AE$2))/$G120,_xll.qlInterpolationInterpolate(AC$3,$F120,TRUE))</f>
        <v>#NAME?</v>
      </c>
      <c r="AE120" s="439" t="str">
        <f ca="1">IF(AND(NOT(AC120),AND(AC$4:AC119)),MIN(EXP((AD120-$J120)*$G120),1),"")</f>
        <v/>
      </c>
      <c r="AF120" s="428"/>
      <c r="AG120" s="440" t="b">
        <f ca="1">IF(AND(NOT(AC120),AND(AC$4:AC119)),TRUE,AC120)</f>
        <v>0</v>
      </c>
      <c r="AH120" s="439" t="e">
        <f ca="1">IF(AND(NOT(ISBLANK(Jumpoverwrite6)),AND(NOT(AG120),AND(AG$4:AG119))),($J120*$G120-LN(1+Jumpoverwrite6*AI$2))/$G120,_xll.qlInterpolationInterpolate(AG$3,$F120,TRUE))</f>
        <v>#NAME?</v>
      </c>
      <c r="AI120" s="439" t="str">
        <f ca="1">IF(AND(NOT(AG120),AND(AG$4:AG119)),MIN(EXP((AH120-$J120)*$G120),1),"")</f>
        <v/>
      </c>
      <c r="AJ120" s="428"/>
      <c r="AK120" s="440" t="b">
        <f ca="1">IF(AND(NOT(AG120),AND(AG$4:AG119)),TRUE,AG120)</f>
        <v>0</v>
      </c>
      <c r="AL120" s="439" t="e">
        <f ca="1">IF(AND(NOT(ISBLANK(Jumpoverwrite7)),AND(NOT(AK120),AND(AK$4:AK119))),($J120*$G120-LN(1+Jumpoverwrite7*AM$2))/$G120,_xll.qlInterpolationInterpolate(AK$3,$F120,TRUE))</f>
        <v>#NAME?</v>
      </c>
      <c r="AM120" s="439" t="str">
        <f ca="1">IF(AND(NOT(AK120),AND(AK$4:AK119)),MIN(EXP((AL120-$J120)*$G120),1),"")</f>
        <v/>
      </c>
      <c r="AO120" s="440" t="b">
        <f ca="1">IF(AND(NOT(AK120),AND(AK$4:AK119)),TRUE,AK120)</f>
        <v>0</v>
      </c>
      <c r="AP120" s="439" t="e">
        <f ca="1">IF(AND(NOT(ISBLANK(Jumpoverwrite8)),AND(NOT(AO120),AND(AO$4:AO119))),($J120*$G120-LN(1+Jumpoverwrite8*AQ$2))/$G120,_xll.qlInterpolationInterpolate(AO$3,$F120,TRUE))</f>
        <v>#NAME?</v>
      </c>
      <c r="AQ120" s="439" t="str">
        <f ca="1">IF(AND(NOT(AO120),AND(AO$4:AO119)),MIN(EXP((AP120-$J120)*$G120),1),"")</f>
        <v/>
      </c>
      <c r="AS120" s="440" t="b">
        <f ca="1">IF(AND(NOT(AO120),AND(AO$4:AO119)),TRUE,AO120)</f>
        <v>0</v>
      </c>
      <c r="AT120" s="439" t="e">
        <f ca="1">IF(AND(NOT(ISBLANK(Jumpoverwrite9)),AND(NOT(AS120),AND(AS$4:AS119))),($J120*$G120-LN(1+Jumpoverwrite9*AU$2))/$G120,_xll.qlInterpolationInterpolate(AS$3,$F120,TRUE))</f>
        <v>#NAME?</v>
      </c>
      <c r="AU120" s="439" t="str">
        <f ca="1">IF(AND(NOT(AS120),AND(AS$4:AS119)),MIN(EXP((AT120-$J120)*$G120),1),"")</f>
        <v/>
      </c>
      <c r="AW120" s="440" t="b">
        <f ca="1">IF(AND(NOT(AS120),AND(AS$4:AS119)),TRUE,AS120)</f>
        <v>0</v>
      </c>
      <c r="AX120" s="439" t="e">
        <f ca="1">IF(AND(NOT(ISBLANK(Jumpoverwrite10)),AND(NOT(AW120),AND(AW$4:AW119))),($J120*$G120-LN(1+Jumpoverwrite10*AY$2))/$G120,_xll.qlInterpolationInterpolate(AW$3,$F120,TRUE))</f>
        <v>#NAME?</v>
      </c>
      <c r="AY120" s="439" t="str">
        <f ca="1">IF(AND(NOT(AW120),AND(AW$4:AW119)),MIN(EXP((AX120-$J120)*$G120),1),"")</f>
        <v/>
      </c>
      <c r="BA120" s="440" t="b">
        <f ca="1">IF(AND(NOT(AW120),AND(AW$4:AW119)),TRUE,AW120)</f>
        <v>0</v>
      </c>
      <c r="BB120" s="439" t="e">
        <f ca="1">IF(AND(NOT(ISBLANK(Jumpoverwrite11)),AND(NOT(BA120),AND(BA$4:BA119))),($J120*$G120-LN(1+Jumpoverwrite11*BC$2))/$G120,_xll.qlInterpolationInterpolate(BA$3,$F120,TRUE))</f>
        <v>#NAME?</v>
      </c>
      <c r="BC120" s="439" t="str">
        <f ca="1">IF(AND(NOT(BA120),AND(BA$4:BA119)),MIN(EXP((BB120-$J120)*$G120),1),"")</f>
        <v/>
      </c>
      <c r="BE120" s="440" t="b">
        <f ca="1">IF(AND(NOT(BA120),AND(BA$4:BA119)),TRUE,BA120)</f>
        <v>0</v>
      </c>
      <c r="BF120" s="439" t="e">
        <f ca="1">IF(AND(NOT(ISBLANK(Jumpoverwrite12)),AND(NOT(BE120),AND(BE$4:BE119))),($J120*$G120-LN(1+Jumpoverwrite12*BG$2))/$G120,_xll.qlInterpolationInterpolate(BE$3,$F120,TRUE))</f>
        <v>#NAME?</v>
      </c>
      <c r="BG120" s="439" t="str">
        <f ca="1">IF(AND(NOT(BE120),AND(BE$4:BE119)),MIN(EXP((BF120-$J120)*$G120),1),"")</f>
        <v/>
      </c>
      <c r="BI120" s="440" t="b">
        <f t="shared" ca="1" si="15"/>
        <v>0</v>
      </c>
      <c r="BJ120" s="439" t="e">
        <f ca="1">IF(AND(NOT(ISBLANK(jumpoverwrite13)),AND(NOT(BI120),AND(BI$4:BI119))),($J120*$G120-LN(1+jumpoverwrite13*BK$2))/$G120,_xll.qlInterpolationInterpolate(BI$3,$F120,TRUE))</f>
        <v>#NAME?</v>
      </c>
      <c r="BK120" s="439" t="str">
        <f ca="1">IF(AND(NOT(BI120),AND(BI$4:BI119)),MIN(EXP((BJ120-$J120)*$G120),1),"")</f>
        <v/>
      </c>
    </row>
    <row r="121" spans="1:63" x14ac:dyDescent="0.2">
      <c r="A121" s="438" t="e">
        <f ca="1"/>
        <v>#NAME?</v>
      </c>
      <c r="B121" s="437" t="e">
        <f ca="1">_xll.qlRateHelperRate($A121,InterestRatesTrigger)</f>
        <v>#NAME?</v>
      </c>
      <c r="C121" s="436" t="e">
        <f ca="1">_xll.qlRateHelperEarliestDate($A121)</f>
        <v>#NAME?</v>
      </c>
      <c r="D121" s="435" t="e">
        <f ca="1">_xll.qlRateHelperPillarDate($A121)</f>
        <v>#NAME?</v>
      </c>
      <c r="F121" s="445" t="e">
        <f t="shared" ca="1" si="13"/>
        <v>#N/A</v>
      </c>
      <c r="G121" s="444" t="e">
        <f ca="1">_xll.qlDayCounterYearFraction(DayCounter,D120,D121)</f>
        <v>#NAME?</v>
      </c>
      <c r="I121" s="443" t="b">
        <f t="shared" ca="1" si="14"/>
        <v>0</v>
      </c>
      <c r="J121" s="442" t="e">
        <f ca="1"/>
        <v>#NAME?</v>
      </c>
      <c r="K121" s="441" t="e">
        <f t="shared" ca="1" si="12"/>
        <v>#NAME?</v>
      </c>
      <c r="L121" s="429"/>
      <c r="M121" s="440" t="b">
        <f ca="1">IF(AND(NOT(I121),AND(I$4:I120)),TRUE,I121)</f>
        <v>0</v>
      </c>
      <c r="N121" s="439" t="e">
        <f ca="1">IF(AND(NOT(ISBLANK(Jumpoverwrite1)),AND(NOT(M121),AND(M$4:M120))),($J121*$G121-LN(1+Jumpoverwrite1*O$2))/$G121,_xll.qlInterpolationInterpolate(M$3,$F121,TRUE))</f>
        <v>#NAME?</v>
      </c>
      <c r="O121" s="439" t="str">
        <f ca="1">IF(AND(NOT(M121),AND(M$4:M120)),MIN(EXP((N121-$J121)*$G121),1),"")</f>
        <v/>
      </c>
      <c r="P121" s="428"/>
      <c r="Q121" s="440" t="b">
        <f ca="1">IF(AND(NOT(M121),AND(M$4:M120)),TRUE,M121)</f>
        <v>0</v>
      </c>
      <c r="R121" s="439" t="e">
        <f ca="1">IF(AND(NOT(ISBLANK(Jumpoverwrite2)),AND(NOT(Q121),AND(Q$4:Q120))),($J121*$G121-LN(1+Jumpoverwrite2*S$2))/$G121,_xll.qlInterpolationInterpolate(Q$3,$F121,TRUE))</f>
        <v>#NAME?</v>
      </c>
      <c r="S121" s="439" t="str">
        <f ca="1">IF(AND(NOT(Q121),AND(Q$4:Q120)),MIN(EXP((R121-$J121)*$G121),1),"")</f>
        <v/>
      </c>
      <c r="T121" s="428"/>
      <c r="U121" s="440" t="b">
        <f ca="1">IF(AND(NOT(Q121),AND(Q$4:Q120)),TRUE,Q121)</f>
        <v>0</v>
      </c>
      <c r="V121" s="439" t="e">
        <f ca="1">IF(AND(NOT(ISBLANK(Jumpoverwrite3)),AND(NOT(U121),AND(U$4:U120))),($J121*$G121-LN(1+Jumpoverwrite3*W$2))/$G121,_xll.qlInterpolationInterpolate(U$3,$F121,TRUE))</f>
        <v>#NAME?</v>
      </c>
      <c r="W121" s="439" t="str">
        <f ca="1">IF(AND(NOT(U121),AND(U$4:U120)),MIN(EXP((V121-$J121)*$G121),1),"")</f>
        <v/>
      </c>
      <c r="X121" s="428"/>
      <c r="Y121" s="440" t="b">
        <f ca="1">IF(AND(NOT(U121),AND(U$4:U120)),TRUE,U121)</f>
        <v>0</v>
      </c>
      <c r="Z121" s="439" t="e">
        <f ca="1">IF(AND(NOT(ISBLANK(Jumpoverwrite4)),AND(NOT(Y121),AND(Y$4:Y120))),($J121*$G121-LN(1+Jumpoverwrite4*AA$2))/$G121,_xll.qlInterpolationInterpolate(Y$3,$F121,TRUE))</f>
        <v>#NAME?</v>
      </c>
      <c r="AA121" s="439" t="str">
        <f ca="1">IF(AND(NOT(Y121),AND(Y$4:Y120)),MIN(EXP((Z121-$J121)*$G121),1),"")</f>
        <v/>
      </c>
      <c r="AB121" s="428"/>
      <c r="AC121" s="440" t="b">
        <f ca="1">IF(AND(NOT(Y121),AND(Y$4:Y120)),TRUE,Y121)</f>
        <v>0</v>
      </c>
      <c r="AD121" s="439" t="e">
        <f ca="1">IF(AND(NOT(ISBLANK(Jumpoverwrite5)),AND(NOT(AC121),AND(AC$4:AC120))),($J121*$G121-LN(1+Jumpoverwrite5*AE$2))/$G121,_xll.qlInterpolationInterpolate(AC$3,$F121,TRUE))</f>
        <v>#NAME?</v>
      </c>
      <c r="AE121" s="439" t="str">
        <f ca="1">IF(AND(NOT(AC121),AND(AC$4:AC120)),MIN(EXP((AD121-$J121)*$G121),1),"")</f>
        <v/>
      </c>
      <c r="AF121" s="428"/>
      <c r="AG121" s="440" t="b">
        <f ca="1">IF(AND(NOT(AC121),AND(AC$4:AC120)),TRUE,AC121)</f>
        <v>0</v>
      </c>
      <c r="AH121" s="439" t="e">
        <f ca="1">IF(AND(NOT(ISBLANK(Jumpoverwrite6)),AND(NOT(AG121),AND(AG$4:AG120))),($J121*$G121-LN(1+Jumpoverwrite6*AI$2))/$G121,_xll.qlInterpolationInterpolate(AG$3,$F121,TRUE))</f>
        <v>#NAME?</v>
      </c>
      <c r="AI121" s="439" t="str">
        <f ca="1">IF(AND(NOT(AG121),AND(AG$4:AG120)),MIN(EXP((AH121-$J121)*$G121),1),"")</f>
        <v/>
      </c>
      <c r="AJ121" s="428"/>
      <c r="AK121" s="440" t="b">
        <f ca="1">IF(AND(NOT(AG121),AND(AG$4:AG120)),TRUE,AG121)</f>
        <v>0</v>
      </c>
      <c r="AL121" s="439" t="e">
        <f ca="1">IF(AND(NOT(ISBLANK(Jumpoverwrite7)),AND(NOT(AK121),AND(AK$4:AK120))),($J121*$G121-LN(1+Jumpoverwrite7*AM$2))/$G121,_xll.qlInterpolationInterpolate(AK$3,$F121,TRUE))</f>
        <v>#NAME?</v>
      </c>
      <c r="AM121" s="439" t="str">
        <f ca="1">IF(AND(NOT(AK121),AND(AK$4:AK120)),MIN(EXP((AL121-$J121)*$G121),1),"")</f>
        <v/>
      </c>
      <c r="AO121" s="440" t="b">
        <f ca="1">IF(AND(NOT(AK121),AND(AK$4:AK120)),TRUE,AK121)</f>
        <v>0</v>
      </c>
      <c r="AP121" s="439" t="e">
        <f ca="1">IF(AND(NOT(ISBLANK(Jumpoverwrite8)),AND(NOT(AO121),AND(AO$4:AO120))),($J121*$G121-LN(1+Jumpoverwrite8*AQ$2))/$G121,_xll.qlInterpolationInterpolate(AO$3,$F121,TRUE))</f>
        <v>#NAME?</v>
      </c>
      <c r="AQ121" s="439" t="str">
        <f ca="1">IF(AND(NOT(AO121),AND(AO$4:AO120)),MIN(EXP((AP121-$J121)*$G121),1),"")</f>
        <v/>
      </c>
      <c r="AS121" s="440" t="b">
        <f ca="1">IF(AND(NOT(AO121),AND(AO$4:AO120)),TRUE,AO121)</f>
        <v>0</v>
      </c>
      <c r="AT121" s="439" t="e">
        <f ca="1">IF(AND(NOT(ISBLANK(Jumpoverwrite9)),AND(NOT(AS121),AND(AS$4:AS120))),($J121*$G121-LN(1+Jumpoverwrite9*AU$2))/$G121,_xll.qlInterpolationInterpolate(AS$3,$F121,TRUE))</f>
        <v>#NAME?</v>
      </c>
      <c r="AU121" s="439" t="str">
        <f ca="1">IF(AND(NOT(AS121),AND(AS$4:AS120)),MIN(EXP((AT121-$J121)*$G121),1),"")</f>
        <v/>
      </c>
      <c r="AW121" s="440" t="b">
        <f ca="1">IF(AND(NOT(AS121),AND(AS$4:AS120)),TRUE,AS121)</f>
        <v>0</v>
      </c>
      <c r="AX121" s="439" t="e">
        <f ca="1">IF(AND(NOT(ISBLANK(Jumpoverwrite10)),AND(NOT(AW121),AND(AW$4:AW120))),($J121*$G121-LN(1+Jumpoverwrite10*AY$2))/$G121,_xll.qlInterpolationInterpolate(AW$3,$F121,TRUE))</f>
        <v>#NAME?</v>
      </c>
      <c r="AY121" s="439" t="str">
        <f ca="1">IF(AND(NOT(AW121),AND(AW$4:AW120)),MIN(EXP((AX121-$J121)*$G121),1),"")</f>
        <v/>
      </c>
      <c r="BA121" s="440" t="b">
        <f ca="1">IF(AND(NOT(AW121),AND(AW$4:AW120)),TRUE,AW121)</f>
        <v>0</v>
      </c>
      <c r="BB121" s="439" t="e">
        <f ca="1">IF(AND(NOT(ISBLANK(Jumpoverwrite11)),AND(NOT(BA121),AND(BA$4:BA120))),($J121*$G121-LN(1+Jumpoverwrite11*BC$2))/$G121,_xll.qlInterpolationInterpolate(BA$3,$F121,TRUE))</f>
        <v>#NAME?</v>
      </c>
      <c r="BC121" s="439" t="str">
        <f ca="1">IF(AND(NOT(BA121),AND(BA$4:BA120)),MIN(EXP((BB121-$J121)*$G121),1),"")</f>
        <v/>
      </c>
      <c r="BE121" s="440" t="b">
        <f ca="1">IF(AND(NOT(BA121),AND(BA$4:BA120)),TRUE,BA121)</f>
        <v>0</v>
      </c>
      <c r="BF121" s="439" t="e">
        <f ca="1">IF(AND(NOT(ISBLANK(Jumpoverwrite12)),AND(NOT(BE121),AND(BE$4:BE120))),($J121*$G121-LN(1+Jumpoverwrite12*BG$2))/$G121,_xll.qlInterpolationInterpolate(BE$3,$F121,TRUE))</f>
        <v>#NAME?</v>
      </c>
      <c r="BG121" s="439" t="str">
        <f ca="1">IF(AND(NOT(BE121),AND(BE$4:BE120)),MIN(EXP((BF121-$J121)*$G121),1),"")</f>
        <v/>
      </c>
      <c r="BI121" s="440" t="b">
        <f t="shared" ca="1" si="15"/>
        <v>0</v>
      </c>
      <c r="BJ121" s="439" t="e">
        <f ca="1">IF(AND(NOT(ISBLANK(jumpoverwrite13)),AND(NOT(BI121),AND(BI$4:BI120))),($J121*$G121-LN(1+jumpoverwrite13*BK$2))/$G121,_xll.qlInterpolationInterpolate(BI$3,$F121,TRUE))</f>
        <v>#NAME?</v>
      </c>
      <c r="BK121" s="439" t="str">
        <f ca="1">IF(AND(NOT(BI121),AND(BI$4:BI120)),MIN(EXP((BJ121-$J121)*$G121),1),"")</f>
        <v/>
      </c>
    </row>
    <row r="122" spans="1:63" x14ac:dyDescent="0.2">
      <c r="A122" s="438" t="e">
        <f ca="1"/>
        <v>#NAME?</v>
      </c>
      <c r="B122" s="437" t="e">
        <f ca="1">_xll.qlRateHelperRate($A122,InterestRatesTrigger)</f>
        <v>#NAME?</v>
      </c>
      <c r="C122" s="436" t="e">
        <f ca="1">_xll.qlRateHelperEarliestDate($A122)</f>
        <v>#NAME?</v>
      </c>
      <c r="D122" s="435" t="e">
        <f ca="1">_xll.qlRateHelperPillarDate($A122)</f>
        <v>#NAME?</v>
      </c>
      <c r="F122" s="445" t="e">
        <f t="shared" ca="1" si="13"/>
        <v>#N/A</v>
      </c>
      <c r="G122" s="444" t="e">
        <f ca="1">_xll.qlDayCounterYearFraction(DayCounter,D121,D122)</f>
        <v>#NAME?</v>
      </c>
      <c r="I122" s="443" t="b">
        <f t="shared" ca="1" si="14"/>
        <v>0</v>
      </c>
      <c r="J122" s="442" t="e">
        <f ca="1"/>
        <v>#NAME?</v>
      </c>
      <c r="K122" s="441" t="e">
        <f t="shared" ca="1" si="12"/>
        <v>#NAME?</v>
      </c>
      <c r="L122" s="429"/>
      <c r="M122" s="440" t="b">
        <f ca="1">IF(AND(NOT(I122),AND(I$4:I121)),TRUE,I122)</f>
        <v>0</v>
      </c>
      <c r="N122" s="439" t="e">
        <f ca="1">IF(AND(NOT(ISBLANK(Jumpoverwrite1)),AND(NOT(M122),AND(M$4:M121))),($J122*$G122-LN(1+Jumpoverwrite1*O$2))/$G122,_xll.qlInterpolationInterpolate(M$3,$F122,TRUE))</f>
        <v>#NAME?</v>
      </c>
      <c r="O122" s="439" t="str">
        <f ca="1">IF(AND(NOT(M122),AND(M$4:M121)),MIN(EXP((N122-$J122)*$G122),1),"")</f>
        <v/>
      </c>
      <c r="P122" s="428"/>
      <c r="Q122" s="440" t="b">
        <f ca="1">IF(AND(NOT(M122),AND(M$4:M121)),TRUE,M122)</f>
        <v>0</v>
      </c>
      <c r="R122" s="439" t="e">
        <f ca="1">IF(AND(NOT(ISBLANK(Jumpoverwrite2)),AND(NOT(Q122),AND(Q$4:Q121))),($J122*$G122-LN(1+Jumpoverwrite2*S$2))/$G122,_xll.qlInterpolationInterpolate(Q$3,$F122,TRUE))</f>
        <v>#NAME?</v>
      </c>
      <c r="S122" s="439" t="str">
        <f ca="1">IF(AND(NOT(Q122),AND(Q$4:Q121)),MIN(EXP((R122-$J122)*$G122),1),"")</f>
        <v/>
      </c>
      <c r="T122" s="428"/>
      <c r="U122" s="440" t="b">
        <f ca="1">IF(AND(NOT(Q122),AND(Q$4:Q121)),TRUE,Q122)</f>
        <v>0</v>
      </c>
      <c r="V122" s="439" t="e">
        <f ca="1">IF(AND(NOT(ISBLANK(Jumpoverwrite3)),AND(NOT(U122),AND(U$4:U121))),($J122*$G122-LN(1+Jumpoverwrite3*W$2))/$G122,_xll.qlInterpolationInterpolate(U$3,$F122,TRUE))</f>
        <v>#NAME?</v>
      </c>
      <c r="W122" s="439" t="str">
        <f ca="1">IF(AND(NOT(U122),AND(U$4:U121)),MIN(EXP((V122-$J122)*$G122),1),"")</f>
        <v/>
      </c>
      <c r="X122" s="428"/>
      <c r="Y122" s="440" t="b">
        <f ca="1">IF(AND(NOT(U122),AND(U$4:U121)),TRUE,U122)</f>
        <v>0</v>
      </c>
      <c r="Z122" s="439" t="e">
        <f ca="1">IF(AND(NOT(ISBLANK(Jumpoverwrite4)),AND(NOT(Y122),AND(Y$4:Y121))),($J122*$G122-LN(1+Jumpoverwrite4*AA$2))/$G122,_xll.qlInterpolationInterpolate(Y$3,$F122,TRUE))</f>
        <v>#NAME?</v>
      </c>
      <c r="AA122" s="439" t="str">
        <f ca="1">IF(AND(NOT(Y122),AND(Y$4:Y121)),MIN(EXP((Z122-$J122)*$G122),1),"")</f>
        <v/>
      </c>
      <c r="AB122" s="428"/>
      <c r="AC122" s="440" t="b">
        <f ca="1">IF(AND(NOT(Y122),AND(Y$4:Y121)),TRUE,Y122)</f>
        <v>0</v>
      </c>
      <c r="AD122" s="439" t="e">
        <f ca="1">IF(AND(NOT(ISBLANK(Jumpoverwrite5)),AND(NOT(AC122),AND(AC$4:AC121))),($J122*$G122-LN(1+Jumpoverwrite5*AE$2))/$G122,_xll.qlInterpolationInterpolate(AC$3,$F122,TRUE))</f>
        <v>#NAME?</v>
      </c>
      <c r="AE122" s="439" t="str">
        <f ca="1">IF(AND(NOT(AC122),AND(AC$4:AC121)),MIN(EXP((AD122-$J122)*$G122),1),"")</f>
        <v/>
      </c>
      <c r="AF122" s="428"/>
      <c r="AG122" s="440" t="b">
        <f ca="1">IF(AND(NOT(AC122),AND(AC$4:AC121)),TRUE,AC122)</f>
        <v>0</v>
      </c>
      <c r="AH122" s="439" t="e">
        <f ca="1">IF(AND(NOT(ISBLANK(Jumpoverwrite6)),AND(NOT(AG122),AND(AG$4:AG121))),($J122*$G122-LN(1+Jumpoverwrite6*AI$2))/$G122,_xll.qlInterpolationInterpolate(AG$3,$F122,TRUE))</f>
        <v>#NAME?</v>
      </c>
      <c r="AI122" s="439" t="str">
        <f ca="1">IF(AND(NOT(AG122),AND(AG$4:AG121)),MIN(EXP((AH122-$J122)*$G122),1),"")</f>
        <v/>
      </c>
      <c r="AJ122" s="428"/>
      <c r="AK122" s="440" t="b">
        <f ca="1">IF(AND(NOT(AG122),AND(AG$4:AG121)),TRUE,AG122)</f>
        <v>0</v>
      </c>
      <c r="AL122" s="439" t="e">
        <f ca="1">IF(AND(NOT(ISBLANK(Jumpoverwrite7)),AND(NOT(AK122),AND(AK$4:AK121))),($J122*$G122-LN(1+Jumpoverwrite7*AM$2))/$G122,_xll.qlInterpolationInterpolate(AK$3,$F122,TRUE))</f>
        <v>#NAME?</v>
      </c>
      <c r="AM122" s="439" t="str">
        <f ca="1">IF(AND(NOT(AK122),AND(AK$4:AK121)),MIN(EXP((AL122-$J122)*$G122),1),"")</f>
        <v/>
      </c>
      <c r="AO122" s="440" t="b">
        <f ca="1">IF(AND(NOT(AK122),AND(AK$4:AK121)),TRUE,AK122)</f>
        <v>0</v>
      </c>
      <c r="AP122" s="439" t="e">
        <f ca="1">IF(AND(NOT(ISBLANK(Jumpoverwrite8)),AND(NOT(AO122),AND(AO$4:AO121))),($J122*$G122-LN(1+Jumpoverwrite8*AQ$2))/$G122,_xll.qlInterpolationInterpolate(AO$3,$F122,TRUE))</f>
        <v>#NAME?</v>
      </c>
      <c r="AQ122" s="439" t="str">
        <f ca="1">IF(AND(NOT(AO122),AND(AO$4:AO121)),MIN(EXP((AP122-$J122)*$G122),1),"")</f>
        <v/>
      </c>
      <c r="AS122" s="440" t="b">
        <f ca="1">IF(AND(NOT(AO122),AND(AO$4:AO121)),TRUE,AO122)</f>
        <v>0</v>
      </c>
      <c r="AT122" s="439" t="e">
        <f ca="1">IF(AND(NOT(ISBLANK(Jumpoverwrite9)),AND(NOT(AS122),AND(AS$4:AS121))),($J122*$G122-LN(1+Jumpoverwrite9*AU$2))/$G122,_xll.qlInterpolationInterpolate(AS$3,$F122,TRUE))</f>
        <v>#NAME?</v>
      </c>
      <c r="AU122" s="439" t="str">
        <f ca="1">IF(AND(NOT(AS122),AND(AS$4:AS121)),MIN(EXP((AT122-$J122)*$G122),1),"")</f>
        <v/>
      </c>
      <c r="AW122" s="440" t="b">
        <f ca="1">IF(AND(NOT(AS122),AND(AS$4:AS121)),TRUE,AS122)</f>
        <v>0</v>
      </c>
      <c r="AX122" s="439" t="e">
        <f ca="1">IF(AND(NOT(ISBLANK(Jumpoverwrite10)),AND(NOT(AW122),AND(AW$4:AW121))),($J122*$G122-LN(1+Jumpoverwrite10*AY$2))/$G122,_xll.qlInterpolationInterpolate(AW$3,$F122,TRUE))</f>
        <v>#NAME?</v>
      </c>
      <c r="AY122" s="439" t="str">
        <f ca="1">IF(AND(NOT(AW122),AND(AW$4:AW121)),MIN(EXP((AX122-$J122)*$G122),1),"")</f>
        <v/>
      </c>
      <c r="BA122" s="440" t="b">
        <f ca="1">IF(AND(NOT(AW122),AND(AW$4:AW121)),TRUE,AW122)</f>
        <v>0</v>
      </c>
      <c r="BB122" s="439" t="e">
        <f ca="1">IF(AND(NOT(ISBLANK(Jumpoverwrite11)),AND(NOT(BA122),AND(BA$4:BA121))),($J122*$G122-LN(1+Jumpoverwrite11*BC$2))/$G122,_xll.qlInterpolationInterpolate(BA$3,$F122,TRUE))</f>
        <v>#NAME?</v>
      </c>
      <c r="BC122" s="439" t="str">
        <f ca="1">IF(AND(NOT(BA122),AND(BA$4:BA121)),MIN(EXP((BB122-$J122)*$G122),1),"")</f>
        <v/>
      </c>
      <c r="BE122" s="440" t="b">
        <f ca="1">IF(AND(NOT(BA122),AND(BA$4:BA121)),TRUE,BA122)</f>
        <v>0</v>
      </c>
      <c r="BF122" s="439" t="e">
        <f ca="1">IF(AND(NOT(ISBLANK(Jumpoverwrite12)),AND(NOT(BE122),AND(BE$4:BE121))),($J122*$G122-LN(1+Jumpoverwrite12*BG$2))/$G122,_xll.qlInterpolationInterpolate(BE$3,$F122,TRUE))</f>
        <v>#NAME?</v>
      </c>
      <c r="BG122" s="439" t="str">
        <f ca="1">IF(AND(NOT(BE122),AND(BE$4:BE121)),MIN(EXP((BF122-$J122)*$G122),1),"")</f>
        <v/>
      </c>
      <c r="BI122" s="440" t="b">
        <f t="shared" ca="1" si="15"/>
        <v>0</v>
      </c>
      <c r="BJ122" s="439" t="e">
        <f ca="1">IF(AND(NOT(ISBLANK(jumpoverwrite13)),AND(NOT(BI122),AND(BI$4:BI121))),($J122*$G122-LN(1+jumpoverwrite13*BK$2))/$G122,_xll.qlInterpolationInterpolate(BI$3,$F122,TRUE))</f>
        <v>#NAME?</v>
      </c>
      <c r="BK122" s="439" t="str">
        <f ca="1">IF(AND(NOT(BI122),AND(BI$4:BI121)),MIN(EXP((BJ122-$J122)*$G122),1),"")</f>
        <v/>
      </c>
    </row>
    <row r="123" spans="1:63" x14ac:dyDescent="0.2">
      <c r="A123" s="438" t="e">
        <f ca="1"/>
        <v>#NAME?</v>
      </c>
      <c r="B123" s="437" t="e">
        <f ca="1">_xll.qlRateHelperRate($A123,InterestRatesTrigger)</f>
        <v>#NAME?</v>
      </c>
      <c r="C123" s="436" t="e">
        <f ca="1">_xll.qlRateHelperEarliestDate($A123)</f>
        <v>#NAME?</v>
      </c>
      <c r="D123" s="435" t="e">
        <f ca="1">_xll.qlRateHelperPillarDate($A123)</f>
        <v>#NAME?</v>
      </c>
      <c r="F123" s="445" t="e">
        <f t="shared" ca="1" si="13"/>
        <v>#N/A</v>
      </c>
      <c r="G123" s="444" t="e">
        <f ca="1">_xll.qlDayCounterYearFraction(DayCounter,D122,D123)</f>
        <v>#NAME?</v>
      </c>
      <c r="I123" s="443" t="b">
        <f t="shared" ca="1" si="14"/>
        <v>0</v>
      </c>
      <c r="J123" s="442" t="e">
        <f ca="1"/>
        <v>#NAME?</v>
      </c>
      <c r="K123" s="441" t="e">
        <f t="shared" ca="1" si="12"/>
        <v>#NAME?</v>
      </c>
      <c r="L123" s="429"/>
      <c r="M123" s="440" t="b">
        <f ca="1">IF(AND(NOT(I123),AND(I$4:I122)),TRUE,I123)</f>
        <v>0</v>
      </c>
      <c r="N123" s="439" t="e">
        <f ca="1">IF(AND(NOT(ISBLANK(Jumpoverwrite1)),AND(NOT(M123),AND(M$4:M122))),($J123*$G123-LN(1+Jumpoverwrite1*O$2))/$G123,_xll.qlInterpolationInterpolate(M$3,$F123,TRUE))</f>
        <v>#NAME?</v>
      </c>
      <c r="O123" s="439" t="str">
        <f ca="1">IF(AND(NOT(M123),AND(M$4:M122)),MIN(EXP((N123-$J123)*$G123),1),"")</f>
        <v/>
      </c>
      <c r="P123" s="428"/>
      <c r="Q123" s="440" t="b">
        <f ca="1">IF(AND(NOT(M123),AND(M$4:M122)),TRUE,M123)</f>
        <v>0</v>
      </c>
      <c r="R123" s="439" t="e">
        <f ca="1">IF(AND(NOT(ISBLANK(Jumpoverwrite2)),AND(NOT(Q123),AND(Q$4:Q122))),($J123*$G123-LN(1+Jumpoverwrite2*S$2))/$G123,_xll.qlInterpolationInterpolate(Q$3,$F123,TRUE))</f>
        <v>#NAME?</v>
      </c>
      <c r="S123" s="439" t="str">
        <f ca="1">IF(AND(NOT(Q123),AND(Q$4:Q122)),MIN(EXP((R123-$J123)*$G123),1),"")</f>
        <v/>
      </c>
      <c r="T123" s="428"/>
      <c r="U123" s="440" t="b">
        <f ca="1">IF(AND(NOT(Q123),AND(Q$4:Q122)),TRUE,Q123)</f>
        <v>0</v>
      </c>
      <c r="V123" s="439" t="e">
        <f ca="1">IF(AND(NOT(ISBLANK(Jumpoverwrite3)),AND(NOT(U123),AND(U$4:U122))),($J123*$G123-LN(1+Jumpoverwrite3*W$2))/$G123,_xll.qlInterpolationInterpolate(U$3,$F123,TRUE))</f>
        <v>#NAME?</v>
      </c>
      <c r="W123" s="439" t="str">
        <f ca="1">IF(AND(NOT(U123),AND(U$4:U122)),MIN(EXP((V123-$J123)*$G123),1),"")</f>
        <v/>
      </c>
      <c r="X123" s="428"/>
      <c r="Y123" s="440" t="b">
        <f ca="1">IF(AND(NOT(U123),AND(U$4:U122)),TRUE,U123)</f>
        <v>0</v>
      </c>
      <c r="Z123" s="439" t="e">
        <f ca="1">IF(AND(NOT(ISBLANK(Jumpoverwrite4)),AND(NOT(Y123),AND(Y$4:Y122))),($J123*$G123-LN(1+Jumpoverwrite4*AA$2))/$G123,_xll.qlInterpolationInterpolate(Y$3,$F123,TRUE))</f>
        <v>#NAME?</v>
      </c>
      <c r="AA123" s="439" t="str">
        <f ca="1">IF(AND(NOT(Y123),AND(Y$4:Y122)),MIN(EXP((Z123-$J123)*$G123),1),"")</f>
        <v/>
      </c>
      <c r="AB123" s="428"/>
      <c r="AC123" s="440" t="b">
        <f ca="1">IF(AND(NOT(Y123),AND(Y$4:Y122)),TRUE,Y123)</f>
        <v>0</v>
      </c>
      <c r="AD123" s="439" t="e">
        <f ca="1">IF(AND(NOT(ISBLANK(Jumpoverwrite5)),AND(NOT(AC123),AND(AC$4:AC122))),($J123*$G123-LN(1+Jumpoverwrite5*AE$2))/$G123,_xll.qlInterpolationInterpolate(AC$3,$F123,TRUE))</f>
        <v>#NAME?</v>
      </c>
      <c r="AE123" s="439" t="str">
        <f ca="1">IF(AND(NOT(AC123),AND(AC$4:AC122)),MIN(EXP((AD123-$J123)*$G123),1),"")</f>
        <v/>
      </c>
      <c r="AF123" s="428"/>
      <c r="AG123" s="440" t="b">
        <f ca="1">IF(AND(NOT(AC123),AND(AC$4:AC122)),TRUE,AC123)</f>
        <v>0</v>
      </c>
      <c r="AH123" s="439" t="e">
        <f ca="1">IF(AND(NOT(ISBLANK(Jumpoverwrite6)),AND(NOT(AG123),AND(AG$4:AG122))),($J123*$G123-LN(1+Jumpoverwrite6*AI$2))/$G123,_xll.qlInterpolationInterpolate(AG$3,$F123,TRUE))</f>
        <v>#NAME?</v>
      </c>
      <c r="AI123" s="439" t="str">
        <f ca="1">IF(AND(NOT(AG123),AND(AG$4:AG122)),MIN(EXP((AH123-$J123)*$G123),1),"")</f>
        <v/>
      </c>
      <c r="AJ123" s="428"/>
      <c r="AK123" s="440" t="b">
        <f ca="1">IF(AND(NOT(AG123),AND(AG$4:AG122)),TRUE,AG123)</f>
        <v>0</v>
      </c>
      <c r="AL123" s="439" t="e">
        <f ca="1">IF(AND(NOT(ISBLANK(Jumpoverwrite7)),AND(NOT(AK123),AND(AK$4:AK122))),($J123*$G123-LN(1+Jumpoverwrite7*AM$2))/$G123,_xll.qlInterpolationInterpolate(AK$3,$F123,TRUE))</f>
        <v>#NAME?</v>
      </c>
      <c r="AM123" s="439" t="str">
        <f ca="1">IF(AND(NOT(AK123),AND(AK$4:AK122)),MIN(EXP((AL123-$J123)*$G123),1),"")</f>
        <v/>
      </c>
      <c r="AO123" s="440" t="b">
        <f ca="1">IF(AND(NOT(AK123),AND(AK$4:AK122)),TRUE,AK123)</f>
        <v>0</v>
      </c>
      <c r="AP123" s="439" t="e">
        <f ca="1">IF(AND(NOT(ISBLANK(Jumpoverwrite8)),AND(NOT(AO123),AND(AO$4:AO122))),($J123*$G123-LN(1+Jumpoverwrite8*AQ$2))/$G123,_xll.qlInterpolationInterpolate(AO$3,$F123,TRUE))</f>
        <v>#NAME?</v>
      </c>
      <c r="AQ123" s="439" t="str">
        <f ca="1">IF(AND(NOT(AO123),AND(AO$4:AO122)),MIN(EXP((AP123-$J123)*$G123),1),"")</f>
        <v/>
      </c>
      <c r="AS123" s="440" t="b">
        <f ca="1">IF(AND(NOT(AO123),AND(AO$4:AO122)),TRUE,AO123)</f>
        <v>0</v>
      </c>
      <c r="AT123" s="439" t="e">
        <f ca="1">IF(AND(NOT(ISBLANK(Jumpoverwrite9)),AND(NOT(AS123),AND(AS$4:AS122))),($J123*$G123-LN(1+Jumpoverwrite9*AU$2))/$G123,_xll.qlInterpolationInterpolate(AS$3,$F123,TRUE))</f>
        <v>#NAME?</v>
      </c>
      <c r="AU123" s="439" t="str">
        <f ca="1">IF(AND(NOT(AS123),AND(AS$4:AS122)),MIN(EXP((AT123-$J123)*$G123),1),"")</f>
        <v/>
      </c>
      <c r="AW123" s="440" t="b">
        <f ca="1">IF(AND(NOT(AS123),AND(AS$4:AS122)),TRUE,AS123)</f>
        <v>0</v>
      </c>
      <c r="AX123" s="439" t="e">
        <f ca="1">IF(AND(NOT(ISBLANK(Jumpoverwrite10)),AND(NOT(AW123),AND(AW$4:AW122))),($J123*$G123-LN(1+Jumpoverwrite10*AY$2))/$G123,_xll.qlInterpolationInterpolate(AW$3,$F123,TRUE))</f>
        <v>#NAME?</v>
      </c>
      <c r="AY123" s="439" t="str">
        <f ca="1">IF(AND(NOT(AW123),AND(AW$4:AW122)),MIN(EXP((AX123-$J123)*$G123),1),"")</f>
        <v/>
      </c>
      <c r="BA123" s="440" t="b">
        <f ca="1">IF(AND(NOT(AW123),AND(AW$4:AW122)),TRUE,AW123)</f>
        <v>0</v>
      </c>
      <c r="BB123" s="439" t="e">
        <f ca="1">IF(AND(NOT(ISBLANK(Jumpoverwrite11)),AND(NOT(BA123),AND(BA$4:BA122))),($J123*$G123-LN(1+Jumpoverwrite11*BC$2))/$G123,_xll.qlInterpolationInterpolate(BA$3,$F123,TRUE))</f>
        <v>#NAME?</v>
      </c>
      <c r="BC123" s="439" t="str">
        <f ca="1">IF(AND(NOT(BA123),AND(BA$4:BA122)),MIN(EXP((BB123-$J123)*$G123),1),"")</f>
        <v/>
      </c>
      <c r="BE123" s="440" t="b">
        <f ca="1">IF(AND(NOT(BA123),AND(BA$4:BA122)),TRUE,BA123)</f>
        <v>0</v>
      </c>
      <c r="BF123" s="439" t="e">
        <f ca="1">IF(AND(NOT(ISBLANK(Jumpoverwrite12)),AND(NOT(BE123),AND(BE$4:BE122))),($J123*$G123-LN(1+Jumpoverwrite12*BG$2))/$G123,_xll.qlInterpolationInterpolate(BE$3,$F123,TRUE))</f>
        <v>#NAME?</v>
      </c>
      <c r="BG123" s="439" t="str">
        <f ca="1">IF(AND(NOT(BE123),AND(BE$4:BE122)),MIN(EXP((BF123-$J123)*$G123),1),"")</f>
        <v/>
      </c>
      <c r="BI123" s="440" t="b">
        <f t="shared" ca="1" si="15"/>
        <v>0</v>
      </c>
      <c r="BJ123" s="439" t="e">
        <f ca="1">IF(AND(NOT(ISBLANK(jumpoverwrite13)),AND(NOT(BI123),AND(BI$4:BI122))),($J123*$G123-LN(1+jumpoverwrite13*BK$2))/$G123,_xll.qlInterpolationInterpolate(BI$3,$F123,TRUE))</f>
        <v>#NAME?</v>
      </c>
      <c r="BK123" s="439" t="str">
        <f ca="1">IF(AND(NOT(BI123),AND(BI$4:BI122)),MIN(EXP((BJ123-$J123)*$G123),1),"")</f>
        <v/>
      </c>
    </row>
    <row r="124" spans="1:63" x14ac:dyDescent="0.2">
      <c r="A124" s="438" t="e">
        <f ca="1"/>
        <v>#NAME?</v>
      </c>
      <c r="B124" s="437" t="e">
        <f ca="1">_xll.qlRateHelperRate($A124,InterestRatesTrigger)</f>
        <v>#NAME?</v>
      </c>
      <c r="C124" s="436" t="e">
        <f ca="1">_xll.qlRateHelperEarliestDate($A124)</f>
        <v>#NAME?</v>
      </c>
      <c r="D124" s="435" t="e">
        <f ca="1">_xll.qlRateHelperPillarDate($A124)</f>
        <v>#NAME?</v>
      </c>
      <c r="F124" s="445" t="e">
        <f t="shared" ca="1" si="13"/>
        <v>#N/A</v>
      </c>
      <c r="G124" s="444" t="e">
        <f ca="1">_xll.qlDayCounterYearFraction(DayCounter,D123,D124)</f>
        <v>#NAME?</v>
      </c>
      <c r="I124" s="443" t="b">
        <f t="shared" ca="1" si="14"/>
        <v>0</v>
      </c>
      <c r="J124" s="442" t="e">
        <f ca="1"/>
        <v>#NAME?</v>
      </c>
      <c r="K124" s="441" t="e">
        <f t="shared" ca="1" si="12"/>
        <v>#NAME?</v>
      </c>
      <c r="L124" s="429"/>
      <c r="M124" s="440" t="b">
        <f ca="1">IF(AND(NOT(I124),AND(I$4:I123)),TRUE,I124)</f>
        <v>0</v>
      </c>
      <c r="N124" s="439" t="e">
        <f ca="1">IF(AND(NOT(ISBLANK(Jumpoverwrite1)),AND(NOT(M124),AND(M$4:M123))),($J124*$G124-LN(1+Jumpoverwrite1*O$2))/$G124,_xll.qlInterpolationInterpolate(M$3,$F124,TRUE))</f>
        <v>#NAME?</v>
      </c>
      <c r="O124" s="439" t="str">
        <f ca="1">IF(AND(NOT(M124),AND(M$4:M123)),MIN(EXP((N124-$J124)*$G124),1),"")</f>
        <v/>
      </c>
      <c r="P124" s="428"/>
      <c r="Q124" s="440" t="b">
        <f ca="1">IF(AND(NOT(M124),AND(M$4:M123)),TRUE,M124)</f>
        <v>0</v>
      </c>
      <c r="R124" s="439" t="e">
        <f ca="1">IF(AND(NOT(ISBLANK(Jumpoverwrite2)),AND(NOT(Q124),AND(Q$4:Q123))),($J124*$G124-LN(1+Jumpoverwrite2*S$2))/$G124,_xll.qlInterpolationInterpolate(Q$3,$F124,TRUE))</f>
        <v>#NAME?</v>
      </c>
      <c r="S124" s="439" t="str">
        <f ca="1">IF(AND(NOT(Q124),AND(Q$4:Q123)),MIN(EXP((R124-$J124)*$G124),1),"")</f>
        <v/>
      </c>
      <c r="T124" s="428"/>
      <c r="U124" s="440" t="b">
        <f ca="1">IF(AND(NOT(Q124),AND(Q$4:Q123)),TRUE,Q124)</f>
        <v>0</v>
      </c>
      <c r="V124" s="439" t="e">
        <f ca="1">IF(AND(NOT(ISBLANK(Jumpoverwrite3)),AND(NOT(U124),AND(U$4:U123))),($J124*$G124-LN(1+Jumpoverwrite3*W$2))/$G124,_xll.qlInterpolationInterpolate(U$3,$F124,TRUE))</f>
        <v>#NAME?</v>
      </c>
      <c r="W124" s="439" t="str">
        <f ca="1">IF(AND(NOT(U124),AND(U$4:U123)),MIN(EXP((V124-$J124)*$G124),1),"")</f>
        <v/>
      </c>
      <c r="X124" s="428"/>
      <c r="Y124" s="440" t="b">
        <f ca="1">IF(AND(NOT(U124),AND(U$4:U123)),TRUE,U124)</f>
        <v>0</v>
      </c>
      <c r="Z124" s="439" t="e">
        <f ca="1">IF(AND(NOT(ISBLANK(Jumpoverwrite4)),AND(NOT(Y124),AND(Y$4:Y123))),($J124*$G124-LN(1+Jumpoverwrite4*AA$2))/$G124,_xll.qlInterpolationInterpolate(Y$3,$F124,TRUE))</f>
        <v>#NAME?</v>
      </c>
      <c r="AA124" s="439" t="str">
        <f ca="1">IF(AND(NOT(Y124),AND(Y$4:Y123)),MIN(EXP((Z124-$J124)*$G124),1),"")</f>
        <v/>
      </c>
      <c r="AB124" s="428"/>
      <c r="AC124" s="440" t="b">
        <f ca="1">IF(AND(NOT(Y124),AND(Y$4:Y123)),TRUE,Y124)</f>
        <v>0</v>
      </c>
      <c r="AD124" s="439" t="e">
        <f ca="1">IF(AND(NOT(ISBLANK(Jumpoverwrite5)),AND(NOT(AC124),AND(AC$4:AC123))),($J124*$G124-LN(1+Jumpoverwrite5*AE$2))/$G124,_xll.qlInterpolationInterpolate(AC$3,$F124,TRUE))</f>
        <v>#NAME?</v>
      </c>
      <c r="AE124" s="439" t="str">
        <f ca="1">IF(AND(NOT(AC124),AND(AC$4:AC123)),MIN(EXP((AD124-$J124)*$G124),1),"")</f>
        <v/>
      </c>
      <c r="AF124" s="428"/>
      <c r="AG124" s="440" t="b">
        <f ca="1">IF(AND(NOT(AC124),AND(AC$4:AC123)),TRUE,AC124)</f>
        <v>0</v>
      </c>
      <c r="AH124" s="439" t="e">
        <f ca="1">IF(AND(NOT(ISBLANK(Jumpoverwrite6)),AND(NOT(AG124),AND(AG$4:AG123))),($J124*$G124-LN(1+Jumpoverwrite6*AI$2))/$G124,_xll.qlInterpolationInterpolate(AG$3,$F124,TRUE))</f>
        <v>#NAME?</v>
      </c>
      <c r="AI124" s="439" t="str">
        <f ca="1">IF(AND(NOT(AG124),AND(AG$4:AG123)),MIN(EXP((AH124-$J124)*$G124),1),"")</f>
        <v/>
      </c>
      <c r="AJ124" s="428"/>
      <c r="AK124" s="440" t="b">
        <f ca="1">IF(AND(NOT(AG124),AND(AG$4:AG123)),TRUE,AG124)</f>
        <v>0</v>
      </c>
      <c r="AL124" s="439" t="e">
        <f ca="1">IF(AND(NOT(ISBLANK(Jumpoverwrite7)),AND(NOT(AK124),AND(AK$4:AK123))),($J124*$G124-LN(1+Jumpoverwrite7*AM$2))/$G124,_xll.qlInterpolationInterpolate(AK$3,$F124,TRUE))</f>
        <v>#NAME?</v>
      </c>
      <c r="AM124" s="439" t="str">
        <f ca="1">IF(AND(NOT(AK124),AND(AK$4:AK123)),MIN(EXP((AL124-$J124)*$G124),1),"")</f>
        <v/>
      </c>
      <c r="AO124" s="440" t="b">
        <f ca="1">IF(AND(NOT(AK124),AND(AK$4:AK123)),TRUE,AK124)</f>
        <v>0</v>
      </c>
      <c r="AP124" s="439" t="e">
        <f ca="1">IF(AND(NOT(ISBLANK(Jumpoverwrite8)),AND(NOT(AO124),AND(AO$4:AO123))),($J124*$G124-LN(1+Jumpoverwrite8*AQ$2))/$G124,_xll.qlInterpolationInterpolate(AO$3,$F124,TRUE))</f>
        <v>#NAME?</v>
      </c>
      <c r="AQ124" s="439" t="str">
        <f ca="1">IF(AND(NOT(AO124),AND(AO$4:AO123)),MIN(EXP((AP124-$J124)*$G124),1),"")</f>
        <v/>
      </c>
      <c r="AS124" s="440" t="b">
        <f ca="1">IF(AND(NOT(AO124),AND(AO$4:AO123)),TRUE,AO124)</f>
        <v>0</v>
      </c>
      <c r="AT124" s="439" t="e">
        <f ca="1">IF(AND(NOT(ISBLANK(Jumpoverwrite9)),AND(NOT(AS124),AND(AS$4:AS123))),($J124*$G124-LN(1+Jumpoverwrite9*AU$2))/$G124,_xll.qlInterpolationInterpolate(AS$3,$F124,TRUE))</f>
        <v>#NAME?</v>
      </c>
      <c r="AU124" s="439" t="str">
        <f ca="1">IF(AND(NOT(AS124),AND(AS$4:AS123)),MIN(EXP((AT124-$J124)*$G124),1),"")</f>
        <v/>
      </c>
      <c r="AW124" s="440" t="b">
        <f ca="1">IF(AND(NOT(AS124),AND(AS$4:AS123)),TRUE,AS124)</f>
        <v>0</v>
      </c>
      <c r="AX124" s="439" t="e">
        <f ca="1">IF(AND(NOT(ISBLANK(Jumpoverwrite10)),AND(NOT(AW124),AND(AW$4:AW123))),($J124*$G124-LN(1+Jumpoverwrite10*AY$2))/$G124,_xll.qlInterpolationInterpolate(AW$3,$F124,TRUE))</f>
        <v>#NAME?</v>
      </c>
      <c r="AY124" s="439" t="str">
        <f ca="1">IF(AND(NOT(AW124),AND(AW$4:AW123)),MIN(EXP((AX124-$J124)*$G124),1),"")</f>
        <v/>
      </c>
      <c r="BA124" s="440" t="b">
        <f ca="1">IF(AND(NOT(AW124),AND(AW$4:AW123)),TRUE,AW124)</f>
        <v>0</v>
      </c>
      <c r="BB124" s="439" t="e">
        <f ca="1">IF(AND(NOT(ISBLANK(Jumpoverwrite11)),AND(NOT(BA124),AND(BA$4:BA123))),($J124*$G124-LN(1+Jumpoverwrite11*BC$2))/$G124,_xll.qlInterpolationInterpolate(BA$3,$F124,TRUE))</f>
        <v>#NAME?</v>
      </c>
      <c r="BC124" s="439" t="str">
        <f ca="1">IF(AND(NOT(BA124),AND(BA$4:BA123)),MIN(EXP((BB124-$J124)*$G124),1),"")</f>
        <v/>
      </c>
      <c r="BE124" s="440" t="b">
        <f ca="1">IF(AND(NOT(BA124),AND(BA$4:BA123)),TRUE,BA124)</f>
        <v>0</v>
      </c>
      <c r="BF124" s="439" t="e">
        <f ca="1">IF(AND(NOT(ISBLANK(Jumpoverwrite12)),AND(NOT(BE124),AND(BE$4:BE123))),($J124*$G124-LN(1+Jumpoverwrite12*BG$2))/$G124,_xll.qlInterpolationInterpolate(BE$3,$F124,TRUE))</f>
        <v>#NAME?</v>
      </c>
      <c r="BG124" s="439" t="str">
        <f ca="1">IF(AND(NOT(BE124),AND(BE$4:BE123)),MIN(EXP((BF124-$J124)*$G124),1),"")</f>
        <v/>
      </c>
      <c r="BI124" s="440" t="b">
        <f t="shared" ca="1" si="15"/>
        <v>0</v>
      </c>
      <c r="BJ124" s="439" t="e">
        <f ca="1">IF(AND(NOT(ISBLANK(jumpoverwrite13)),AND(NOT(BI124),AND(BI$4:BI123))),($J124*$G124-LN(1+jumpoverwrite13*BK$2))/$G124,_xll.qlInterpolationInterpolate(BI$3,$F124,TRUE))</f>
        <v>#NAME?</v>
      </c>
      <c r="BK124" s="439" t="str">
        <f ca="1">IF(AND(NOT(BI124),AND(BI$4:BI123)),MIN(EXP((BJ124-$J124)*$G124),1),"")</f>
        <v/>
      </c>
    </row>
    <row r="125" spans="1:63" x14ac:dyDescent="0.2">
      <c r="A125" s="438" t="e">
        <f ca="1"/>
        <v>#NAME?</v>
      </c>
      <c r="B125" s="437" t="e">
        <f ca="1">_xll.qlRateHelperRate($A125,InterestRatesTrigger)</f>
        <v>#NAME?</v>
      </c>
      <c r="C125" s="436" t="e">
        <f ca="1">_xll.qlRateHelperEarliestDate($A125)</f>
        <v>#NAME?</v>
      </c>
      <c r="D125" s="435" t="e">
        <f ca="1">_xll.qlRateHelperPillarDate($A125)</f>
        <v>#NAME?</v>
      </c>
      <c r="F125" s="445" t="e">
        <f t="shared" ca="1" si="13"/>
        <v>#N/A</v>
      </c>
      <c r="G125" s="444" t="e">
        <f ca="1">_xll.qlDayCounterYearFraction(DayCounter,D124,D125)</f>
        <v>#NAME?</v>
      </c>
      <c r="I125" s="443" t="b">
        <f t="shared" ca="1" si="14"/>
        <v>0</v>
      </c>
      <c r="J125" s="442" t="e">
        <f ca="1"/>
        <v>#NAME?</v>
      </c>
      <c r="K125" s="441" t="e">
        <f t="shared" ca="1" si="12"/>
        <v>#NAME?</v>
      </c>
      <c r="L125" s="429"/>
      <c r="M125" s="440" t="b">
        <f ca="1">IF(AND(NOT(I125),AND(I$4:I124)),TRUE,I125)</f>
        <v>0</v>
      </c>
      <c r="N125" s="439" t="e">
        <f ca="1">IF(AND(NOT(ISBLANK(Jumpoverwrite1)),AND(NOT(M125),AND(M$4:M124))),($J125*$G125-LN(1+Jumpoverwrite1*O$2))/$G125,_xll.qlInterpolationInterpolate(M$3,$F125,TRUE))</f>
        <v>#NAME?</v>
      </c>
      <c r="O125" s="439" t="str">
        <f ca="1">IF(AND(NOT(M125),AND(M$4:M124)),MIN(EXP((N125-$J125)*$G125),1),"")</f>
        <v/>
      </c>
      <c r="P125" s="428"/>
      <c r="Q125" s="440" t="b">
        <f ca="1">IF(AND(NOT(M125),AND(M$4:M124)),TRUE,M125)</f>
        <v>0</v>
      </c>
      <c r="R125" s="439" t="e">
        <f ca="1">IF(AND(NOT(ISBLANK(Jumpoverwrite2)),AND(NOT(Q125),AND(Q$4:Q124))),($J125*$G125-LN(1+Jumpoverwrite2*S$2))/$G125,_xll.qlInterpolationInterpolate(Q$3,$F125,TRUE))</f>
        <v>#NAME?</v>
      </c>
      <c r="S125" s="439" t="str">
        <f ca="1">IF(AND(NOT(Q125),AND(Q$4:Q124)),MIN(EXP((R125-$J125)*$G125),1),"")</f>
        <v/>
      </c>
      <c r="T125" s="428"/>
      <c r="U125" s="440" t="b">
        <f ca="1">IF(AND(NOT(Q125),AND(Q$4:Q124)),TRUE,Q125)</f>
        <v>0</v>
      </c>
      <c r="V125" s="439" t="e">
        <f ca="1">IF(AND(NOT(ISBLANK(Jumpoverwrite3)),AND(NOT(U125),AND(U$4:U124))),($J125*$G125-LN(1+Jumpoverwrite3*W$2))/$G125,_xll.qlInterpolationInterpolate(U$3,$F125,TRUE))</f>
        <v>#NAME?</v>
      </c>
      <c r="W125" s="439" t="str">
        <f ca="1">IF(AND(NOT(U125),AND(U$4:U124)),MIN(EXP((V125-$J125)*$G125),1),"")</f>
        <v/>
      </c>
      <c r="X125" s="428"/>
      <c r="Y125" s="440" t="b">
        <f ca="1">IF(AND(NOT(U125),AND(U$4:U124)),TRUE,U125)</f>
        <v>0</v>
      </c>
      <c r="Z125" s="439" t="e">
        <f ca="1">IF(AND(NOT(ISBLANK(Jumpoverwrite4)),AND(NOT(Y125),AND(Y$4:Y124))),($J125*$G125-LN(1+Jumpoverwrite4*AA$2))/$G125,_xll.qlInterpolationInterpolate(Y$3,$F125,TRUE))</f>
        <v>#NAME?</v>
      </c>
      <c r="AA125" s="439" t="str">
        <f ca="1">IF(AND(NOT(Y125),AND(Y$4:Y124)),MIN(EXP((Z125-$J125)*$G125),1),"")</f>
        <v/>
      </c>
      <c r="AB125" s="428"/>
      <c r="AC125" s="440" t="b">
        <f ca="1">IF(AND(NOT(Y125),AND(Y$4:Y124)),TRUE,Y125)</f>
        <v>0</v>
      </c>
      <c r="AD125" s="439" t="e">
        <f ca="1">IF(AND(NOT(ISBLANK(Jumpoverwrite5)),AND(NOT(AC125),AND(AC$4:AC124))),($J125*$G125-LN(1+Jumpoverwrite5*AE$2))/$G125,_xll.qlInterpolationInterpolate(AC$3,$F125,TRUE))</f>
        <v>#NAME?</v>
      </c>
      <c r="AE125" s="439" t="str">
        <f ca="1">IF(AND(NOT(AC125),AND(AC$4:AC124)),MIN(EXP((AD125-$J125)*$G125),1),"")</f>
        <v/>
      </c>
      <c r="AF125" s="428"/>
      <c r="AG125" s="440" t="b">
        <f ca="1">IF(AND(NOT(AC125),AND(AC$4:AC124)),TRUE,AC125)</f>
        <v>0</v>
      </c>
      <c r="AH125" s="439" t="e">
        <f ca="1">IF(AND(NOT(ISBLANK(Jumpoverwrite6)),AND(NOT(AG125),AND(AG$4:AG124))),($J125*$G125-LN(1+Jumpoverwrite6*AI$2))/$G125,_xll.qlInterpolationInterpolate(AG$3,$F125,TRUE))</f>
        <v>#NAME?</v>
      </c>
      <c r="AI125" s="439" t="str">
        <f ca="1">IF(AND(NOT(AG125),AND(AG$4:AG124)),MIN(EXP((AH125-$J125)*$G125),1),"")</f>
        <v/>
      </c>
      <c r="AJ125" s="428"/>
      <c r="AK125" s="440" t="b">
        <f ca="1">IF(AND(NOT(AG125),AND(AG$4:AG124)),TRUE,AG125)</f>
        <v>0</v>
      </c>
      <c r="AL125" s="439" t="e">
        <f ca="1">IF(AND(NOT(ISBLANK(Jumpoverwrite7)),AND(NOT(AK125),AND(AK$4:AK124))),($J125*$G125-LN(1+Jumpoverwrite7*AM$2))/$G125,_xll.qlInterpolationInterpolate(AK$3,$F125,TRUE))</f>
        <v>#NAME?</v>
      </c>
      <c r="AM125" s="439" t="str">
        <f ca="1">IF(AND(NOT(AK125),AND(AK$4:AK124)),MIN(EXP((AL125-$J125)*$G125),1),"")</f>
        <v/>
      </c>
      <c r="AO125" s="440" t="b">
        <f ca="1">IF(AND(NOT(AK125),AND(AK$4:AK124)),TRUE,AK125)</f>
        <v>0</v>
      </c>
      <c r="AP125" s="439" t="e">
        <f ca="1">IF(AND(NOT(ISBLANK(Jumpoverwrite8)),AND(NOT(AO125),AND(AO$4:AO124))),($J125*$G125-LN(1+Jumpoverwrite8*AQ$2))/$G125,_xll.qlInterpolationInterpolate(AO$3,$F125,TRUE))</f>
        <v>#NAME?</v>
      </c>
      <c r="AQ125" s="439" t="str">
        <f ca="1">IF(AND(NOT(AO125),AND(AO$4:AO124)),MIN(EXP((AP125-$J125)*$G125),1),"")</f>
        <v/>
      </c>
      <c r="AS125" s="440" t="b">
        <f ca="1">IF(AND(NOT(AO125),AND(AO$4:AO124)),TRUE,AO125)</f>
        <v>0</v>
      </c>
      <c r="AT125" s="439" t="e">
        <f ca="1">IF(AND(NOT(ISBLANK(Jumpoverwrite9)),AND(NOT(AS125),AND(AS$4:AS124))),($J125*$G125-LN(1+Jumpoverwrite9*AU$2))/$G125,_xll.qlInterpolationInterpolate(AS$3,$F125,TRUE))</f>
        <v>#NAME?</v>
      </c>
      <c r="AU125" s="439" t="str">
        <f ca="1">IF(AND(NOT(AS125),AND(AS$4:AS124)),MIN(EXP((AT125-$J125)*$G125),1),"")</f>
        <v/>
      </c>
      <c r="AW125" s="440" t="b">
        <f ca="1">IF(AND(NOT(AS125),AND(AS$4:AS124)),TRUE,AS125)</f>
        <v>0</v>
      </c>
      <c r="AX125" s="439" t="e">
        <f ca="1">IF(AND(NOT(ISBLANK(Jumpoverwrite10)),AND(NOT(AW125),AND(AW$4:AW124))),($J125*$G125-LN(1+Jumpoverwrite10*AY$2))/$G125,_xll.qlInterpolationInterpolate(AW$3,$F125,TRUE))</f>
        <v>#NAME?</v>
      </c>
      <c r="AY125" s="439" t="str">
        <f ca="1">IF(AND(NOT(AW125),AND(AW$4:AW124)),MIN(EXP((AX125-$J125)*$G125),1),"")</f>
        <v/>
      </c>
      <c r="BA125" s="440" t="b">
        <f ca="1">IF(AND(NOT(AW125),AND(AW$4:AW124)),TRUE,AW125)</f>
        <v>0</v>
      </c>
      <c r="BB125" s="439" t="e">
        <f ca="1">IF(AND(NOT(ISBLANK(Jumpoverwrite11)),AND(NOT(BA125),AND(BA$4:BA124))),($J125*$G125-LN(1+Jumpoverwrite11*BC$2))/$G125,_xll.qlInterpolationInterpolate(BA$3,$F125,TRUE))</f>
        <v>#NAME?</v>
      </c>
      <c r="BC125" s="439" t="str">
        <f ca="1">IF(AND(NOT(BA125),AND(BA$4:BA124)),MIN(EXP((BB125-$J125)*$G125),1),"")</f>
        <v/>
      </c>
      <c r="BE125" s="440" t="b">
        <f ca="1">IF(AND(NOT(BA125),AND(BA$4:BA124)),TRUE,BA125)</f>
        <v>0</v>
      </c>
      <c r="BF125" s="439" t="e">
        <f ca="1">IF(AND(NOT(ISBLANK(Jumpoverwrite12)),AND(NOT(BE125),AND(BE$4:BE124))),($J125*$G125-LN(1+Jumpoverwrite12*BG$2))/$G125,_xll.qlInterpolationInterpolate(BE$3,$F125,TRUE))</f>
        <v>#NAME?</v>
      </c>
      <c r="BG125" s="439" t="str">
        <f ca="1">IF(AND(NOT(BE125),AND(BE$4:BE124)),MIN(EXP((BF125-$J125)*$G125),1),"")</f>
        <v/>
      </c>
      <c r="BI125" s="440" t="b">
        <f t="shared" ca="1" si="15"/>
        <v>0</v>
      </c>
      <c r="BJ125" s="439" t="e">
        <f ca="1">IF(AND(NOT(ISBLANK(jumpoverwrite13)),AND(NOT(BI125),AND(BI$4:BI124))),($J125*$G125-LN(1+jumpoverwrite13*BK$2))/$G125,_xll.qlInterpolationInterpolate(BI$3,$F125,TRUE))</f>
        <v>#NAME?</v>
      </c>
      <c r="BK125" s="439" t="str">
        <f ca="1">IF(AND(NOT(BI125),AND(BI$4:BI124)),MIN(EXP((BJ125-$J125)*$G125),1),"")</f>
        <v/>
      </c>
    </row>
    <row r="126" spans="1:63" x14ac:dyDescent="0.2">
      <c r="A126" s="438" t="e">
        <f ca="1"/>
        <v>#NAME?</v>
      </c>
      <c r="B126" s="437" t="e">
        <f ca="1">_xll.qlRateHelperRate($A126,InterestRatesTrigger)</f>
        <v>#NAME?</v>
      </c>
      <c r="C126" s="436" t="e">
        <f ca="1">_xll.qlRateHelperEarliestDate($A126)</f>
        <v>#NAME?</v>
      </c>
      <c r="D126" s="435" t="e">
        <f ca="1">_xll.qlRateHelperPillarDate($A126)</f>
        <v>#NAME?</v>
      </c>
      <c r="F126" s="445" t="e">
        <f t="shared" ca="1" si="13"/>
        <v>#N/A</v>
      </c>
      <c r="G126" s="444" t="e">
        <f ca="1">_xll.qlDayCounterYearFraction(DayCounter,D125,D126)</f>
        <v>#NAME?</v>
      </c>
      <c r="I126" s="443" t="b">
        <f t="shared" ca="1" si="14"/>
        <v>0</v>
      </c>
      <c r="J126" s="442" t="e">
        <f ca="1"/>
        <v>#NAME?</v>
      </c>
      <c r="K126" s="441" t="e">
        <f t="shared" ca="1" si="12"/>
        <v>#NAME?</v>
      </c>
      <c r="L126" s="429"/>
      <c r="M126" s="440" t="b">
        <f ca="1">IF(AND(NOT(I126),AND(I$4:I125)),TRUE,I126)</f>
        <v>0</v>
      </c>
      <c r="N126" s="439" t="e">
        <f ca="1">IF(AND(NOT(ISBLANK(Jumpoverwrite1)),AND(NOT(M126),AND(M$4:M125))),($J126*$G126-LN(1+Jumpoverwrite1*O$2))/$G126,_xll.qlInterpolationInterpolate(M$3,$F126,TRUE))</f>
        <v>#NAME?</v>
      </c>
      <c r="O126" s="439" t="str">
        <f ca="1">IF(AND(NOT(M126),AND(M$4:M125)),MIN(EXP((N126-$J126)*$G126),1),"")</f>
        <v/>
      </c>
      <c r="P126" s="428"/>
      <c r="Q126" s="440" t="b">
        <f ca="1">IF(AND(NOT(M126),AND(M$4:M125)),TRUE,M126)</f>
        <v>0</v>
      </c>
      <c r="R126" s="439" t="e">
        <f ca="1">IF(AND(NOT(ISBLANK(Jumpoverwrite2)),AND(NOT(Q126),AND(Q$4:Q125))),($J126*$G126-LN(1+Jumpoverwrite2*S$2))/$G126,_xll.qlInterpolationInterpolate(Q$3,$F126,TRUE))</f>
        <v>#NAME?</v>
      </c>
      <c r="S126" s="439" t="str">
        <f ca="1">IF(AND(NOT(Q126),AND(Q$4:Q125)),MIN(EXP((R126-$J126)*$G126),1),"")</f>
        <v/>
      </c>
      <c r="T126" s="428"/>
      <c r="U126" s="440" t="b">
        <f ca="1">IF(AND(NOT(Q126),AND(Q$4:Q125)),TRUE,Q126)</f>
        <v>0</v>
      </c>
      <c r="V126" s="439" t="e">
        <f ca="1">IF(AND(NOT(ISBLANK(Jumpoverwrite3)),AND(NOT(U126),AND(U$4:U125))),($J126*$G126-LN(1+Jumpoverwrite3*W$2))/$G126,_xll.qlInterpolationInterpolate(U$3,$F126,TRUE))</f>
        <v>#NAME?</v>
      </c>
      <c r="W126" s="439" t="str">
        <f ca="1">IF(AND(NOT(U126),AND(U$4:U125)),MIN(EXP((V126-$J126)*$G126),1),"")</f>
        <v/>
      </c>
      <c r="X126" s="428"/>
      <c r="Y126" s="440" t="b">
        <f ca="1">IF(AND(NOT(U126),AND(U$4:U125)),TRUE,U126)</f>
        <v>0</v>
      </c>
      <c r="Z126" s="439" t="e">
        <f ca="1">IF(AND(NOT(ISBLANK(Jumpoverwrite4)),AND(NOT(Y126),AND(Y$4:Y125))),($J126*$G126-LN(1+Jumpoverwrite4*AA$2))/$G126,_xll.qlInterpolationInterpolate(Y$3,$F126,TRUE))</f>
        <v>#NAME?</v>
      </c>
      <c r="AA126" s="439" t="str">
        <f ca="1">IF(AND(NOT(Y126),AND(Y$4:Y125)),MIN(EXP((Z126-$J126)*$G126),1),"")</f>
        <v/>
      </c>
      <c r="AB126" s="428"/>
      <c r="AC126" s="440" t="b">
        <f ca="1">IF(AND(NOT(Y126),AND(Y$4:Y125)),TRUE,Y126)</f>
        <v>0</v>
      </c>
      <c r="AD126" s="439" t="e">
        <f ca="1">IF(AND(NOT(ISBLANK(Jumpoverwrite5)),AND(NOT(AC126),AND(AC$4:AC125))),($J126*$G126-LN(1+Jumpoverwrite5*AE$2))/$G126,_xll.qlInterpolationInterpolate(AC$3,$F126,TRUE))</f>
        <v>#NAME?</v>
      </c>
      <c r="AE126" s="439" t="str">
        <f ca="1">IF(AND(NOT(AC126),AND(AC$4:AC125)),MIN(EXP((AD126-$J126)*$G126),1),"")</f>
        <v/>
      </c>
      <c r="AF126" s="428"/>
      <c r="AG126" s="440" t="b">
        <f ca="1">IF(AND(NOT(AC126),AND(AC$4:AC125)),TRUE,AC126)</f>
        <v>0</v>
      </c>
      <c r="AH126" s="439" t="e">
        <f ca="1">IF(AND(NOT(ISBLANK(Jumpoverwrite6)),AND(NOT(AG126),AND(AG$4:AG125))),($J126*$G126-LN(1+Jumpoverwrite6*AI$2))/$G126,_xll.qlInterpolationInterpolate(AG$3,$F126,TRUE))</f>
        <v>#NAME?</v>
      </c>
      <c r="AI126" s="439" t="str">
        <f ca="1">IF(AND(NOT(AG126),AND(AG$4:AG125)),MIN(EXP((AH126-$J126)*$G126),1),"")</f>
        <v/>
      </c>
      <c r="AJ126" s="428"/>
      <c r="AK126" s="440" t="b">
        <f ca="1">IF(AND(NOT(AG126),AND(AG$4:AG125)),TRUE,AG126)</f>
        <v>0</v>
      </c>
      <c r="AL126" s="439" t="e">
        <f ca="1">IF(AND(NOT(ISBLANK(Jumpoverwrite7)),AND(NOT(AK126),AND(AK$4:AK125))),($J126*$G126-LN(1+Jumpoverwrite7*AM$2))/$G126,_xll.qlInterpolationInterpolate(AK$3,$F126,TRUE))</f>
        <v>#NAME?</v>
      </c>
      <c r="AM126" s="439" t="str">
        <f ca="1">IF(AND(NOT(AK126),AND(AK$4:AK125)),MIN(EXP((AL126-$J126)*$G126),1),"")</f>
        <v/>
      </c>
      <c r="AO126" s="440" t="b">
        <f ca="1">IF(AND(NOT(AK126),AND(AK$4:AK125)),TRUE,AK126)</f>
        <v>0</v>
      </c>
      <c r="AP126" s="439" t="e">
        <f ca="1">IF(AND(NOT(ISBLANK(Jumpoverwrite8)),AND(NOT(AO126),AND(AO$4:AO125))),($J126*$G126-LN(1+Jumpoverwrite8*AQ$2))/$G126,_xll.qlInterpolationInterpolate(AO$3,$F126,TRUE))</f>
        <v>#NAME?</v>
      </c>
      <c r="AQ126" s="439" t="str">
        <f ca="1">IF(AND(NOT(AO126),AND(AO$4:AO125)),MIN(EXP((AP126-$J126)*$G126),1),"")</f>
        <v/>
      </c>
      <c r="AS126" s="440" t="b">
        <f ca="1">IF(AND(NOT(AO126),AND(AO$4:AO125)),TRUE,AO126)</f>
        <v>0</v>
      </c>
      <c r="AT126" s="439" t="e">
        <f ca="1">IF(AND(NOT(ISBLANK(Jumpoverwrite9)),AND(NOT(AS126),AND(AS$4:AS125))),($J126*$G126-LN(1+Jumpoverwrite9*AU$2))/$G126,_xll.qlInterpolationInterpolate(AS$3,$F126,TRUE))</f>
        <v>#NAME?</v>
      </c>
      <c r="AU126" s="439" t="str">
        <f ca="1">IF(AND(NOT(AS126),AND(AS$4:AS125)),MIN(EXP((AT126-$J126)*$G126),1),"")</f>
        <v/>
      </c>
      <c r="AW126" s="440" t="b">
        <f ca="1">IF(AND(NOT(AS126),AND(AS$4:AS125)),TRUE,AS126)</f>
        <v>0</v>
      </c>
      <c r="AX126" s="439" t="e">
        <f ca="1">IF(AND(NOT(ISBLANK(Jumpoverwrite10)),AND(NOT(AW126),AND(AW$4:AW125))),($J126*$G126-LN(1+Jumpoverwrite10*AY$2))/$G126,_xll.qlInterpolationInterpolate(AW$3,$F126,TRUE))</f>
        <v>#NAME?</v>
      </c>
      <c r="AY126" s="439" t="str">
        <f ca="1">IF(AND(NOT(AW126),AND(AW$4:AW125)),MIN(EXP((AX126-$J126)*$G126),1),"")</f>
        <v/>
      </c>
      <c r="BA126" s="440" t="b">
        <f ca="1">IF(AND(NOT(AW126),AND(AW$4:AW125)),TRUE,AW126)</f>
        <v>0</v>
      </c>
      <c r="BB126" s="439" t="e">
        <f ca="1">IF(AND(NOT(ISBLANK(Jumpoverwrite11)),AND(NOT(BA126),AND(BA$4:BA125))),($J126*$G126-LN(1+Jumpoverwrite11*BC$2))/$G126,_xll.qlInterpolationInterpolate(BA$3,$F126,TRUE))</f>
        <v>#NAME?</v>
      </c>
      <c r="BC126" s="439" t="str">
        <f ca="1">IF(AND(NOT(BA126),AND(BA$4:BA125)),MIN(EXP((BB126-$J126)*$G126),1),"")</f>
        <v/>
      </c>
      <c r="BE126" s="440" t="b">
        <f ca="1">IF(AND(NOT(BA126),AND(BA$4:BA125)),TRUE,BA126)</f>
        <v>0</v>
      </c>
      <c r="BF126" s="439" t="e">
        <f ca="1">IF(AND(NOT(ISBLANK(Jumpoverwrite12)),AND(NOT(BE126),AND(BE$4:BE125))),($J126*$G126-LN(1+Jumpoverwrite12*BG$2))/$G126,_xll.qlInterpolationInterpolate(BE$3,$F126,TRUE))</f>
        <v>#NAME?</v>
      </c>
      <c r="BG126" s="439" t="str">
        <f ca="1">IF(AND(NOT(BE126),AND(BE$4:BE125)),MIN(EXP((BF126-$J126)*$G126),1),"")</f>
        <v/>
      </c>
      <c r="BI126" s="440" t="b">
        <f t="shared" ca="1" si="15"/>
        <v>0</v>
      </c>
      <c r="BJ126" s="439" t="e">
        <f ca="1">IF(AND(NOT(ISBLANK(jumpoverwrite13)),AND(NOT(BI126),AND(BI$4:BI125))),($J126*$G126-LN(1+jumpoverwrite13*BK$2))/$G126,_xll.qlInterpolationInterpolate(BI$3,$F126,TRUE))</f>
        <v>#NAME?</v>
      </c>
      <c r="BK126" s="439" t="str">
        <f ca="1">IF(AND(NOT(BI126),AND(BI$4:BI125)),MIN(EXP((BJ126-$J126)*$G126),1),"")</f>
        <v/>
      </c>
    </row>
    <row r="127" spans="1:63" x14ac:dyDescent="0.2">
      <c r="A127" s="438" t="e">
        <f ca="1"/>
        <v>#NAME?</v>
      </c>
      <c r="B127" s="437" t="e">
        <f ca="1">_xll.qlRateHelperRate($A127,InterestRatesTrigger)</f>
        <v>#NAME?</v>
      </c>
      <c r="C127" s="436" t="e">
        <f ca="1">_xll.qlRateHelperEarliestDate($A127)</f>
        <v>#NAME?</v>
      </c>
      <c r="D127" s="435" t="e">
        <f ca="1">_xll.qlRateHelperPillarDate($A127)</f>
        <v>#NAME?</v>
      </c>
      <c r="F127" s="445" t="e">
        <f t="shared" ca="1" si="13"/>
        <v>#N/A</v>
      </c>
      <c r="G127" s="444" t="e">
        <f ca="1">_xll.qlDayCounterYearFraction(DayCounter,D126,D127)</f>
        <v>#NAME?</v>
      </c>
      <c r="I127" s="443" t="b">
        <f t="shared" ca="1" si="14"/>
        <v>0</v>
      </c>
      <c r="J127" s="442" t="e">
        <f ca="1"/>
        <v>#NAME?</v>
      </c>
      <c r="K127" s="441" t="e">
        <f t="shared" ca="1" si="12"/>
        <v>#NAME?</v>
      </c>
      <c r="L127" s="429"/>
      <c r="M127" s="440" t="b">
        <f ca="1">IF(AND(NOT(I127),AND(I$4:I126)),TRUE,I127)</f>
        <v>0</v>
      </c>
      <c r="N127" s="439" t="e">
        <f ca="1">IF(AND(NOT(ISBLANK(Jumpoverwrite1)),AND(NOT(M127),AND(M$4:M126))),($J127*$G127-LN(1+Jumpoverwrite1*O$2))/$G127,_xll.qlInterpolationInterpolate(M$3,$F127,TRUE))</f>
        <v>#NAME?</v>
      </c>
      <c r="O127" s="439" t="str">
        <f ca="1">IF(AND(NOT(M127),AND(M$4:M126)),MIN(EXP((N127-$J127)*$G127),1),"")</f>
        <v/>
      </c>
      <c r="P127" s="428"/>
      <c r="Q127" s="440" t="b">
        <f ca="1">IF(AND(NOT(M127),AND(M$4:M126)),TRUE,M127)</f>
        <v>0</v>
      </c>
      <c r="R127" s="439" t="e">
        <f ca="1">IF(AND(NOT(ISBLANK(Jumpoverwrite2)),AND(NOT(Q127),AND(Q$4:Q126))),($J127*$G127-LN(1+Jumpoverwrite2*S$2))/$G127,_xll.qlInterpolationInterpolate(Q$3,$F127,TRUE))</f>
        <v>#NAME?</v>
      </c>
      <c r="S127" s="439" t="str">
        <f ca="1">IF(AND(NOT(Q127),AND(Q$4:Q126)),MIN(EXP((R127-$J127)*$G127),1),"")</f>
        <v/>
      </c>
      <c r="T127" s="428"/>
      <c r="U127" s="440" t="b">
        <f ca="1">IF(AND(NOT(Q127),AND(Q$4:Q126)),TRUE,Q127)</f>
        <v>0</v>
      </c>
      <c r="V127" s="439" t="e">
        <f ca="1">IF(AND(NOT(ISBLANK(Jumpoverwrite3)),AND(NOT(U127),AND(U$4:U126))),($J127*$G127-LN(1+Jumpoverwrite3*W$2))/$G127,_xll.qlInterpolationInterpolate(U$3,$F127,TRUE))</f>
        <v>#NAME?</v>
      </c>
      <c r="W127" s="439" t="str">
        <f ca="1">IF(AND(NOT(U127),AND(U$4:U126)),MIN(EXP((V127-$J127)*$G127),1),"")</f>
        <v/>
      </c>
      <c r="X127" s="428"/>
      <c r="Y127" s="440" t="b">
        <f ca="1">IF(AND(NOT(U127),AND(U$4:U126)),TRUE,U127)</f>
        <v>0</v>
      </c>
      <c r="Z127" s="439" t="e">
        <f ca="1">IF(AND(NOT(ISBLANK(Jumpoverwrite4)),AND(NOT(Y127),AND(Y$4:Y126))),($J127*$G127-LN(1+Jumpoverwrite4*AA$2))/$G127,_xll.qlInterpolationInterpolate(Y$3,$F127,TRUE))</f>
        <v>#NAME?</v>
      </c>
      <c r="AA127" s="439" t="str">
        <f ca="1">IF(AND(NOT(Y127),AND(Y$4:Y126)),MIN(EXP((Z127-$J127)*$G127),1),"")</f>
        <v/>
      </c>
      <c r="AB127" s="428"/>
      <c r="AC127" s="440" t="b">
        <f ca="1">IF(AND(NOT(Y127),AND(Y$4:Y126)),TRUE,Y127)</f>
        <v>0</v>
      </c>
      <c r="AD127" s="439" t="e">
        <f ca="1">IF(AND(NOT(ISBLANK(Jumpoverwrite5)),AND(NOT(AC127),AND(AC$4:AC126))),($J127*$G127-LN(1+Jumpoverwrite5*AE$2))/$G127,_xll.qlInterpolationInterpolate(AC$3,$F127,TRUE))</f>
        <v>#NAME?</v>
      </c>
      <c r="AE127" s="439" t="str">
        <f ca="1">IF(AND(NOT(AC127),AND(AC$4:AC126)),MIN(EXP((AD127-$J127)*$G127),1),"")</f>
        <v/>
      </c>
      <c r="AF127" s="428"/>
      <c r="AG127" s="440" t="b">
        <f ca="1">IF(AND(NOT(AC127),AND(AC$4:AC126)),TRUE,AC127)</f>
        <v>0</v>
      </c>
      <c r="AH127" s="439" t="e">
        <f ca="1">IF(AND(NOT(ISBLANK(Jumpoverwrite6)),AND(NOT(AG127),AND(AG$4:AG126))),($J127*$G127-LN(1+Jumpoverwrite6*AI$2))/$G127,_xll.qlInterpolationInterpolate(AG$3,$F127,TRUE))</f>
        <v>#NAME?</v>
      </c>
      <c r="AI127" s="439" t="str">
        <f ca="1">IF(AND(NOT(AG127),AND(AG$4:AG126)),MIN(EXP((AH127-$J127)*$G127),1),"")</f>
        <v/>
      </c>
      <c r="AJ127" s="428"/>
      <c r="AK127" s="440" t="b">
        <f ca="1">IF(AND(NOT(AG127),AND(AG$4:AG126)),TRUE,AG127)</f>
        <v>0</v>
      </c>
      <c r="AL127" s="439" t="e">
        <f ca="1">IF(AND(NOT(ISBLANK(Jumpoverwrite7)),AND(NOT(AK127),AND(AK$4:AK126))),($J127*$G127-LN(1+Jumpoverwrite7*AM$2))/$G127,_xll.qlInterpolationInterpolate(AK$3,$F127,TRUE))</f>
        <v>#NAME?</v>
      </c>
      <c r="AM127" s="439" t="str">
        <f ca="1">IF(AND(NOT(AK127),AND(AK$4:AK126)),MIN(EXP((AL127-$J127)*$G127),1),"")</f>
        <v/>
      </c>
      <c r="AO127" s="440" t="b">
        <f ca="1">IF(AND(NOT(AK127),AND(AK$4:AK126)),TRUE,AK127)</f>
        <v>0</v>
      </c>
      <c r="AP127" s="439" t="e">
        <f ca="1">IF(AND(NOT(ISBLANK(Jumpoverwrite8)),AND(NOT(AO127),AND(AO$4:AO126))),($J127*$G127-LN(1+Jumpoverwrite8*AQ$2))/$G127,_xll.qlInterpolationInterpolate(AO$3,$F127,TRUE))</f>
        <v>#NAME?</v>
      </c>
      <c r="AQ127" s="439" t="str">
        <f ca="1">IF(AND(NOT(AO127),AND(AO$4:AO126)),MIN(EXP((AP127-$J127)*$G127),1),"")</f>
        <v/>
      </c>
      <c r="AS127" s="440" t="b">
        <f ca="1">IF(AND(NOT(AO127),AND(AO$4:AO126)),TRUE,AO127)</f>
        <v>0</v>
      </c>
      <c r="AT127" s="439" t="e">
        <f ca="1">IF(AND(NOT(ISBLANK(Jumpoverwrite9)),AND(NOT(AS127),AND(AS$4:AS126))),($J127*$G127-LN(1+Jumpoverwrite9*AU$2))/$G127,_xll.qlInterpolationInterpolate(AS$3,$F127,TRUE))</f>
        <v>#NAME?</v>
      </c>
      <c r="AU127" s="439" t="str">
        <f ca="1">IF(AND(NOT(AS127),AND(AS$4:AS126)),MIN(EXP((AT127-$J127)*$G127),1),"")</f>
        <v/>
      </c>
      <c r="AW127" s="440" t="b">
        <f ca="1">IF(AND(NOT(AS127),AND(AS$4:AS126)),TRUE,AS127)</f>
        <v>0</v>
      </c>
      <c r="AX127" s="439" t="e">
        <f ca="1">IF(AND(NOT(ISBLANK(Jumpoverwrite10)),AND(NOT(AW127),AND(AW$4:AW126))),($J127*$G127-LN(1+Jumpoverwrite10*AY$2))/$G127,_xll.qlInterpolationInterpolate(AW$3,$F127,TRUE))</f>
        <v>#NAME?</v>
      </c>
      <c r="AY127" s="439" t="str">
        <f ca="1">IF(AND(NOT(AW127),AND(AW$4:AW126)),MIN(EXP((AX127-$J127)*$G127),1),"")</f>
        <v/>
      </c>
      <c r="BA127" s="440" t="b">
        <f ca="1">IF(AND(NOT(AW127),AND(AW$4:AW126)),TRUE,AW127)</f>
        <v>0</v>
      </c>
      <c r="BB127" s="439" t="e">
        <f ca="1">IF(AND(NOT(ISBLANK(Jumpoverwrite11)),AND(NOT(BA127),AND(BA$4:BA126))),($J127*$G127-LN(1+Jumpoverwrite11*BC$2))/$G127,_xll.qlInterpolationInterpolate(BA$3,$F127,TRUE))</f>
        <v>#NAME?</v>
      </c>
      <c r="BC127" s="439" t="str">
        <f ca="1">IF(AND(NOT(BA127),AND(BA$4:BA126)),MIN(EXP((BB127-$J127)*$G127),1),"")</f>
        <v/>
      </c>
      <c r="BE127" s="440" t="b">
        <f ca="1">IF(AND(NOT(BA127),AND(BA$4:BA126)),TRUE,BA127)</f>
        <v>0</v>
      </c>
      <c r="BF127" s="439" t="e">
        <f ca="1">IF(AND(NOT(ISBLANK(Jumpoverwrite12)),AND(NOT(BE127),AND(BE$4:BE126))),($J127*$G127-LN(1+Jumpoverwrite12*BG$2))/$G127,_xll.qlInterpolationInterpolate(BE$3,$F127,TRUE))</f>
        <v>#NAME?</v>
      </c>
      <c r="BG127" s="439" t="str">
        <f ca="1">IF(AND(NOT(BE127),AND(BE$4:BE126)),MIN(EXP((BF127-$J127)*$G127),1),"")</f>
        <v/>
      </c>
      <c r="BI127" s="440" t="b">
        <f t="shared" ca="1" si="15"/>
        <v>0</v>
      </c>
      <c r="BJ127" s="439" t="e">
        <f ca="1">IF(AND(NOT(ISBLANK(jumpoverwrite13)),AND(NOT(BI127),AND(BI$4:BI126))),($J127*$G127-LN(1+jumpoverwrite13*BK$2))/$G127,_xll.qlInterpolationInterpolate(BI$3,$F127,TRUE))</f>
        <v>#NAME?</v>
      </c>
      <c r="BK127" s="439" t="str">
        <f ca="1">IF(AND(NOT(BI127),AND(BI$4:BI126)),MIN(EXP((BJ127-$J127)*$G127),1),"")</f>
        <v/>
      </c>
    </row>
    <row r="128" spans="1:63" x14ac:dyDescent="0.2">
      <c r="A128" s="438" t="e">
        <f ca="1"/>
        <v>#NAME?</v>
      </c>
      <c r="B128" s="437" t="e">
        <f ca="1">_xll.qlRateHelperRate($A128,InterestRatesTrigger)</f>
        <v>#NAME?</v>
      </c>
      <c r="C128" s="436" t="e">
        <f ca="1">_xll.qlRateHelperEarliestDate($A128)</f>
        <v>#NAME?</v>
      </c>
      <c r="D128" s="435" t="e">
        <f ca="1">_xll.qlRateHelperPillarDate($A128)</f>
        <v>#NAME?</v>
      </c>
      <c r="F128" s="445" t="e">
        <f t="shared" ca="1" si="13"/>
        <v>#N/A</v>
      </c>
      <c r="G128" s="444" t="e">
        <f ca="1">_xll.qlDayCounterYearFraction(DayCounter,D127,D128)</f>
        <v>#NAME?</v>
      </c>
      <c r="I128" s="443" t="b">
        <f t="shared" ca="1" si="14"/>
        <v>0</v>
      </c>
      <c r="J128" s="442" t="e">
        <f ca="1"/>
        <v>#NAME?</v>
      </c>
      <c r="K128" s="441" t="e">
        <f t="shared" ca="1" si="12"/>
        <v>#NAME?</v>
      </c>
      <c r="L128" s="429"/>
      <c r="M128" s="440" t="b">
        <f ca="1">IF(AND(NOT(I128),AND(I$4:I127)),TRUE,I128)</f>
        <v>0</v>
      </c>
      <c r="N128" s="439" t="e">
        <f ca="1">IF(AND(NOT(ISBLANK(Jumpoverwrite1)),AND(NOT(M128),AND(M$4:M127))),($J128*$G128-LN(1+Jumpoverwrite1*O$2))/$G128,_xll.qlInterpolationInterpolate(M$3,$F128,TRUE))</f>
        <v>#NAME?</v>
      </c>
      <c r="O128" s="439" t="str">
        <f ca="1">IF(AND(NOT(M128),AND(M$4:M127)),MIN(EXP((N128-$J128)*$G128),1),"")</f>
        <v/>
      </c>
      <c r="P128" s="428"/>
      <c r="Q128" s="440" t="b">
        <f ca="1">IF(AND(NOT(M128),AND(M$4:M127)),TRUE,M128)</f>
        <v>0</v>
      </c>
      <c r="R128" s="439" t="e">
        <f ca="1">IF(AND(NOT(ISBLANK(Jumpoverwrite2)),AND(NOT(Q128),AND(Q$4:Q127))),($J128*$G128-LN(1+Jumpoverwrite2*S$2))/$G128,_xll.qlInterpolationInterpolate(Q$3,$F128,TRUE))</f>
        <v>#NAME?</v>
      </c>
      <c r="S128" s="439" t="str">
        <f ca="1">IF(AND(NOT(Q128),AND(Q$4:Q127)),MIN(EXP((R128-$J128)*$G128),1),"")</f>
        <v/>
      </c>
      <c r="T128" s="428"/>
      <c r="U128" s="440" t="b">
        <f ca="1">IF(AND(NOT(Q128),AND(Q$4:Q127)),TRUE,Q128)</f>
        <v>0</v>
      </c>
      <c r="V128" s="439" t="e">
        <f ca="1">IF(AND(NOT(ISBLANK(Jumpoverwrite3)),AND(NOT(U128),AND(U$4:U127))),($J128*$G128-LN(1+Jumpoverwrite3*W$2))/$G128,_xll.qlInterpolationInterpolate(U$3,$F128,TRUE))</f>
        <v>#NAME?</v>
      </c>
      <c r="W128" s="439" t="str">
        <f ca="1">IF(AND(NOT(U128),AND(U$4:U127)),MIN(EXP((V128-$J128)*$G128),1),"")</f>
        <v/>
      </c>
      <c r="X128" s="428"/>
      <c r="Y128" s="440" t="b">
        <f ca="1">IF(AND(NOT(U128),AND(U$4:U127)),TRUE,U128)</f>
        <v>0</v>
      </c>
      <c r="Z128" s="439" t="e">
        <f ca="1">IF(AND(NOT(ISBLANK(Jumpoverwrite4)),AND(NOT(Y128),AND(Y$4:Y127))),($J128*$G128-LN(1+Jumpoverwrite4*AA$2))/$G128,_xll.qlInterpolationInterpolate(Y$3,$F128,TRUE))</f>
        <v>#NAME?</v>
      </c>
      <c r="AA128" s="439" t="str">
        <f ca="1">IF(AND(NOT(Y128),AND(Y$4:Y127)),MIN(EXP((Z128-$J128)*$G128),1),"")</f>
        <v/>
      </c>
      <c r="AB128" s="428"/>
      <c r="AC128" s="440" t="b">
        <f ca="1">IF(AND(NOT(Y128),AND(Y$4:Y127)),TRUE,Y128)</f>
        <v>0</v>
      </c>
      <c r="AD128" s="439" t="e">
        <f ca="1">IF(AND(NOT(ISBLANK(Jumpoverwrite5)),AND(NOT(AC128),AND(AC$4:AC127))),($J128*$G128-LN(1+Jumpoverwrite5*AE$2))/$G128,_xll.qlInterpolationInterpolate(AC$3,$F128,TRUE))</f>
        <v>#NAME?</v>
      </c>
      <c r="AE128" s="439" t="str">
        <f ca="1">IF(AND(NOT(AC128),AND(AC$4:AC127)),MIN(EXP((AD128-$J128)*$G128),1),"")</f>
        <v/>
      </c>
      <c r="AF128" s="428"/>
      <c r="AG128" s="440" t="b">
        <f ca="1">IF(AND(NOT(AC128),AND(AC$4:AC127)),TRUE,AC128)</f>
        <v>0</v>
      </c>
      <c r="AH128" s="439" t="e">
        <f ca="1">IF(AND(NOT(ISBLANK(Jumpoverwrite6)),AND(NOT(AG128),AND(AG$4:AG127))),($J128*$G128-LN(1+Jumpoverwrite6*AI$2))/$G128,_xll.qlInterpolationInterpolate(AG$3,$F128,TRUE))</f>
        <v>#NAME?</v>
      </c>
      <c r="AI128" s="439" t="str">
        <f ca="1">IF(AND(NOT(AG128),AND(AG$4:AG127)),MIN(EXP((AH128-$J128)*$G128),1),"")</f>
        <v/>
      </c>
      <c r="AJ128" s="428"/>
      <c r="AK128" s="440" t="b">
        <f ca="1">IF(AND(NOT(AG128),AND(AG$4:AG127)),TRUE,AG128)</f>
        <v>0</v>
      </c>
      <c r="AL128" s="439" t="e">
        <f ca="1">IF(AND(NOT(ISBLANK(Jumpoverwrite7)),AND(NOT(AK128),AND(AK$4:AK127))),($J128*$G128-LN(1+Jumpoverwrite7*AM$2))/$G128,_xll.qlInterpolationInterpolate(AK$3,$F128,TRUE))</f>
        <v>#NAME?</v>
      </c>
      <c r="AM128" s="439" t="str">
        <f ca="1">IF(AND(NOT(AK128),AND(AK$4:AK127)),MIN(EXP((AL128-$J128)*$G128),1),"")</f>
        <v/>
      </c>
      <c r="AO128" s="440" t="b">
        <f ca="1">IF(AND(NOT(AK128),AND(AK$4:AK127)),TRUE,AK128)</f>
        <v>0</v>
      </c>
      <c r="AP128" s="439" t="e">
        <f ca="1">IF(AND(NOT(ISBLANK(Jumpoverwrite8)),AND(NOT(AO128),AND(AO$4:AO127))),($J128*$G128-LN(1+Jumpoverwrite8*AQ$2))/$G128,_xll.qlInterpolationInterpolate(AO$3,$F128,TRUE))</f>
        <v>#NAME?</v>
      </c>
      <c r="AQ128" s="439" t="str">
        <f ca="1">IF(AND(NOT(AO128),AND(AO$4:AO127)),MIN(EXP((AP128-$J128)*$G128),1),"")</f>
        <v/>
      </c>
      <c r="AS128" s="440" t="b">
        <f ca="1">IF(AND(NOT(AO128),AND(AO$4:AO127)),TRUE,AO128)</f>
        <v>0</v>
      </c>
      <c r="AT128" s="439" t="e">
        <f ca="1">IF(AND(NOT(ISBLANK(Jumpoverwrite9)),AND(NOT(AS128),AND(AS$4:AS127))),($J128*$G128-LN(1+Jumpoverwrite9*AU$2))/$G128,_xll.qlInterpolationInterpolate(AS$3,$F128,TRUE))</f>
        <v>#NAME?</v>
      </c>
      <c r="AU128" s="439" t="str">
        <f ca="1">IF(AND(NOT(AS128),AND(AS$4:AS127)),MIN(EXP((AT128-$J128)*$G128),1),"")</f>
        <v/>
      </c>
      <c r="AW128" s="440" t="b">
        <f ca="1">IF(AND(NOT(AS128),AND(AS$4:AS127)),TRUE,AS128)</f>
        <v>0</v>
      </c>
      <c r="AX128" s="439" t="e">
        <f ca="1">IF(AND(NOT(ISBLANK(Jumpoverwrite10)),AND(NOT(AW128),AND(AW$4:AW127))),($J128*$G128-LN(1+Jumpoverwrite10*AY$2))/$G128,_xll.qlInterpolationInterpolate(AW$3,$F128,TRUE))</f>
        <v>#NAME?</v>
      </c>
      <c r="AY128" s="439" t="str">
        <f ca="1">IF(AND(NOT(AW128),AND(AW$4:AW127)),MIN(EXP((AX128-$J128)*$G128),1),"")</f>
        <v/>
      </c>
      <c r="BA128" s="440" t="b">
        <f ca="1">IF(AND(NOT(AW128),AND(AW$4:AW127)),TRUE,AW128)</f>
        <v>0</v>
      </c>
      <c r="BB128" s="439" t="e">
        <f ca="1">IF(AND(NOT(ISBLANK(Jumpoverwrite11)),AND(NOT(BA128),AND(BA$4:BA127))),($J128*$G128-LN(1+Jumpoverwrite11*BC$2))/$G128,_xll.qlInterpolationInterpolate(BA$3,$F128,TRUE))</f>
        <v>#NAME?</v>
      </c>
      <c r="BC128" s="439" t="str">
        <f ca="1">IF(AND(NOT(BA128),AND(BA$4:BA127)),MIN(EXP((BB128-$J128)*$G128),1),"")</f>
        <v/>
      </c>
      <c r="BE128" s="440" t="b">
        <f ca="1">IF(AND(NOT(BA128),AND(BA$4:BA127)),TRUE,BA128)</f>
        <v>0</v>
      </c>
      <c r="BF128" s="439" t="e">
        <f ca="1">IF(AND(NOT(ISBLANK(Jumpoverwrite12)),AND(NOT(BE128),AND(BE$4:BE127))),($J128*$G128-LN(1+Jumpoverwrite12*BG$2))/$G128,_xll.qlInterpolationInterpolate(BE$3,$F128,TRUE))</f>
        <v>#NAME?</v>
      </c>
      <c r="BG128" s="439" t="str">
        <f ca="1">IF(AND(NOT(BE128),AND(BE$4:BE127)),MIN(EXP((BF128-$J128)*$G128),1),"")</f>
        <v/>
      </c>
      <c r="BI128" s="440" t="b">
        <f t="shared" ca="1" si="15"/>
        <v>0</v>
      </c>
      <c r="BJ128" s="439" t="e">
        <f ca="1">IF(AND(NOT(ISBLANK(jumpoverwrite13)),AND(NOT(BI128),AND(BI$4:BI127))),($J128*$G128-LN(1+jumpoverwrite13*BK$2))/$G128,_xll.qlInterpolationInterpolate(BI$3,$F128,TRUE))</f>
        <v>#NAME?</v>
      </c>
      <c r="BK128" s="439" t="str">
        <f ca="1">IF(AND(NOT(BI128),AND(BI$4:BI127)),MIN(EXP((BJ128-$J128)*$G128),1),"")</f>
        <v/>
      </c>
    </row>
    <row r="129" spans="1:63" ht="12" thickBot="1" x14ac:dyDescent="0.25">
      <c r="A129" s="438" t="e">
        <f ca="1"/>
        <v>#NAME?</v>
      </c>
      <c r="B129" s="437" t="e">
        <f ca="1">_xll.qlRateHelperRate($A129,InterestRatesTrigger)</f>
        <v>#NAME?</v>
      </c>
      <c r="C129" s="436" t="e">
        <f ca="1">_xll.qlRateHelperEarliestDate($A129)</f>
        <v>#NAME?</v>
      </c>
      <c r="D129" s="435" t="e">
        <f ca="1">_xll.qlRateHelperPillarDate($A129)</f>
        <v>#NAME?</v>
      </c>
      <c r="F129" s="434" t="e">
        <f t="shared" ca="1" si="13"/>
        <v>#N/A</v>
      </c>
      <c r="G129" s="433" t="e">
        <f ca="1">_xll.qlDayCounterYearFraction(DayCounter,D128,D129)</f>
        <v>#NAME?</v>
      </c>
      <c r="I129" s="432" t="b">
        <f t="shared" ca="1" si="14"/>
        <v>0</v>
      </c>
      <c r="J129" s="431" t="e">
        <f ca="1"/>
        <v>#NAME?</v>
      </c>
      <c r="K129" s="430" t="e">
        <f t="shared" ca="1" si="12"/>
        <v>#NAME?</v>
      </c>
      <c r="L129" s="429"/>
      <c r="M129" s="426" t="b">
        <f ca="1">IF(AND(NOT(I129),AND(I$4:I128)),TRUE,I129)</f>
        <v>0</v>
      </c>
      <c r="N129" s="425" t="e">
        <f ca="1">IF(AND(NOT(ISBLANK(Jumpoverwrite1)),AND(NOT(M129),AND(M$4:M128))),($J129*$G129-LN(1+Jumpoverwrite1*O$2))/$G129,_xll.qlInterpolationInterpolate(M$3,$F129,TRUE))</f>
        <v>#NAME?</v>
      </c>
      <c r="O129" s="425" t="str">
        <f ca="1">IF(AND(NOT(M129),AND(M$4:M128)),MIN(EXP((N129-$J129)*$G129),1),"")</f>
        <v/>
      </c>
      <c r="P129" s="427"/>
      <c r="Q129" s="426" t="b">
        <f ca="1">IF(AND(NOT(M129),AND(M$4:M128)),TRUE,M129)</f>
        <v>0</v>
      </c>
      <c r="R129" s="425" t="e">
        <f ca="1">IF(AND(NOT(ISBLANK(Jumpoverwrite2)),AND(NOT(Q129),AND(Q$4:Q128))),($J129*$G129-LN(1+Jumpoverwrite2*S$2))/$G129,_xll.qlInterpolationInterpolate(Q$3,$F129,TRUE))</f>
        <v>#NAME?</v>
      </c>
      <c r="S129" s="425" t="str">
        <f ca="1">IF(AND(NOT(Q129),AND(Q$4:Q128)),MIN(EXP((R129-$J129)*$G129),1),"")</f>
        <v/>
      </c>
      <c r="T129" s="428"/>
      <c r="U129" s="426" t="b">
        <f ca="1">IF(AND(NOT(Q129),AND(Q$4:Q128)),TRUE,Q129)</f>
        <v>0</v>
      </c>
      <c r="V129" s="425" t="e">
        <f ca="1">IF(AND(NOT(ISBLANK(Jumpoverwrite3)),AND(NOT(U129),AND(U$4:U128))),($J129*$G129-LN(1+Jumpoverwrite3*W$2))/$G129,_xll.qlInterpolationInterpolate(U$3,$F129,TRUE))</f>
        <v>#NAME?</v>
      </c>
      <c r="W129" s="425" t="str">
        <f ca="1">IF(AND(NOT(U129),AND(U$4:U128)),MIN(EXP((V129-$J129)*$G129),1),"")</f>
        <v/>
      </c>
      <c r="X129" s="427"/>
      <c r="Y129" s="426" t="b">
        <f ca="1">IF(AND(NOT(U129),AND(U$4:U128)),TRUE,U129)</f>
        <v>0</v>
      </c>
      <c r="Z129" s="425" t="e">
        <f ca="1">IF(AND(NOT(ISBLANK(Jumpoverwrite4)),AND(NOT(Y129),AND(Y$4:Y128))),($J129*$G129-LN(1+Jumpoverwrite4*AA$2))/$G129,_xll.qlInterpolationInterpolate(Y$3,$F129,TRUE))</f>
        <v>#NAME?</v>
      </c>
      <c r="AA129" s="425" t="str">
        <f ca="1">IF(AND(NOT(Y129),AND(Y$4:Y128)),MIN(EXP((Z129-$J129)*$G129),1),"")</f>
        <v/>
      </c>
      <c r="AB129" s="427"/>
      <c r="AC129" s="426" t="b">
        <f ca="1">IF(AND(NOT(Y129),AND(Y$4:Y128)),TRUE,Y129)</f>
        <v>0</v>
      </c>
      <c r="AD129" s="425" t="e">
        <f ca="1">IF(AND(NOT(ISBLANK(Jumpoverwrite5)),AND(NOT(AC129),AND(AC$4:AC128))),($J129*$G129-LN(1+Jumpoverwrite5*AE$2))/$G129,_xll.qlInterpolationInterpolate(AC$3,$F129,TRUE))</f>
        <v>#NAME?</v>
      </c>
      <c r="AE129" s="425" t="str">
        <f ca="1">IF(AND(NOT(AC129),AND(AC$4:AC128)),MIN(EXP((AD129-$J129)*$G129),1),"")</f>
        <v/>
      </c>
      <c r="AF129" s="427"/>
      <c r="AG129" s="426" t="b">
        <f ca="1">IF(AND(NOT(AC129),AND(AC$4:AC128)),TRUE,AC129)</f>
        <v>0</v>
      </c>
      <c r="AH129" s="425" t="e">
        <f ca="1">IF(AND(NOT(ISBLANK(Jumpoverwrite6)),AND(NOT(AG129),AND(AG$4:AG128))),($J129*$G129-LN(1+Jumpoverwrite6*AI$2))/$G129,_xll.qlInterpolationInterpolate(AG$3,$F129,TRUE))</f>
        <v>#NAME?</v>
      </c>
      <c r="AI129" s="425" t="str">
        <f ca="1">IF(AND(NOT(AG129),AND(AG$4:AG128)),MIN(EXP((AH129-$J129)*$G129),1),"")</f>
        <v/>
      </c>
      <c r="AJ129" s="427"/>
      <c r="AK129" s="426" t="b">
        <f ca="1">IF(AND(NOT(AG129),AND(AG$4:AG128)),TRUE,AG129)</f>
        <v>0</v>
      </c>
      <c r="AL129" s="425" t="e">
        <f ca="1">IF(AND(NOT(ISBLANK(Jumpoverwrite7)),AND(NOT(AK129),AND(AK$4:AK128))),($J129*$G129-LN(1+Jumpoverwrite7*AM$2))/$G129,_xll.qlInterpolationInterpolate(AK$3,$F129,TRUE))</f>
        <v>#NAME?</v>
      </c>
      <c r="AM129" s="425" t="str">
        <f ca="1">IF(AND(NOT(AK129),AND(AK$4:AK128)),MIN(EXP((AL129-$J129)*$G129),1),"")</f>
        <v/>
      </c>
      <c r="AO129" s="426" t="b">
        <f ca="1">IF(AND(NOT(AK129),AND(AK$4:AK128)),TRUE,AK129)</f>
        <v>0</v>
      </c>
      <c r="AP129" s="425" t="e">
        <f ca="1">IF(AND(NOT(ISBLANK(Jumpoverwrite8)),AND(NOT(AO129),AND(AO$4:AO128))),($J129*$G129-LN(1+Jumpoverwrite8*AQ$2))/$G129,_xll.qlInterpolationInterpolate(AO$3,$F129,TRUE))</f>
        <v>#NAME?</v>
      </c>
      <c r="AQ129" s="425" t="str">
        <f ca="1">IF(AND(NOT(AO129),AND(AO$4:AO128)),MIN(EXP((AP129-$J129)*$G129),1),"")</f>
        <v/>
      </c>
      <c r="AS129" s="426" t="b">
        <f ca="1">IF(AND(NOT(AO129),AND(AO$4:AO128)),TRUE,AO129)</f>
        <v>0</v>
      </c>
      <c r="AT129" s="425" t="e">
        <f ca="1">IF(AND(NOT(ISBLANK(Jumpoverwrite9)),AND(NOT(AS129),AND(AS$4:AS128))),($J129*$G129-LN(1+Jumpoverwrite9*AU$2))/$G129,_xll.qlInterpolationInterpolate(AS$3,$F129,TRUE))</f>
        <v>#NAME?</v>
      </c>
      <c r="AU129" s="425" t="str">
        <f ca="1">IF(AND(NOT(AS129),AND(AS$4:AS128)),MIN(EXP((AT129-$J129)*$G129),1),"")</f>
        <v/>
      </c>
      <c r="AW129" s="426" t="b">
        <f ca="1">IF(AND(NOT(AS129),AND(AS$4:AS128)),TRUE,AS129)</f>
        <v>0</v>
      </c>
      <c r="AX129" s="425" t="e">
        <f ca="1">IF(AND(NOT(ISBLANK(Jumpoverwrite10)),AND(NOT(AW129),AND(AW$4:AW128))),($J129*$G129-LN(1+Jumpoverwrite10*AY$2))/$G129,_xll.qlInterpolationInterpolate(AW$3,$F129,TRUE))</f>
        <v>#NAME?</v>
      </c>
      <c r="AY129" s="425" t="str">
        <f ca="1">IF(AND(NOT(AW129),AND(AW$4:AW128)),MIN(EXP((AX129-$J129)*$G129),1),"")</f>
        <v/>
      </c>
      <c r="BA129" s="426" t="b">
        <f ca="1">IF(AND(NOT(AW129),AND(AW$4:AW128)),TRUE,AW129)</f>
        <v>0</v>
      </c>
      <c r="BB129" s="425" t="e">
        <f ca="1">IF(AND(NOT(ISBLANK(Jumpoverwrite11)),AND(NOT(BA129),AND(BA$4:BA128))),($J129*$G129-LN(1+Jumpoverwrite11*BC$2))/$G129,_xll.qlInterpolationInterpolate(BA$3,$F129,TRUE))</f>
        <v>#NAME?</v>
      </c>
      <c r="BC129" s="425" t="str">
        <f ca="1">IF(AND(NOT(BA129),AND(BA$4:BA128)),MIN(EXP((BB129-$J129)*$G129),1),"")</f>
        <v/>
      </c>
      <c r="BE129" s="426" t="b">
        <f ca="1">IF(AND(NOT(BA129),AND(BA$4:BA128)),TRUE,BA129)</f>
        <v>0</v>
      </c>
      <c r="BF129" s="425" t="e">
        <f ca="1">IF(AND(NOT(ISBLANK(Jumpoverwrite12)),AND(NOT(BE129),AND(BE$4:BE128))),($J129*$G129-LN(1+Jumpoverwrite12*BG$2))/$G129,_xll.qlInterpolationInterpolate(BE$3,$F129,TRUE))</f>
        <v>#NAME?</v>
      </c>
      <c r="BG129" s="425" t="str">
        <f ca="1">IF(AND(NOT(BE129),AND(BE$4:BE128)),MIN(EXP((BF129-$J129)*$G129),1),"")</f>
        <v/>
      </c>
      <c r="BI129" s="426" t="b">
        <f t="shared" ca="1" si="15"/>
        <v>0</v>
      </c>
      <c r="BJ129" s="425" t="e">
        <f ca="1">IF(AND(NOT(ISBLANK(jumpoverwrite13)),AND(NOT(BI129),AND(BI$4:BI128))),($J129*$G129-LN(1+jumpoverwrite13*BK$2))/$G129,_xll.qlInterpolationInterpolate(BI$3,$F129,TRUE))</f>
        <v>#NAME?</v>
      </c>
      <c r="BK129" s="425" t="str">
        <f ca="1">IF(AND(NOT(BI129),AND(BI$4:BI128)),MIN(EXP((BJ129-$J129)*$G129),1),"")</f>
        <v/>
      </c>
    </row>
    <row r="130" spans="1:63" x14ac:dyDescent="0.2">
      <c r="A130" s="424"/>
      <c r="B130" s="424"/>
      <c r="C130" s="424"/>
      <c r="D130" s="424"/>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5" customWidth="1"/>
    <col min="2" max="2" width="7" style="385" bestFit="1" customWidth="1"/>
    <col min="3" max="3" width="17.28515625" style="385" bestFit="1" customWidth="1"/>
    <col min="4" max="4" width="11" style="385" bestFit="1" customWidth="1"/>
    <col min="5" max="5" width="8" style="385" bestFit="1" customWidth="1"/>
    <col min="6" max="6" width="10" style="385" bestFit="1" customWidth="1"/>
    <col min="7" max="7" width="2.7109375" style="385" customWidth="1"/>
    <col min="8" max="8" width="11" style="385" bestFit="1" customWidth="1"/>
    <col min="9" max="9" width="2.7109375" style="385" customWidth="1"/>
    <col min="10" max="10" width="24.42578125" style="385" bestFit="1" customWidth="1"/>
    <col min="11" max="11" width="29.7109375" style="385" bestFit="1" customWidth="1"/>
    <col min="12" max="12" width="10" style="385" bestFit="1" customWidth="1"/>
    <col min="13" max="13" width="8" style="385" bestFit="1" customWidth="1"/>
    <col min="14" max="15" width="2.7109375" style="385" customWidth="1"/>
    <col min="16" max="16" width="10" style="385" customWidth="1"/>
    <col min="17" max="17" width="17.28515625" style="385" customWidth="1"/>
    <col min="18" max="18" width="9" style="385" customWidth="1"/>
    <col min="19" max="25" width="8.7109375" style="385" customWidth="1"/>
    <col min="26" max="16384" width="9.140625" style="385"/>
  </cols>
  <sheetData>
    <row r="1" spans="1:21" ht="11.25" customHeight="1" x14ac:dyDescent="0.25">
      <c r="A1" s="406"/>
      <c r="B1" s="421"/>
      <c r="C1" s="421"/>
      <c r="D1" s="412"/>
      <c r="E1" s="412"/>
      <c r="F1" s="412"/>
      <c r="G1" s="400"/>
      <c r="H1" s="412"/>
      <c r="I1" s="412"/>
      <c r="J1" s="421"/>
      <c r="K1" s="421"/>
      <c r="L1" s="421"/>
      <c r="M1" s="420" t="e">
        <f ca="1">_xll.ohTrigger(M3:M4)</f>
        <v>#NAME?</v>
      </c>
      <c r="N1" s="398"/>
    </row>
    <row r="2" spans="1:21" ht="23.25" thickBot="1" x14ac:dyDescent="0.3">
      <c r="A2" s="406"/>
      <c r="B2" s="103"/>
      <c r="C2" s="419" t="s">
        <v>263</v>
      </c>
      <c r="D2" s="419" t="s">
        <v>262</v>
      </c>
      <c r="E2" s="418" t="s">
        <v>261</v>
      </c>
      <c r="F2" s="418" t="s">
        <v>260</v>
      </c>
      <c r="G2" s="400"/>
      <c r="H2" s="103" t="s">
        <v>78</v>
      </c>
      <c r="I2" s="412"/>
      <c r="J2" s="103" t="s">
        <v>259</v>
      </c>
      <c r="K2" s="103"/>
      <c r="L2" s="103" t="s">
        <v>77</v>
      </c>
      <c r="M2" s="103" t="s">
        <v>76</v>
      </c>
      <c r="N2" s="398"/>
      <c r="P2" s="145" t="s">
        <v>258</v>
      </c>
      <c r="Q2" s="145" t="s">
        <v>257</v>
      </c>
      <c r="R2" s="145" t="s">
        <v>256</v>
      </c>
    </row>
    <row r="3" spans="1:21" ht="11.25" customHeight="1" x14ac:dyDescent="0.25">
      <c r="A3" s="406"/>
      <c r="B3" s="202" t="s">
        <v>255</v>
      </c>
      <c r="C3" s="417" t="e">
        <f ca="1">JumpDate1</f>
        <v>#NAME?</v>
      </c>
      <c r="D3" s="416" t="e">
        <f ca="1">JumpValue1</f>
        <v>#NAME?</v>
      </c>
      <c r="E3" s="415" t="e">
        <f ca="1">JumpSize1</f>
        <v>#NAME?</v>
      </c>
      <c r="F3" s="414"/>
      <c r="G3" s="400"/>
      <c r="H3" s="408">
        <v>0.99999802733365428</v>
      </c>
      <c r="I3" s="412"/>
      <c r="J3" s="413" t="str">
        <f t="shared" ref="J3:J15" si="0">Currency&amp;$B3&amp;QuoteSuffix</f>
        <v>EURJump1_SYNTHON_Quote</v>
      </c>
      <c r="K3" s="413" t="e">
        <f ca="1">_xll.qlSimpleQuote(J3,,,TRUE,Trigger)</f>
        <v>#NAME?</v>
      </c>
      <c r="L3" s="413">
        <f t="array" ref="L3:L15">QuoteStatic</f>
        <v>0.99999802733365428</v>
      </c>
      <c r="M3" s="413" t="e">
        <f ca="1">_xll.qlSimpleQuoteSetValue($K3,ROUND($L3,7),EvaluationDate)</f>
        <v>#NAME?</v>
      </c>
      <c r="N3" s="398"/>
      <c r="P3" s="391" t="s">
        <v>242</v>
      </c>
      <c r="Q3" s="390" t="e">
        <f ca="1">SettlementDate</f>
        <v>#NAME?</v>
      </c>
      <c r="R3" s="389" t="e">
        <f ca="1">_xll.qlIndexFixing(Index,Q3,,InterestRatesTrigger)</f>
        <v>#NAME?</v>
      </c>
      <c r="T3" s="1360" t="s">
        <v>529</v>
      </c>
      <c r="U3" s="1363" t="e">
        <f ca="1">_xll.ohTrigger('General Settings_2'!Trigger)</f>
        <v>#NAME?</v>
      </c>
    </row>
    <row r="4" spans="1:21" ht="11.25" customHeight="1" thickBot="1" x14ac:dyDescent="0.3">
      <c r="A4" s="406"/>
      <c r="B4" s="243" t="s">
        <v>254</v>
      </c>
      <c r="C4" s="411" t="e">
        <f ca="1">JumpDate2</f>
        <v>#NAME?</v>
      </c>
      <c r="D4" s="408" t="e">
        <f ca="1">JumpValue2</f>
        <v>#NAME?</v>
      </c>
      <c r="E4" s="410" t="e">
        <f ca="1">JumpSize2</f>
        <v>#NAME?</v>
      </c>
      <c r="F4" s="409">
        <v>0</v>
      </c>
      <c r="G4" s="400"/>
      <c r="H4" s="408">
        <v>1</v>
      </c>
      <c r="I4" s="412"/>
      <c r="J4" s="407" t="str">
        <f t="shared" si="0"/>
        <v>EURJump2_SYNTHON_Quote</v>
      </c>
      <c r="K4" s="407" t="e">
        <f ca="1">_xll.qlSimpleQuote(J4,,,TRUE,Trigger)</f>
        <v>#NAME?</v>
      </c>
      <c r="L4" s="407">
        <v>1</v>
      </c>
      <c r="M4" s="407" t="e">
        <f ca="1">_xll.qlSimpleQuoteSetValue($K4,ROUND($L4,7),EvaluationDate)</f>
        <v>#NAME?</v>
      </c>
      <c r="N4" s="398"/>
      <c r="P4" s="391" t="s">
        <v>242</v>
      </c>
      <c r="Q4" s="390" t="e">
        <f ca="1">_xll.qlCalendarAdvance(Calendar,Q3,P4,"f")</f>
        <v>#NAME?</v>
      </c>
      <c r="R4" s="389" t="e">
        <f ca="1">_xll.qlIndexFixing(Index,Q4,,InterestRatesTrigger)</f>
        <v>#NAME?</v>
      </c>
      <c r="T4" s="1361" t="s">
        <v>530</v>
      </c>
      <c r="U4" s="1364" t="e">
        <f ca="1">_xll.ohTrigger(M3:M15)</f>
        <v>#NAME?</v>
      </c>
    </row>
    <row r="5" spans="1:21" ht="11.25" customHeight="1" x14ac:dyDescent="0.25">
      <c r="A5" s="406"/>
      <c r="B5" s="243" t="s">
        <v>253</v>
      </c>
      <c r="C5" s="411" t="e">
        <f ca="1">JumpDate3</f>
        <v>#NAME?</v>
      </c>
      <c r="D5" s="408" t="e">
        <f ca="1">JumpValue3</f>
        <v>#NAME?</v>
      </c>
      <c r="E5" s="410" t="e">
        <f ca="1">JumpSize3</f>
        <v>#NAME?</v>
      </c>
      <c r="F5" s="409">
        <v>8.0000000000000004E-4</v>
      </c>
      <c r="G5" s="400"/>
      <c r="H5" s="408">
        <v>0.99999111119012274</v>
      </c>
      <c r="I5" s="400"/>
      <c r="J5" s="407" t="str">
        <f t="shared" si="0"/>
        <v>EURJump3_SYNTHON_Quote</v>
      </c>
      <c r="K5" s="407" t="e">
        <f ca="1">_xll.qlSimpleQuote(J5,,,TRUE,Trigger)</f>
        <v>#NAME?</v>
      </c>
      <c r="L5" s="407">
        <v>0.99999111119012274</v>
      </c>
      <c r="M5" s="407" t="e">
        <f ca="1">_xll.qlSimpleQuoteSetValue($K5,ROUND($L5,7),EvaluationDate)</f>
        <v>#NAME?</v>
      </c>
      <c r="N5" s="398"/>
      <c r="P5" s="391" t="s">
        <v>242</v>
      </c>
      <c r="Q5" s="390" t="e">
        <f ca="1">_xll.qlCalendarAdvance(Calendar,Q4,P5,"f")</f>
        <v>#NAME?</v>
      </c>
      <c r="R5" s="389" t="e">
        <f ca="1">_xll.qlIndexFixing(Index,Q5,,InterestRatesTrigger)</f>
        <v>#NAME?</v>
      </c>
    </row>
    <row r="6" spans="1:21" ht="11.25" customHeight="1" x14ac:dyDescent="0.25">
      <c r="A6" s="406"/>
      <c r="B6" s="243" t="s">
        <v>252</v>
      </c>
      <c r="C6" s="411" t="e">
        <f ca="1">JumpDate4</f>
        <v>#NAME?</v>
      </c>
      <c r="D6" s="408" t="e">
        <f ca="1">JumpValue4</f>
        <v>#NAME?</v>
      </c>
      <c r="E6" s="410" t="e">
        <f ca="1">JumpSize4</f>
        <v>#NAME?</v>
      </c>
      <c r="F6" s="409">
        <v>0</v>
      </c>
      <c r="G6" s="400"/>
      <c r="H6" s="408">
        <v>1</v>
      </c>
      <c r="I6" s="400"/>
      <c r="J6" s="407" t="str">
        <f t="shared" si="0"/>
        <v>EURJump4_SYNTHON_Quote</v>
      </c>
      <c r="K6" s="407" t="e">
        <f ca="1">_xll.qlSimpleQuote(J6,,,TRUE,Trigger)</f>
        <v>#NAME?</v>
      </c>
      <c r="L6" s="407">
        <v>1</v>
      </c>
      <c r="M6" s="407" t="e">
        <f ca="1">_xll.qlSimpleQuoteSetValue($K6,ROUND($L6,7),EvaluationDate)</f>
        <v>#NAME?</v>
      </c>
      <c r="N6" s="398"/>
      <c r="P6" s="391" t="s">
        <v>242</v>
      </c>
      <c r="Q6" s="390" t="e">
        <f ca="1">_xll.qlCalendarAdvance(Calendar,Q5,P6,"f")</f>
        <v>#NAME?</v>
      </c>
      <c r="R6" s="389" t="e">
        <f ca="1">_xll.qlIndexFixing(Index,Q6,,InterestRatesTrigger)</f>
        <v>#NAME?</v>
      </c>
    </row>
    <row r="7" spans="1:21" ht="11.25" customHeight="1" x14ac:dyDescent="0.25">
      <c r="A7" s="406"/>
      <c r="B7" s="243" t="s">
        <v>251</v>
      </c>
      <c r="C7" s="411" t="e">
        <f ca="1">JumpDate5</f>
        <v>#NAME?</v>
      </c>
      <c r="D7" s="408" t="e">
        <f ca="1">JumpValue5</f>
        <v>#NAME?</v>
      </c>
      <c r="E7" s="410" t="e">
        <f ca="1">JumpSize5</f>
        <v>#NAME?</v>
      </c>
      <c r="F7" s="409">
        <v>0</v>
      </c>
      <c r="G7" s="400"/>
      <c r="H7" s="408">
        <v>1</v>
      </c>
      <c r="I7" s="400"/>
      <c r="J7" s="407" t="str">
        <f t="shared" si="0"/>
        <v>EURJump5_SYNTHON_Quote</v>
      </c>
      <c r="K7" s="407" t="e">
        <f ca="1">_xll.qlSimpleQuote(J7,,,TRUE,Trigger)</f>
        <v>#NAME?</v>
      </c>
      <c r="L7" s="407">
        <v>1</v>
      </c>
      <c r="M7" s="407" t="e">
        <f ca="1">_xll.qlSimpleQuoteSetValue($K7,ROUND($L7,7),EvaluationDate)</f>
        <v>#NAME?</v>
      </c>
      <c r="N7" s="398"/>
      <c r="P7" s="391" t="s">
        <v>242</v>
      </c>
      <c r="Q7" s="390" t="e">
        <f ca="1">_xll.qlCalendarAdvance(Calendar,Q6,P7,"f")</f>
        <v>#NAME?</v>
      </c>
      <c r="R7" s="389" t="e">
        <f ca="1">_xll.qlIndexFixing(Index,Q7,,InterestRatesTrigger)</f>
        <v>#NAME?</v>
      </c>
    </row>
    <row r="8" spans="1:21" ht="11.25" customHeight="1" x14ac:dyDescent="0.25">
      <c r="A8" s="406"/>
      <c r="B8" s="243" t="s">
        <v>250</v>
      </c>
      <c r="C8" s="411" t="e">
        <f ca="1">JumpDate6</f>
        <v>#NAME?</v>
      </c>
      <c r="D8" s="408" t="e">
        <f ca="1">JumpValue6</f>
        <v>#NAME?</v>
      </c>
      <c r="E8" s="410" t="e">
        <f ca="1">JumpSize6</f>
        <v>#NAME?</v>
      </c>
      <c r="F8" s="409">
        <v>0</v>
      </c>
      <c r="G8" s="400"/>
      <c r="H8" s="408">
        <v>1</v>
      </c>
      <c r="I8" s="400"/>
      <c r="J8" s="407" t="str">
        <f t="shared" si="0"/>
        <v>EURJump6_SYNTHON_Quote</v>
      </c>
      <c r="K8" s="407" t="e">
        <f ca="1">_xll.qlSimpleQuote(J8,,,TRUE,Trigger)</f>
        <v>#NAME?</v>
      </c>
      <c r="L8" s="407">
        <v>1</v>
      </c>
      <c r="M8" s="407" t="e">
        <f ca="1">_xll.qlSimpleQuoteSetValue($K8,ROUND($L8,7),EvaluationDate)</f>
        <v>#NAME?</v>
      </c>
      <c r="N8" s="398"/>
      <c r="P8" s="391" t="s">
        <v>242</v>
      </c>
      <c r="Q8" s="390" t="e">
        <f ca="1">_xll.qlCalendarAdvance(Calendar,Q7,P8,"f")</f>
        <v>#NAME?</v>
      </c>
      <c r="R8" s="389" t="e">
        <f ca="1">_xll.qlIndexFixing(Index,Q8,,InterestRatesTrigger)</f>
        <v>#NAME?</v>
      </c>
    </row>
    <row r="9" spans="1:21" ht="11.25" customHeight="1" x14ac:dyDescent="0.25">
      <c r="A9" s="406"/>
      <c r="B9" s="243" t="s">
        <v>249</v>
      </c>
      <c r="C9" s="411" t="e">
        <f ca="1">JumpDate7</f>
        <v>#NAME?</v>
      </c>
      <c r="D9" s="408" t="e">
        <f ca="1">JumpValue7</f>
        <v>#NAME?</v>
      </c>
      <c r="E9" s="410" t="e">
        <f ca="1">JumpSize7</f>
        <v>#NAME?</v>
      </c>
      <c r="F9" s="409">
        <v>0</v>
      </c>
      <c r="G9" s="400"/>
      <c r="H9" s="408">
        <v>1</v>
      </c>
      <c r="I9" s="400"/>
      <c r="J9" s="407" t="str">
        <f t="shared" si="0"/>
        <v>EURJump7_SYNTHON_Quote</v>
      </c>
      <c r="K9" s="407" t="e">
        <f ca="1">_xll.qlSimpleQuote(J9,,,TRUE,Trigger)</f>
        <v>#NAME?</v>
      </c>
      <c r="L9" s="407">
        <v>1</v>
      </c>
      <c r="M9" s="407" t="e">
        <f ca="1">_xll.qlSimpleQuoteSetValue($K9,ROUND($L9,7),EvaluationDate)</f>
        <v>#NAME?</v>
      </c>
      <c r="N9" s="398"/>
      <c r="P9" s="391" t="s">
        <v>242</v>
      </c>
      <c r="Q9" s="390" t="e">
        <f ca="1">_xll.qlCalendarAdvance(Calendar,Q8,P9,"f")</f>
        <v>#NAME?</v>
      </c>
      <c r="R9" s="389" t="e">
        <f ca="1">_xll.qlIndexFixing(Index,Q9,,InterestRatesTrigger)</f>
        <v>#NAME?</v>
      </c>
    </row>
    <row r="10" spans="1:21" ht="11.25" customHeight="1" x14ac:dyDescent="0.25">
      <c r="A10" s="406"/>
      <c r="B10" s="243" t="s">
        <v>248</v>
      </c>
      <c r="C10" s="411" t="e">
        <f ca="1">JumpDate8</f>
        <v>#NAME?</v>
      </c>
      <c r="D10" s="408" t="e">
        <f ca="1">JumpValue8</f>
        <v>#NAME?</v>
      </c>
      <c r="E10" s="410" t="e">
        <f ca="1">JumpSize8</f>
        <v>#NAME?</v>
      </c>
      <c r="F10" s="409">
        <v>0</v>
      </c>
      <c r="G10" s="400"/>
      <c r="H10" s="408">
        <v>1</v>
      </c>
      <c r="I10" s="400"/>
      <c r="J10" s="407" t="str">
        <f t="shared" si="0"/>
        <v>EURJump8_SYNTHON_Quote</v>
      </c>
      <c r="K10" s="407" t="e">
        <f ca="1">_xll.qlSimpleQuote(J10,,,TRUE,Trigger)</f>
        <v>#NAME?</v>
      </c>
      <c r="L10" s="407">
        <v>1</v>
      </c>
      <c r="M10" s="407" t="e">
        <f ca="1">_xll.qlSimpleQuoteSetValue($K10,ROUND($L10,7),EvaluationDate)</f>
        <v>#NAME?</v>
      </c>
      <c r="N10" s="398"/>
      <c r="P10" s="391" t="s">
        <v>242</v>
      </c>
      <c r="Q10" s="390" t="e">
        <f ca="1">_xll.qlCalendarAdvance(Calendar,Q9,P10,"f")</f>
        <v>#NAME?</v>
      </c>
      <c r="R10" s="389" t="e">
        <f ca="1">_xll.qlIndexFixing(Index,Q10,,InterestRatesTrigger)</f>
        <v>#NAME?</v>
      </c>
    </row>
    <row r="11" spans="1:21" ht="11.25" customHeight="1" x14ac:dyDescent="0.25">
      <c r="A11" s="406"/>
      <c r="B11" s="243" t="s">
        <v>247</v>
      </c>
      <c r="C11" s="411" t="e">
        <f ca="1">JumpDate9</f>
        <v>#NAME?</v>
      </c>
      <c r="D11" s="408" t="e">
        <f ca="1">JumpValue9</f>
        <v>#NAME?</v>
      </c>
      <c r="E11" s="410" t="e">
        <f ca="1">JumpSize9</f>
        <v>#NAME?</v>
      </c>
      <c r="F11" s="409">
        <v>0</v>
      </c>
      <c r="G11" s="400"/>
      <c r="H11" s="408">
        <v>1</v>
      </c>
      <c r="I11" s="400"/>
      <c r="J11" s="407" t="str">
        <f t="shared" si="0"/>
        <v>EURJump9_SYNTHON_Quote</v>
      </c>
      <c r="K11" s="407" t="e">
        <f ca="1">_xll.qlSimpleQuote(J11,,,TRUE,Trigger)</f>
        <v>#NAME?</v>
      </c>
      <c r="L11" s="407">
        <v>1</v>
      </c>
      <c r="M11" s="407" t="e">
        <f ca="1">_xll.qlSimpleQuoteSetValue($K11,ROUND($L11,7),EvaluationDate)</f>
        <v>#NAME?</v>
      </c>
      <c r="N11" s="398"/>
      <c r="P11" s="391" t="s">
        <v>242</v>
      </c>
      <c r="Q11" s="390" t="e">
        <f ca="1">_xll.qlCalendarAdvance(Calendar,Q10,P11,"f")</f>
        <v>#NAME?</v>
      </c>
      <c r="R11" s="389" t="e">
        <f ca="1">_xll.qlIndexFixing(Index,Q11,,InterestRatesTrigger)</f>
        <v>#NAME?</v>
      </c>
    </row>
    <row r="12" spans="1:21" ht="11.25" customHeight="1" x14ac:dyDescent="0.25">
      <c r="A12" s="406"/>
      <c r="B12" s="243" t="s">
        <v>246</v>
      </c>
      <c r="C12" s="411" t="e">
        <f ca="1">JumpDate10</f>
        <v>#NAME?</v>
      </c>
      <c r="D12" s="408" t="e">
        <f ca="1">JumpValue10</f>
        <v>#NAME?</v>
      </c>
      <c r="E12" s="410" t="e">
        <f ca="1">JumpSize10</f>
        <v>#NAME?</v>
      </c>
      <c r="F12" s="409">
        <v>0</v>
      </c>
      <c r="G12" s="400"/>
      <c r="H12" s="408">
        <v>1</v>
      </c>
      <c r="I12" s="400"/>
      <c r="J12" s="407" t="str">
        <f t="shared" si="0"/>
        <v>EURJump10_SYNTHON_Quote</v>
      </c>
      <c r="K12" s="407" t="e">
        <f ca="1">_xll.qlSimpleQuote(J12,,,TRUE,Trigger)</f>
        <v>#NAME?</v>
      </c>
      <c r="L12" s="407">
        <v>1</v>
      </c>
      <c r="M12" s="407" t="e">
        <f ca="1">_xll.qlSimpleQuoteSetValue($K12,ROUND($L12,7),EvaluationDate)</f>
        <v>#NAME?</v>
      </c>
      <c r="N12" s="398"/>
      <c r="P12" s="391" t="s">
        <v>242</v>
      </c>
      <c r="Q12" s="390" t="e">
        <f ca="1">_xll.qlCalendarAdvance(Calendar,Q11,P12,"f")</f>
        <v>#NAME?</v>
      </c>
      <c r="R12" s="389" t="e">
        <f ca="1">_xll.qlIndexFixing(Index,Q12,,InterestRatesTrigger)</f>
        <v>#NAME?</v>
      </c>
    </row>
    <row r="13" spans="1:21" ht="11.25" customHeight="1" x14ac:dyDescent="0.25">
      <c r="A13" s="406"/>
      <c r="B13" s="243" t="s">
        <v>245</v>
      </c>
      <c r="C13" s="411" t="e">
        <f ca="1">JumpDate11</f>
        <v>#NAME?</v>
      </c>
      <c r="D13" s="408" t="e">
        <f ca="1">JumpValue11</f>
        <v>#NAME?</v>
      </c>
      <c r="E13" s="410" t="e">
        <f ca="1">JumpSize11</f>
        <v>#NAME?</v>
      </c>
      <c r="F13" s="409">
        <v>0</v>
      </c>
      <c r="G13" s="400"/>
      <c r="H13" s="408">
        <v>1</v>
      </c>
      <c r="I13" s="400"/>
      <c r="J13" s="407" t="str">
        <f t="shared" si="0"/>
        <v>EURJump11_SYNTHON_Quote</v>
      </c>
      <c r="K13" s="407" t="e">
        <f ca="1">_xll.qlSimpleQuote(J13,,,TRUE,Trigger)</f>
        <v>#NAME?</v>
      </c>
      <c r="L13" s="407">
        <v>1</v>
      </c>
      <c r="M13" s="407" t="e">
        <f ca="1">_xll.qlSimpleQuoteSetValue($K13,ROUND($L13,7),EvaluationDate)</f>
        <v>#NAME?</v>
      </c>
      <c r="N13" s="398"/>
      <c r="P13" s="391" t="s">
        <v>242</v>
      </c>
      <c r="Q13" s="390" t="e">
        <f ca="1">_xll.qlCalendarAdvance(Calendar,Q12,P13,"f")</f>
        <v>#NAME?</v>
      </c>
      <c r="R13" s="389" t="e">
        <f ca="1">_xll.qlIndexFixing(Index,Q13,,InterestRatesTrigger)</f>
        <v>#NAME?</v>
      </c>
    </row>
    <row r="14" spans="1:21" ht="11.25" customHeight="1" x14ac:dyDescent="0.25">
      <c r="A14" s="406"/>
      <c r="B14" s="243" t="s">
        <v>244</v>
      </c>
      <c r="C14" s="411" t="e">
        <f ca="1">JumpDate12</f>
        <v>#NAME?</v>
      </c>
      <c r="D14" s="408" t="e">
        <f ca="1">JumpValue12</f>
        <v>#NAME?</v>
      </c>
      <c r="E14" s="410" t="e">
        <f ca="1">JumpSize12</f>
        <v>#NAME?</v>
      </c>
      <c r="F14" s="409">
        <v>0</v>
      </c>
      <c r="G14" s="400"/>
      <c r="H14" s="408">
        <v>1</v>
      </c>
      <c r="I14" s="400"/>
      <c r="J14" s="407" t="str">
        <f t="shared" si="0"/>
        <v>EURJump12_SYNTHON_Quote</v>
      </c>
      <c r="K14" s="407" t="e">
        <f ca="1">_xll.qlSimpleQuote(J14,,,TRUE,Trigger)</f>
        <v>#NAME?</v>
      </c>
      <c r="L14" s="407">
        <v>1</v>
      </c>
      <c r="M14" s="407" t="e">
        <f ca="1">_xll.qlSimpleQuoteSetValue($K14,ROUND($L14,7),EvaluationDate)</f>
        <v>#NAME?</v>
      </c>
      <c r="N14" s="398"/>
      <c r="P14" s="391" t="s">
        <v>242</v>
      </c>
      <c r="Q14" s="390" t="e">
        <f ca="1">_xll.qlCalendarAdvance(Calendar,Q13,P14,"f")</f>
        <v>#NAME?</v>
      </c>
      <c r="R14" s="389" t="e">
        <f ca="1">_xll.qlIndexFixing(Index,Q14,,InterestRatesTrigger)</f>
        <v>#NAME?</v>
      </c>
    </row>
    <row r="15" spans="1:21" ht="11.25" customHeight="1" x14ac:dyDescent="0.25">
      <c r="A15" s="406"/>
      <c r="B15" s="405" t="s">
        <v>243</v>
      </c>
      <c r="C15" s="404" t="e">
        <f ca="1">JumpDate13</f>
        <v>#NAME?</v>
      </c>
      <c r="D15" s="401" t="e">
        <f ca="1">JumpValue13</f>
        <v>#NAME?</v>
      </c>
      <c r="E15" s="403" t="e">
        <f ca="1">JumpSize13</f>
        <v>#NAME?</v>
      </c>
      <c r="F15" s="402">
        <v>8.0000000000000004E-4</v>
      </c>
      <c r="G15" s="400"/>
      <c r="H15" s="401">
        <v>0.9999933333777774</v>
      </c>
      <c r="I15" s="400"/>
      <c r="J15" s="399" t="str">
        <f t="shared" si="0"/>
        <v>EURJump13_SYNTHON_Quote</v>
      </c>
      <c r="K15" s="399" t="e">
        <f ca="1">_xll.qlSimpleQuote(J15,,,TRUE,Trigger)</f>
        <v>#NAME?</v>
      </c>
      <c r="L15" s="399">
        <v>0.9999933333777774</v>
      </c>
      <c r="M15" s="399" t="e">
        <f ca="1">_xll.qlSimpleQuoteSetValue($K15,ROUND($L15,7),EvaluationDate)</f>
        <v>#NAME?</v>
      </c>
      <c r="N15" s="398"/>
      <c r="P15" s="391" t="s">
        <v>242</v>
      </c>
      <c r="Q15" s="390" t="e">
        <f ca="1">_xll.qlCalendarAdvance(Calendar,Q14,P15,"f")</f>
        <v>#NAME?</v>
      </c>
      <c r="R15" s="389" t="e">
        <f ca="1">_xll.qlIndexFixing(Index,Q15,,InterestRatesTrigger)</f>
        <v>#NAME?</v>
      </c>
    </row>
    <row r="16" spans="1:21" ht="11.25" customHeight="1" x14ac:dyDescent="0.25">
      <c r="A16" s="397"/>
      <c r="B16" s="395"/>
      <c r="C16" s="396"/>
      <c r="D16" s="395"/>
      <c r="E16" s="395"/>
      <c r="F16" s="395"/>
      <c r="G16" s="395"/>
      <c r="H16" s="395"/>
      <c r="I16" s="395"/>
      <c r="J16" s="395"/>
      <c r="K16" s="395"/>
      <c r="L16" s="395"/>
      <c r="M16" s="395"/>
      <c r="N16" s="394"/>
      <c r="P16" s="391" t="s">
        <v>242</v>
      </c>
      <c r="Q16" s="390" t="e">
        <f ca="1">_xll.qlCalendarAdvance(Calendar,Q15,P16,"f")</f>
        <v>#NAME?</v>
      </c>
      <c r="R16" s="389" t="e">
        <f ca="1">_xll.qlIndexFixing(Index,Q16,,InterestRatesTrigger)</f>
        <v>#NAME?</v>
      </c>
    </row>
    <row r="17" spans="1:18" ht="13.5" x14ac:dyDescent="0.25">
      <c r="A17" s="393"/>
      <c r="C17" s="392"/>
      <c r="P17" s="391" t="s">
        <v>242</v>
      </c>
      <c r="Q17" s="390" t="e">
        <f ca="1">_xll.qlCalendarAdvance(Calendar,Q16,P17,"f")</f>
        <v>#NAME?</v>
      </c>
      <c r="R17" s="389" t="e">
        <f ca="1">_xll.qlIndexFixing(Index,Q17,,InterestRatesTrigger)</f>
        <v>#NAME?</v>
      </c>
    </row>
    <row r="18" spans="1:18" ht="13.5" x14ac:dyDescent="0.25">
      <c r="A18" s="393"/>
      <c r="C18" s="392"/>
      <c r="P18" s="391" t="s">
        <v>242</v>
      </c>
      <c r="Q18" s="390" t="e">
        <f ca="1">_xll.qlCalendarAdvance(Calendar,Q17,P18,"f")</f>
        <v>#NAME?</v>
      </c>
      <c r="R18" s="389" t="e">
        <f ca="1">_xll.qlIndexFixing(Index,Q18,,InterestRatesTrigger)</f>
        <v>#NAME?</v>
      </c>
    </row>
    <row r="19" spans="1:18" x14ac:dyDescent="0.2">
      <c r="P19" s="391" t="s">
        <v>242</v>
      </c>
      <c r="Q19" s="390" t="e">
        <f ca="1">_xll.qlCalendarAdvance(Calendar,Q18,P19,"f")</f>
        <v>#NAME?</v>
      </c>
      <c r="R19" s="389" t="e">
        <f ca="1">_xll.qlIndexFixing(Index,Q19,,InterestRatesTrigger)</f>
        <v>#NAME?</v>
      </c>
    </row>
    <row r="20" spans="1:18" x14ac:dyDescent="0.2">
      <c r="P20" s="391" t="s">
        <v>242</v>
      </c>
      <c r="Q20" s="390" t="e">
        <f ca="1">_xll.qlCalendarAdvance(Calendar,Q19,P20,"f")</f>
        <v>#NAME?</v>
      </c>
      <c r="R20" s="389" t="e">
        <f ca="1">_xll.qlIndexFixing(Index,Q20,,InterestRatesTrigger)</f>
        <v>#NAME?</v>
      </c>
    </row>
    <row r="21" spans="1:18" x14ac:dyDescent="0.2">
      <c r="P21" s="391" t="s">
        <v>242</v>
      </c>
      <c r="Q21" s="390" t="e">
        <f ca="1">_xll.qlCalendarAdvance(Calendar,Q20,P21,"f")</f>
        <v>#NAME?</v>
      </c>
      <c r="R21" s="389" t="e">
        <f ca="1">_xll.qlIndexFixing(Index,Q21,,InterestRatesTrigger)</f>
        <v>#NAME?</v>
      </c>
    </row>
    <row r="22" spans="1:18" x14ac:dyDescent="0.2">
      <c r="P22" s="391" t="s">
        <v>242</v>
      </c>
      <c r="Q22" s="390" t="e">
        <f ca="1">_xll.qlCalendarAdvance(Calendar,Q21,P22,"f")</f>
        <v>#NAME?</v>
      </c>
      <c r="R22" s="389" t="e">
        <f ca="1">_xll.qlIndexFixing(Index,Q22,,InterestRatesTrigger)</f>
        <v>#NAME?</v>
      </c>
    </row>
    <row r="23" spans="1:18" x14ac:dyDescent="0.2">
      <c r="P23" s="391" t="s">
        <v>242</v>
      </c>
      <c r="Q23" s="390" t="e">
        <f ca="1">_xll.qlCalendarAdvance(Calendar,Q22,P23,"f")</f>
        <v>#NAME?</v>
      </c>
      <c r="R23" s="389" t="e">
        <f ca="1">_xll.qlIndexFixing(Index,Q23,,InterestRatesTrigger)</f>
        <v>#NAME?</v>
      </c>
    </row>
    <row r="24" spans="1:18" x14ac:dyDescent="0.2">
      <c r="P24" s="391" t="s">
        <v>242</v>
      </c>
      <c r="Q24" s="390" t="e">
        <f ca="1">_xll.qlCalendarAdvance(Calendar,Q23,P24,"f")</f>
        <v>#NAME?</v>
      </c>
      <c r="R24" s="389" t="e">
        <f ca="1">_xll.qlIndexFixing(Index,Q24,,InterestRatesTrigger)</f>
        <v>#NAME?</v>
      </c>
    </row>
    <row r="25" spans="1:18" x14ac:dyDescent="0.2">
      <c r="P25" s="391" t="s">
        <v>242</v>
      </c>
      <c r="Q25" s="390" t="e">
        <f ca="1">_xll.qlCalendarAdvance(Calendar,Q24,P25,"f")</f>
        <v>#NAME?</v>
      </c>
      <c r="R25" s="389" t="e">
        <f ca="1">_xll.qlIndexFixing(Index,Q25,,InterestRatesTrigger)</f>
        <v>#NAME?</v>
      </c>
    </row>
    <row r="26" spans="1:18" x14ac:dyDescent="0.2">
      <c r="P26" s="391" t="s">
        <v>242</v>
      </c>
      <c r="Q26" s="390" t="e">
        <f ca="1">_xll.qlCalendarAdvance(Calendar,Q25,P26,"f")</f>
        <v>#NAME?</v>
      </c>
      <c r="R26" s="389" t="e">
        <f ca="1">_xll.qlIndexFixing(Index,Q26,,InterestRatesTrigger)</f>
        <v>#NAME?</v>
      </c>
    </row>
    <row r="27" spans="1:18" x14ac:dyDescent="0.2">
      <c r="P27" s="391" t="s">
        <v>242</v>
      </c>
      <c r="Q27" s="390" t="e">
        <f ca="1">_xll.qlCalendarAdvance(Calendar,Q26,P27,"f")</f>
        <v>#NAME?</v>
      </c>
      <c r="R27" s="389" t="e">
        <f ca="1">_xll.qlIndexFixing(Index,Q27,,InterestRatesTrigger)</f>
        <v>#NAME?</v>
      </c>
    </row>
    <row r="28" spans="1:18" x14ac:dyDescent="0.2">
      <c r="P28" s="391" t="s">
        <v>242</v>
      </c>
      <c r="Q28" s="390" t="e">
        <f ca="1">_xll.qlCalendarAdvance(Calendar,Q27,P28,"f")</f>
        <v>#NAME?</v>
      </c>
      <c r="R28" s="389" t="e">
        <f ca="1">_xll.qlIndexFixing(Index,Q28,,InterestRatesTrigger)</f>
        <v>#NAME?</v>
      </c>
    </row>
    <row r="29" spans="1:18" x14ac:dyDescent="0.2">
      <c r="P29" s="391" t="s">
        <v>242</v>
      </c>
      <c r="Q29" s="390" t="e">
        <f ca="1">_xll.qlCalendarAdvance(Calendar,Q28,P29,"f")</f>
        <v>#NAME?</v>
      </c>
      <c r="R29" s="389" t="e">
        <f ca="1">_xll.qlIndexFixing(Index,Q29,,InterestRatesTrigger)</f>
        <v>#NAME?</v>
      </c>
    </row>
    <row r="30" spans="1:18" x14ac:dyDescent="0.2">
      <c r="P30" s="391" t="s">
        <v>242</v>
      </c>
      <c r="Q30" s="390" t="e">
        <f ca="1">_xll.qlCalendarAdvance(Calendar,Q29,P30,"f")</f>
        <v>#NAME?</v>
      </c>
      <c r="R30" s="389" t="e">
        <f ca="1">_xll.qlIndexFixing(Index,Q30,,InterestRatesTrigger)</f>
        <v>#NAME?</v>
      </c>
    </row>
    <row r="31" spans="1:18" x14ac:dyDescent="0.2">
      <c r="P31" s="391" t="s">
        <v>242</v>
      </c>
      <c r="Q31" s="390" t="e">
        <f ca="1">_xll.qlCalendarAdvance(Calendar,Q30,P31,"f")</f>
        <v>#NAME?</v>
      </c>
      <c r="R31" s="389" t="e">
        <f ca="1">_xll.qlIndexFixing(Index,Q31,,InterestRatesTrigger)</f>
        <v>#NAME?</v>
      </c>
    </row>
    <row r="32" spans="1:18" x14ac:dyDescent="0.2">
      <c r="P32" s="391" t="s">
        <v>242</v>
      </c>
      <c r="Q32" s="390" t="e">
        <f ca="1">_xll.qlCalendarAdvance(Calendar,Q31,P32,"f")</f>
        <v>#NAME?</v>
      </c>
      <c r="R32" s="389" t="e">
        <f ca="1">_xll.qlIndexFixing(Index,Q32,,InterestRatesTrigger)</f>
        <v>#NAME?</v>
      </c>
    </row>
    <row r="33" spans="16:18" x14ac:dyDescent="0.2">
      <c r="P33" s="391" t="s">
        <v>242</v>
      </c>
      <c r="Q33" s="390" t="e">
        <f ca="1">_xll.qlCalendarAdvance(Calendar,Q32,P33,"f")</f>
        <v>#NAME?</v>
      </c>
      <c r="R33" s="389" t="e">
        <f ca="1">_xll.qlIndexFixing(Index,Q33,,InterestRatesTrigger)</f>
        <v>#NAME?</v>
      </c>
    </row>
    <row r="34" spans="16:18" x14ac:dyDescent="0.2">
      <c r="P34" s="391" t="s">
        <v>242</v>
      </c>
      <c r="Q34" s="390" t="e">
        <f ca="1">_xll.qlCalendarAdvance(Calendar,Q33,P34,"f")</f>
        <v>#NAME?</v>
      </c>
      <c r="R34" s="389" t="e">
        <f ca="1">_xll.qlIndexFixing(Index,Q34,,InterestRatesTrigger)</f>
        <v>#NAME?</v>
      </c>
    </row>
    <row r="35" spans="16:18" x14ac:dyDescent="0.2">
      <c r="P35" s="391" t="s">
        <v>242</v>
      </c>
      <c r="Q35" s="390" t="e">
        <f ca="1">_xll.qlCalendarAdvance(Calendar,Q34,P35,"f")</f>
        <v>#NAME?</v>
      </c>
      <c r="R35" s="389" t="e">
        <f ca="1">_xll.qlIndexFixing(Index,Q35,,InterestRatesTrigger)</f>
        <v>#NAME?</v>
      </c>
    </row>
    <row r="36" spans="16:18" x14ac:dyDescent="0.2">
      <c r="P36" s="391" t="s">
        <v>242</v>
      </c>
      <c r="Q36" s="390" t="e">
        <f ca="1">_xll.qlCalendarAdvance(Calendar,Q35,P36,"f")</f>
        <v>#NAME?</v>
      </c>
      <c r="R36" s="389" t="e">
        <f ca="1">_xll.qlIndexFixing(Index,Q36,,InterestRatesTrigger)</f>
        <v>#NAME?</v>
      </c>
    </row>
    <row r="37" spans="16:18" x14ac:dyDescent="0.2">
      <c r="P37" s="391" t="s">
        <v>242</v>
      </c>
      <c r="Q37" s="390" t="e">
        <f ca="1">_xll.qlCalendarAdvance(Calendar,Q36,P37,"f")</f>
        <v>#NAME?</v>
      </c>
      <c r="R37" s="389" t="e">
        <f ca="1">_xll.qlIndexFixing(Index,Q37,,InterestRatesTrigger)</f>
        <v>#NAME?</v>
      </c>
    </row>
    <row r="38" spans="16:18" x14ac:dyDescent="0.2">
      <c r="P38" s="391" t="s">
        <v>242</v>
      </c>
      <c r="Q38" s="390" t="e">
        <f ca="1">_xll.qlCalendarAdvance(Calendar,Q37,P38,"f")</f>
        <v>#NAME?</v>
      </c>
      <c r="R38" s="389" t="e">
        <f ca="1">_xll.qlIndexFixing(Index,Q38,,InterestRatesTrigger)</f>
        <v>#NAME?</v>
      </c>
    </row>
    <row r="39" spans="16:18" x14ac:dyDescent="0.2">
      <c r="P39" s="391" t="s">
        <v>242</v>
      </c>
      <c r="Q39" s="390" t="e">
        <f ca="1">_xll.qlCalendarAdvance(Calendar,Q38,P39,"f")</f>
        <v>#NAME?</v>
      </c>
      <c r="R39" s="389" t="e">
        <f ca="1">_xll.qlIndexFixing(Index,Q39,,InterestRatesTrigger)</f>
        <v>#NAME?</v>
      </c>
    </row>
    <row r="40" spans="16:18" x14ac:dyDescent="0.2">
      <c r="P40" s="391" t="s">
        <v>242</v>
      </c>
      <c r="Q40" s="390" t="e">
        <f ca="1">_xll.qlCalendarAdvance(Calendar,Q39,P40,"f")</f>
        <v>#NAME?</v>
      </c>
      <c r="R40" s="389" t="e">
        <f ca="1">_xll.qlIndexFixing(Index,Q40,,InterestRatesTrigger)</f>
        <v>#NAME?</v>
      </c>
    </row>
    <row r="41" spans="16:18" x14ac:dyDescent="0.2">
      <c r="P41" s="391" t="s">
        <v>242</v>
      </c>
      <c r="Q41" s="390" t="e">
        <f ca="1">_xll.qlCalendarAdvance(Calendar,Q40,P41,"f")</f>
        <v>#NAME?</v>
      </c>
      <c r="R41" s="389" t="e">
        <f ca="1">_xll.qlIndexFixing(Index,Q41,,InterestRatesTrigger)</f>
        <v>#NAME?</v>
      </c>
    </row>
    <row r="42" spans="16:18" x14ac:dyDescent="0.2">
      <c r="P42" s="391" t="s">
        <v>242</v>
      </c>
      <c r="Q42" s="390" t="e">
        <f ca="1">_xll.qlCalendarAdvance(Calendar,Q41,P42,"f")</f>
        <v>#NAME?</v>
      </c>
      <c r="R42" s="389" t="e">
        <f ca="1">_xll.qlIndexFixing(Index,Q42,,InterestRatesTrigger)</f>
        <v>#NAME?</v>
      </c>
    </row>
    <row r="43" spans="16:18" x14ac:dyDescent="0.2">
      <c r="P43" s="391" t="s">
        <v>242</v>
      </c>
      <c r="Q43" s="390" t="e">
        <f ca="1">_xll.qlCalendarAdvance(Calendar,Q42,P43,"f")</f>
        <v>#NAME?</v>
      </c>
      <c r="R43" s="389" t="e">
        <f ca="1">_xll.qlIndexFixing(Index,Q43,,InterestRatesTrigger)</f>
        <v>#NAME?</v>
      </c>
    </row>
    <row r="44" spans="16:18" x14ac:dyDescent="0.2">
      <c r="P44" s="391" t="s">
        <v>242</v>
      </c>
      <c r="Q44" s="390" t="e">
        <f ca="1">_xll.qlCalendarAdvance(Calendar,Q43,P44,"f")</f>
        <v>#NAME?</v>
      </c>
      <c r="R44" s="389" t="e">
        <f ca="1">_xll.qlIndexFixing(Index,Q44,,InterestRatesTrigger)</f>
        <v>#NAME?</v>
      </c>
    </row>
    <row r="45" spans="16:18" x14ac:dyDescent="0.2">
      <c r="P45" s="391" t="s">
        <v>242</v>
      </c>
      <c r="Q45" s="390" t="e">
        <f ca="1">_xll.qlCalendarAdvance(Calendar,Q44,P45,"f")</f>
        <v>#NAME?</v>
      </c>
      <c r="R45" s="389" t="e">
        <f ca="1">_xll.qlIndexFixing(Index,Q45,,InterestRatesTrigger)</f>
        <v>#NAME?</v>
      </c>
    </row>
    <row r="46" spans="16:18" x14ac:dyDescent="0.2">
      <c r="P46" s="391" t="s">
        <v>242</v>
      </c>
      <c r="Q46" s="390" t="e">
        <f ca="1">_xll.qlCalendarAdvance(Calendar,Q45,P46,"f")</f>
        <v>#NAME?</v>
      </c>
      <c r="R46" s="389" t="e">
        <f ca="1">_xll.qlIndexFixing(Index,Q46,,InterestRatesTrigger)</f>
        <v>#NAME?</v>
      </c>
    </row>
    <row r="47" spans="16:18" x14ac:dyDescent="0.2">
      <c r="P47" s="391" t="s">
        <v>242</v>
      </c>
      <c r="Q47" s="390" t="e">
        <f ca="1">_xll.qlCalendarAdvance(Calendar,Q46,P47,"f")</f>
        <v>#NAME?</v>
      </c>
      <c r="R47" s="389" t="e">
        <f ca="1">_xll.qlIndexFixing(Index,Q47,,InterestRatesTrigger)</f>
        <v>#NAME?</v>
      </c>
    </row>
    <row r="48" spans="16:18" x14ac:dyDescent="0.2">
      <c r="P48" s="391" t="s">
        <v>242</v>
      </c>
      <c r="Q48" s="390" t="e">
        <f ca="1">_xll.qlCalendarAdvance(Calendar,Q47,P48,"f")</f>
        <v>#NAME?</v>
      </c>
      <c r="R48" s="389" t="e">
        <f ca="1">_xll.qlIndexFixing(Index,Q48,,InterestRatesTrigger)</f>
        <v>#NAME?</v>
      </c>
    </row>
    <row r="49" spans="16:18" x14ac:dyDescent="0.2">
      <c r="P49" s="391" t="s">
        <v>242</v>
      </c>
      <c r="Q49" s="390" t="e">
        <f ca="1">_xll.qlCalendarAdvance(Calendar,Q48,P49,"f")</f>
        <v>#NAME?</v>
      </c>
      <c r="R49" s="389" t="e">
        <f ca="1">_xll.qlIndexFixing(Index,Q49,,InterestRatesTrigger)</f>
        <v>#NAME?</v>
      </c>
    </row>
    <row r="50" spans="16:18" x14ac:dyDescent="0.2">
      <c r="P50" s="391" t="s">
        <v>242</v>
      </c>
      <c r="Q50" s="390" t="e">
        <f ca="1">_xll.qlCalendarAdvance(Calendar,Q49,P50,"f")</f>
        <v>#NAME?</v>
      </c>
      <c r="R50" s="389" t="e">
        <f ca="1">_xll.qlIndexFixing(Index,Q50,,InterestRatesTrigger)</f>
        <v>#NAME?</v>
      </c>
    </row>
    <row r="51" spans="16:18" x14ac:dyDescent="0.2">
      <c r="P51" s="391" t="s">
        <v>242</v>
      </c>
      <c r="Q51" s="390" t="e">
        <f ca="1">_xll.qlCalendarAdvance(Calendar,Q50,P51,"f")</f>
        <v>#NAME?</v>
      </c>
      <c r="R51" s="389" t="e">
        <f ca="1">_xll.qlIndexFixing(Index,Q51,,InterestRatesTrigger)</f>
        <v>#NAME?</v>
      </c>
    </row>
    <row r="52" spans="16:18" x14ac:dyDescent="0.2">
      <c r="P52" s="391" t="s">
        <v>242</v>
      </c>
      <c r="Q52" s="390" t="e">
        <f ca="1">_xll.qlCalendarAdvance(Calendar,Q51,P52,"f")</f>
        <v>#NAME?</v>
      </c>
      <c r="R52" s="389" t="e">
        <f ca="1">_xll.qlIndexFixing(Index,Q52,,InterestRatesTrigger)</f>
        <v>#NAME?</v>
      </c>
    </row>
    <row r="53" spans="16:18" x14ac:dyDescent="0.2">
      <c r="P53" s="391" t="s">
        <v>242</v>
      </c>
      <c r="Q53" s="390" t="e">
        <f ca="1">_xll.qlCalendarAdvance(Calendar,Q52,P53,"f")</f>
        <v>#NAME?</v>
      </c>
      <c r="R53" s="389" t="e">
        <f ca="1">_xll.qlIndexFixing(Index,Q53,,InterestRatesTrigger)</f>
        <v>#NAME?</v>
      </c>
    </row>
    <row r="54" spans="16:18" x14ac:dyDescent="0.2">
      <c r="P54" s="391" t="s">
        <v>242</v>
      </c>
      <c r="Q54" s="390" t="e">
        <f ca="1">_xll.qlCalendarAdvance(Calendar,Q53,P54,"f")</f>
        <v>#NAME?</v>
      </c>
      <c r="R54" s="389" t="e">
        <f ca="1">_xll.qlIndexFixing(Index,Q54,,InterestRatesTrigger)</f>
        <v>#NAME?</v>
      </c>
    </row>
    <row r="55" spans="16:18" x14ac:dyDescent="0.2">
      <c r="P55" s="391" t="s">
        <v>242</v>
      </c>
      <c r="Q55" s="390" t="e">
        <f ca="1">_xll.qlCalendarAdvance(Calendar,Q54,P55,"f")</f>
        <v>#NAME?</v>
      </c>
      <c r="R55" s="389" t="e">
        <f ca="1">_xll.qlIndexFixing(Index,Q55,,InterestRatesTrigger)</f>
        <v>#NAME?</v>
      </c>
    </row>
    <row r="56" spans="16:18" x14ac:dyDescent="0.2">
      <c r="P56" s="391" t="s">
        <v>242</v>
      </c>
      <c r="Q56" s="390" t="e">
        <f ca="1">_xll.qlCalendarAdvance(Calendar,Q55,P56,"f")</f>
        <v>#NAME?</v>
      </c>
      <c r="R56" s="389" t="e">
        <f ca="1">_xll.qlIndexFixing(Index,Q56,,InterestRatesTrigger)</f>
        <v>#NAME?</v>
      </c>
    </row>
    <row r="57" spans="16:18" x14ac:dyDescent="0.2">
      <c r="P57" s="391" t="s">
        <v>242</v>
      </c>
      <c r="Q57" s="390" t="e">
        <f ca="1">_xll.qlCalendarAdvance(Calendar,Q56,P57,"f")</f>
        <v>#NAME?</v>
      </c>
      <c r="R57" s="389" t="e">
        <f ca="1">_xll.qlIndexFixing(Index,Q57,,InterestRatesTrigger)</f>
        <v>#NAME?</v>
      </c>
    </row>
    <row r="58" spans="16:18" x14ac:dyDescent="0.2">
      <c r="P58" s="391" t="s">
        <v>242</v>
      </c>
      <c r="Q58" s="390" t="e">
        <f ca="1">_xll.qlCalendarAdvance(Calendar,Q57,P58,"f")</f>
        <v>#NAME?</v>
      </c>
      <c r="R58" s="389" t="e">
        <f ca="1">_xll.qlIndexFixing(Index,Q58,,InterestRatesTrigger)</f>
        <v>#NAME?</v>
      </c>
    </row>
    <row r="59" spans="16:18" x14ac:dyDescent="0.2">
      <c r="P59" s="391" t="s">
        <v>242</v>
      </c>
      <c r="Q59" s="390" t="e">
        <f ca="1">_xll.qlCalendarAdvance(Calendar,Q58,P59,"f")</f>
        <v>#NAME?</v>
      </c>
      <c r="R59" s="389" t="e">
        <f ca="1">_xll.qlIndexFixing(Index,Q59,,InterestRatesTrigger)</f>
        <v>#NAME?</v>
      </c>
    </row>
    <row r="60" spans="16:18" x14ac:dyDescent="0.2">
      <c r="P60" s="391" t="s">
        <v>242</v>
      </c>
      <c r="Q60" s="390" t="e">
        <f ca="1">_xll.qlCalendarAdvance(Calendar,Q59,P60,"f")</f>
        <v>#NAME?</v>
      </c>
      <c r="R60" s="389" t="e">
        <f ca="1">_xll.qlIndexFixing(Index,Q60,,InterestRatesTrigger)</f>
        <v>#NAME?</v>
      </c>
    </row>
    <row r="61" spans="16:18" x14ac:dyDescent="0.2">
      <c r="P61" s="391" t="s">
        <v>242</v>
      </c>
      <c r="Q61" s="390" t="e">
        <f ca="1">_xll.qlCalendarAdvance(Calendar,Q60,P61,"f")</f>
        <v>#NAME?</v>
      </c>
      <c r="R61" s="389" t="e">
        <f ca="1">_xll.qlIndexFixing(Index,Q61,,InterestRatesTrigger)</f>
        <v>#NAME?</v>
      </c>
    </row>
    <row r="62" spans="16:18" x14ac:dyDescent="0.2">
      <c r="P62" s="391" t="s">
        <v>242</v>
      </c>
      <c r="Q62" s="390" t="e">
        <f ca="1">_xll.qlCalendarAdvance(Calendar,Q61,P62,"f")</f>
        <v>#NAME?</v>
      </c>
      <c r="R62" s="389" t="e">
        <f ca="1">_xll.qlIndexFixing(Index,Q62,,InterestRatesTrigger)</f>
        <v>#NAME?</v>
      </c>
    </row>
    <row r="63" spans="16:18" x14ac:dyDescent="0.2">
      <c r="P63" s="391" t="s">
        <v>242</v>
      </c>
      <c r="Q63" s="390" t="e">
        <f ca="1">_xll.qlCalendarAdvance(Calendar,Q62,P63,"f")</f>
        <v>#NAME?</v>
      </c>
      <c r="R63" s="389" t="e">
        <f ca="1">_xll.qlIndexFixing(Index,Q63,,InterestRatesTrigger)</f>
        <v>#NAME?</v>
      </c>
    </row>
    <row r="64" spans="16:18" x14ac:dyDescent="0.2">
      <c r="P64" s="391" t="s">
        <v>242</v>
      </c>
      <c r="Q64" s="390" t="e">
        <f ca="1">_xll.qlCalendarAdvance(Calendar,Q63,P64,"f")</f>
        <v>#NAME?</v>
      </c>
      <c r="R64" s="389" t="e">
        <f ca="1">_xll.qlIndexFixing(Index,Q64,,InterestRatesTrigger)</f>
        <v>#NAME?</v>
      </c>
    </row>
    <row r="65" spans="16:18" x14ac:dyDescent="0.2">
      <c r="P65" s="391" t="s">
        <v>242</v>
      </c>
      <c r="Q65" s="390" t="e">
        <f ca="1">_xll.qlCalendarAdvance(Calendar,Q64,P65,"f")</f>
        <v>#NAME?</v>
      </c>
      <c r="R65" s="389" t="e">
        <f ca="1">_xll.qlIndexFixing(Index,Q65,,InterestRatesTrigger)</f>
        <v>#NAME?</v>
      </c>
    </row>
    <row r="66" spans="16:18" x14ac:dyDescent="0.2">
      <c r="P66" s="391" t="s">
        <v>242</v>
      </c>
      <c r="Q66" s="390" t="e">
        <f ca="1">_xll.qlCalendarAdvance(Calendar,Q65,P66,"f")</f>
        <v>#NAME?</v>
      </c>
      <c r="R66" s="389" t="e">
        <f ca="1">_xll.qlIndexFixing(Index,Q66,,InterestRatesTrigger)</f>
        <v>#NAME?</v>
      </c>
    </row>
    <row r="67" spans="16:18" x14ac:dyDescent="0.2">
      <c r="P67" s="391" t="s">
        <v>242</v>
      </c>
      <c r="Q67" s="390" t="e">
        <f ca="1">_xll.qlCalendarAdvance(Calendar,Q66,P67,"f")</f>
        <v>#NAME?</v>
      </c>
      <c r="R67" s="389" t="e">
        <f ca="1">_xll.qlIndexFixing(Index,Q67,,InterestRatesTrigger)</f>
        <v>#NAME?</v>
      </c>
    </row>
    <row r="68" spans="16:18" x14ac:dyDescent="0.2">
      <c r="P68" s="391" t="s">
        <v>242</v>
      </c>
      <c r="Q68" s="390" t="e">
        <f ca="1">_xll.qlCalendarAdvance(Calendar,Q67,P68,"f")</f>
        <v>#NAME?</v>
      </c>
      <c r="R68" s="389" t="e">
        <f ca="1">_xll.qlIndexFixing(Index,Q68,,InterestRatesTrigger)</f>
        <v>#NAME?</v>
      </c>
    </row>
    <row r="69" spans="16:18" x14ac:dyDescent="0.2">
      <c r="P69" s="391" t="s">
        <v>242</v>
      </c>
      <c r="Q69" s="390" t="e">
        <f ca="1">_xll.qlCalendarAdvance(Calendar,Q68,P69,"f")</f>
        <v>#NAME?</v>
      </c>
      <c r="R69" s="389" t="e">
        <f ca="1">_xll.qlIndexFixing(Index,Q69,,InterestRatesTrigger)</f>
        <v>#NAME?</v>
      </c>
    </row>
    <row r="70" spans="16:18" x14ac:dyDescent="0.2">
      <c r="P70" s="391" t="s">
        <v>242</v>
      </c>
      <c r="Q70" s="390" t="e">
        <f ca="1">_xll.qlCalendarAdvance(Calendar,Q69,P70,"f")</f>
        <v>#NAME?</v>
      </c>
      <c r="R70" s="389" t="e">
        <f ca="1">_xll.qlIndexFixing(Index,Q70,,InterestRatesTrigger)</f>
        <v>#NAME?</v>
      </c>
    </row>
    <row r="71" spans="16:18" x14ac:dyDescent="0.2">
      <c r="P71" s="391" t="s">
        <v>242</v>
      </c>
      <c r="Q71" s="390" t="e">
        <f ca="1">_xll.qlCalendarAdvance(Calendar,Q70,P71,"f")</f>
        <v>#NAME?</v>
      </c>
      <c r="R71" s="389" t="e">
        <f ca="1">_xll.qlIndexFixing(Index,Q71,,InterestRatesTrigger)</f>
        <v>#NAME?</v>
      </c>
    </row>
    <row r="72" spans="16:18" x14ac:dyDescent="0.2">
      <c r="P72" s="391" t="s">
        <v>242</v>
      </c>
      <c r="Q72" s="390" t="e">
        <f ca="1">_xll.qlCalendarAdvance(Calendar,Q71,P72,"f")</f>
        <v>#NAME?</v>
      </c>
      <c r="R72" s="389" t="e">
        <f ca="1">_xll.qlIndexFixing(Index,Q72,,InterestRatesTrigger)</f>
        <v>#NAME?</v>
      </c>
    </row>
    <row r="73" spans="16:18" x14ac:dyDescent="0.2">
      <c r="P73" s="391" t="s">
        <v>242</v>
      </c>
      <c r="Q73" s="390" t="e">
        <f ca="1">_xll.qlCalendarAdvance(Calendar,Q72,P73,"f")</f>
        <v>#NAME?</v>
      </c>
      <c r="R73" s="389" t="e">
        <f ca="1">_xll.qlIndexFixing(Index,Q73,,InterestRatesTrigger)</f>
        <v>#NAME?</v>
      </c>
    </row>
    <row r="74" spans="16:18" x14ac:dyDescent="0.2">
      <c r="P74" s="391" t="s">
        <v>242</v>
      </c>
      <c r="Q74" s="390" t="e">
        <f ca="1">_xll.qlCalendarAdvance(Calendar,Q73,P74,"f")</f>
        <v>#NAME?</v>
      </c>
      <c r="R74" s="389" t="e">
        <f ca="1">_xll.qlIndexFixing(Index,Q74,,InterestRatesTrigger)</f>
        <v>#NAME?</v>
      </c>
    </row>
    <row r="75" spans="16:18" x14ac:dyDescent="0.2">
      <c r="P75" s="391" t="s">
        <v>242</v>
      </c>
      <c r="Q75" s="390" t="e">
        <f ca="1">_xll.qlCalendarAdvance(Calendar,Q74,P75,"f")</f>
        <v>#NAME?</v>
      </c>
      <c r="R75" s="389" t="e">
        <f ca="1">_xll.qlIndexFixing(Index,Q75,,InterestRatesTrigger)</f>
        <v>#NAME?</v>
      </c>
    </row>
    <row r="76" spans="16:18" x14ac:dyDescent="0.2">
      <c r="P76" s="391" t="s">
        <v>242</v>
      </c>
      <c r="Q76" s="390" t="e">
        <f ca="1">_xll.qlCalendarAdvance(Calendar,Q75,P76,"f")</f>
        <v>#NAME?</v>
      </c>
      <c r="R76" s="389" t="e">
        <f ca="1">_xll.qlIndexFixing(Index,Q76,,InterestRatesTrigger)</f>
        <v>#NAME?</v>
      </c>
    </row>
    <row r="77" spans="16:18" x14ac:dyDescent="0.2">
      <c r="P77" s="391" t="s">
        <v>242</v>
      </c>
      <c r="Q77" s="390" t="e">
        <f ca="1">_xll.qlCalendarAdvance(Calendar,Q76,P77,"f")</f>
        <v>#NAME?</v>
      </c>
      <c r="R77" s="389" t="e">
        <f ca="1">_xll.qlIndexFixing(Index,Q77,,InterestRatesTrigger)</f>
        <v>#NAME?</v>
      </c>
    </row>
    <row r="78" spans="16:18" x14ac:dyDescent="0.2">
      <c r="P78" s="391" t="s">
        <v>242</v>
      </c>
      <c r="Q78" s="390" t="e">
        <f ca="1">_xll.qlCalendarAdvance(Calendar,Q77,P78,"f")</f>
        <v>#NAME?</v>
      </c>
      <c r="R78" s="389" t="e">
        <f ca="1">_xll.qlIndexFixing(Index,Q78,,InterestRatesTrigger)</f>
        <v>#NAME?</v>
      </c>
    </row>
    <row r="79" spans="16:18" x14ac:dyDescent="0.2">
      <c r="P79" s="391" t="s">
        <v>242</v>
      </c>
      <c r="Q79" s="390" t="e">
        <f ca="1">_xll.qlCalendarAdvance(Calendar,Q78,P79,"f")</f>
        <v>#NAME?</v>
      </c>
      <c r="R79" s="389" t="e">
        <f ca="1">_xll.qlIndexFixing(Index,Q79,,InterestRatesTrigger)</f>
        <v>#NAME?</v>
      </c>
    </row>
    <row r="80" spans="16:18" x14ac:dyDescent="0.2">
      <c r="P80" s="391" t="s">
        <v>242</v>
      </c>
      <c r="Q80" s="390" t="e">
        <f ca="1">_xll.qlCalendarAdvance(Calendar,Q79,P80,"f")</f>
        <v>#NAME?</v>
      </c>
      <c r="R80" s="389" t="e">
        <f ca="1">_xll.qlIndexFixing(Index,Q80,,InterestRatesTrigger)</f>
        <v>#NAME?</v>
      </c>
    </row>
    <row r="81" spans="16:18" x14ac:dyDescent="0.2">
      <c r="P81" s="391" t="s">
        <v>242</v>
      </c>
      <c r="Q81" s="390" t="e">
        <f ca="1">_xll.qlCalendarAdvance(Calendar,Q80,P81,"f")</f>
        <v>#NAME?</v>
      </c>
      <c r="R81" s="389" t="e">
        <f ca="1">_xll.qlIndexFixing(Index,Q81,,InterestRatesTrigger)</f>
        <v>#NAME?</v>
      </c>
    </row>
    <row r="82" spans="16:18" x14ac:dyDescent="0.2">
      <c r="P82" s="391" t="s">
        <v>242</v>
      </c>
      <c r="Q82" s="390" t="e">
        <f ca="1">_xll.qlCalendarAdvance(Calendar,Q81,P82,"f")</f>
        <v>#NAME?</v>
      </c>
      <c r="R82" s="389" t="e">
        <f ca="1">_xll.qlIndexFixing(Index,Q82,,InterestRatesTrigger)</f>
        <v>#NAME?</v>
      </c>
    </row>
    <row r="83" spans="16:18" x14ac:dyDescent="0.2">
      <c r="P83" s="391" t="s">
        <v>242</v>
      </c>
      <c r="Q83" s="390" t="e">
        <f ca="1">_xll.qlCalendarAdvance(Calendar,Q82,P83,"f")</f>
        <v>#NAME?</v>
      </c>
      <c r="R83" s="389" t="e">
        <f ca="1">_xll.qlIndexFixing(Index,Q83,,InterestRatesTrigger)</f>
        <v>#NAME?</v>
      </c>
    </row>
    <row r="84" spans="16:18" x14ac:dyDescent="0.2">
      <c r="P84" s="391" t="s">
        <v>242</v>
      </c>
      <c r="Q84" s="390" t="e">
        <f ca="1">_xll.qlCalendarAdvance(Calendar,Q83,P84,"f")</f>
        <v>#NAME?</v>
      </c>
      <c r="R84" s="389" t="e">
        <f ca="1">_xll.qlIndexFixing(Index,Q84,,InterestRatesTrigger)</f>
        <v>#NAME?</v>
      </c>
    </row>
    <row r="85" spans="16:18" x14ac:dyDescent="0.2">
      <c r="P85" s="391" t="s">
        <v>242</v>
      </c>
      <c r="Q85" s="390" t="e">
        <f ca="1">_xll.qlCalendarAdvance(Calendar,Q84,P85,"f")</f>
        <v>#NAME?</v>
      </c>
      <c r="R85" s="389" t="e">
        <f ca="1">_xll.qlIndexFixing(Index,Q85,,InterestRatesTrigger)</f>
        <v>#NAME?</v>
      </c>
    </row>
    <row r="86" spans="16:18" x14ac:dyDescent="0.2">
      <c r="P86" s="391" t="s">
        <v>242</v>
      </c>
      <c r="Q86" s="390" t="e">
        <f ca="1">_xll.qlCalendarAdvance(Calendar,Q85,P86,"f")</f>
        <v>#NAME?</v>
      </c>
      <c r="R86" s="389" t="e">
        <f ca="1">_xll.qlIndexFixing(Index,Q86,,InterestRatesTrigger)</f>
        <v>#NAME?</v>
      </c>
    </row>
    <row r="87" spans="16:18" x14ac:dyDescent="0.2">
      <c r="P87" s="391" t="s">
        <v>242</v>
      </c>
      <c r="Q87" s="390" t="e">
        <f ca="1">_xll.qlCalendarAdvance(Calendar,Q86,P87,"f")</f>
        <v>#NAME?</v>
      </c>
      <c r="R87" s="389" t="e">
        <f ca="1">_xll.qlIndexFixing(Index,Q87,,InterestRatesTrigger)</f>
        <v>#NAME?</v>
      </c>
    </row>
    <row r="88" spans="16:18" x14ac:dyDescent="0.2">
      <c r="P88" s="391" t="s">
        <v>242</v>
      </c>
      <c r="Q88" s="390" t="e">
        <f ca="1">_xll.qlCalendarAdvance(Calendar,Q87,P88,"f")</f>
        <v>#NAME?</v>
      </c>
      <c r="R88" s="389" t="e">
        <f ca="1">_xll.qlIndexFixing(Index,Q88,,InterestRatesTrigger)</f>
        <v>#NAME?</v>
      </c>
    </row>
    <row r="89" spans="16:18" x14ac:dyDescent="0.2">
      <c r="P89" s="391" t="s">
        <v>242</v>
      </c>
      <c r="Q89" s="390" t="e">
        <f ca="1">_xll.qlCalendarAdvance(Calendar,Q88,P89,"f")</f>
        <v>#NAME?</v>
      </c>
      <c r="R89" s="389" t="e">
        <f ca="1">_xll.qlIndexFixing(Index,Q89,,InterestRatesTrigger)</f>
        <v>#NAME?</v>
      </c>
    </row>
    <row r="90" spans="16:18" x14ac:dyDescent="0.2">
      <c r="P90" s="391" t="s">
        <v>242</v>
      </c>
      <c r="Q90" s="390" t="e">
        <f ca="1">_xll.qlCalendarAdvance(Calendar,Q89,P90,"f")</f>
        <v>#NAME?</v>
      </c>
      <c r="R90" s="389" t="e">
        <f ca="1">_xll.qlIndexFixing(Index,Q90,,InterestRatesTrigger)</f>
        <v>#NAME?</v>
      </c>
    </row>
    <row r="91" spans="16:18" x14ac:dyDescent="0.2">
      <c r="P91" s="391" t="s">
        <v>242</v>
      </c>
      <c r="Q91" s="390" t="e">
        <f ca="1">_xll.qlCalendarAdvance(Calendar,Q90,P91,"f")</f>
        <v>#NAME?</v>
      </c>
      <c r="R91" s="389" t="e">
        <f ca="1">_xll.qlIndexFixing(Index,Q91,,InterestRatesTrigger)</f>
        <v>#NAME?</v>
      </c>
    </row>
    <row r="92" spans="16:18" x14ac:dyDescent="0.2">
      <c r="P92" s="391" t="s">
        <v>242</v>
      </c>
      <c r="Q92" s="390" t="e">
        <f ca="1">_xll.qlCalendarAdvance(Calendar,Q91,P92,"f")</f>
        <v>#NAME?</v>
      </c>
      <c r="R92" s="389" t="e">
        <f ca="1">_xll.qlIndexFixing(Index,Q92,,InterestRatesTrigger)</f>
        <v>#NAME?</v>
      </c>
    </row>
    <row r="93" spans="16:18" x14ac:dyDescent="0.2">
      <c r="P93" s="391" t="s">
        <v>242</v>
      </c>
      <c r="Q93" s="390" t="e">
        <f ca="1">_xll.qlCalendarAdvance(Calendar,Q92,P93,"f")</f>
        <v>#NAME?</v>
      </c>
      <c r="R93" s="389" t="e">
        <f ca="1">_xll.qlIndexFixing(Index,Q93,,InterestRatesTrigger)</f>
        <v>#NAME?</v>
      </c>
    </row>
    <row r="94" spans="16:18" x14ac:dyDescent="0.2">
      <c r="P94" s="391" t="s">
        <v>242</v>
      </c>
      <c r="Q94" s="390" t="e">
        <f ca="1">_xll.qlCalendarAdvance(Calendar,Q93,P94,"f")</f>
        <v>#NAME?</v>
      </c>
      <c r="R94" s="389" t="e">
        <f ca="1">_xll.qlIndexFixing(Index,Q94,,InterestRatesTrigger)</f>
        <v>#NAME?</v>
      </c>
    </row>
    <row r="95" spans="16:18" x14ac:dyDescent="0.2">
      <c r="P95" s="391" t="s">
        <v>242</v>
      </c>
      <c r="Q95" s="390" t="e">
        <f ca="1">_xll.qlCalendarAdvance(Calendar,Q94,P95,"f")</f>
        <v>#NAME?</v>
      </c>
      <c r="R95" s="389" t="e">
        <f ca="1">_xll.qlIndexFixing(Index,Q95,,InterestRatesTrigger)</f>
        <v>#NAME?</v>
      </c>
    </row>
    <row r="96" spans="16:18" x14ac:dyDescent="0.2">
      <c r="P96" s="391" t="s">
        <v>242</v>
      </c>
      <c r="Q96" s="390" t="e">
        <f ca="1">_xll.qlCalendarAdvance(Calendar,Q95,P96,"f")</f>
        <v>#NAME?</v>
      </c>
      <c r="R96" s="389" t="e">
        <f ca="1">_xll.qlIndexFixing(Index,Q96,,InterestRatesTrigger)</f>
        <v>#NAME?</v>
      </c>
    </row>
    <row r="97" spans="16:18" x14ac:dyDescent="0.2">
      <c r="P97" s="391" t="s">
        <v>242</v>
      </c>
      <c r="Q97" s="390" t="e">
        <f ca="1">_xll.qlCalendarAdvance(Calendar,Q96,P97,"f")</f>
        <v>#NAME?</v>
      </c>
      <c r="R97" s="389" t="e">
        <f ca="1">_xll.qlIndexFixing(Index,Q97,,InterestRatesTrigger)</f>
        <v>#NAME?</v>
      </c>
    </row>
    <row r="98" spans="16:18" x14ac:dyDescent="0.2">
      <c r="P98" s="391" t="s">
        <v>242</v>
      </c>
      <c r="Q98" s="390" t="e">
        <f ca="1">_xll.qlCalendarAdvance(Calendar,Q97,P98,"f")</f>
        <v>#NAME?</v>
      </c>
      <c r="R98" s="389" t="e">
        <f ca="1">_xll.qlIndexFixing(Index,Q98,,InterestRatesTrigger)</f>
        <v>#NAME?</v>
      </c>
    </row>
    <row r="99" spans="16:18" x14ac:dyDescent="0.2">
      <c r="P99" s="391" t="s">
        <v>242</v>
      </c>
      <c r="Q99" s="390" t="e">
        <f ca="1">_xll.qlCalendarAdvance(Calendar,Q98,P99,"f")</f>
        <v>#NAME?</v>
      </c>
      <c r="R99" s="389" t="e">
        <f ca="1">_xll.qlIndexFixing(Index,Q99,,InterestRatesTrigger)</f>
        <v>#NAME?</v>
      </c>
    </row>
    <row r="100" spans="16:18" x14ac:dyDescent="0.2">
      <c r="P100" s="391" t="s">
        <v>242</v>
      </c>
      <c r="Q100" s="390" t="e">
        <f ca="1">_xll.qlCalendarAdvance(Calendar,Q99,P100,"f")</f>
        <v>#NAME?</v>
      </c>
      <c r="R100" s="389" t="e">
        <f ca="1">_xll.qlIndexFixing(Index,Q100,,InterestRatesTrigger)</f>
        <v>#NAME?</v>
      </c>
    </row>
    <row r="101" spans="16:18" x14ac:dyDescent="0.2">
      <c r="P101" s="391" t="s">
        <v>242</v>
      </c>
      <c r="Q101" s="390" t="e">
        <f ca="1">_xll.qlCalendarAdvance(Calendar,Q100,P101,"f")</f>
        <v>#NAME?</v>
      </c>
      <c r="R101" s="389" t="e">
        <f ca="1">_xll.qlIndexFixing(Index,Q101,,InterestRatesTrigger)</f>
        <v>#NAME?</v>
      </c>
    </row>
    <row r="102" spans="16:18" x14ac:dyDescent="0.2">
      <c r="P102" s="391" t="s">
        <v>242</v>
      </c>
      <c r="Q102" s="390" t="e">
        <f ca="1">_xll.qlCalendarAdvance(Calendar,Q101,P102,"f")</f>
        <v>#NAME?</v>
      </c>
      <c r="R102" s="389" t="e">
        <f ca="1">_xll.qlIndexFixing(Index,Q102,,InterestRatesTrigger)</f>
        <v>#NAME?</v>
      </c>
    </row>
    <row r="103" spans="16:18" x14ac:dyDescent="0.2">
      <c r="P103" s="391" t="s">
        <v>242</v>
      </c>
      <c r="Q103" s="390" t="e">
        <f ca="1">_xll.qlCalendarAdvance(Calendar,Q102,P103,"f")</f>
        <v>#NAME?</v>
      </c>
      <c r="R103" s="389" t="e">
        <f ca="1">_xll.qlIndexFixing(Index,Q103,,InterestRatesTrigger)</f>
        <v>#NAME?</v>
      </c>
    </row>
    <row r="104" spans="16:18" x14ac:dyDescent="0.2">
      <c r="P104" s="391" t="s">
        <v>242</v>
      </c>
      <c r="Q104" s="390" t="e">
        <f ca="1">_xll.qlCalendarAdvance(Calendar,Q103,P104,"f")</f>
        <v>#NAME?</v>
      </c>
      <c r="R104" s="389" t="e">
        <f ca="1">_xll.qlIndexFixing(Index,Q104,,InterestRatesTrigger)</f>
        <v>#NAME?</v>
      </c>
    </row>
    <row r="105" spans="16:18" x14ac:dyDescent="0.2">
      <c r="P105" s="391" t="s">
        <v>242</v>
      </c>
      <c r="Q105" s="390" t="e">
        <f ca="1">_xll.qlCalendarAdvance(Calendar,Q104,P105,"f")</f>
        <v>#NAME?</v>
      </c>
      <c r="R105" s="389" t="e">
        <f ca="1">_xll.qlIndexFixing(Index,Q105,,InterestRatesTrigger)</f>
        <v>#NAME?</v>
      </c>
    </row>
    <row r="106" spans="16:18" x14ac:dyDescent="0.2">
      <c r="P106" s="391" t="s">
        <v>242</v>
      </c>
      <c r="Q106" s="390" t="e">
        <f ca="1">_xll.qlCalendarAdvance(Calendar,Q105,P106,"f")</f>
        <v>#NAME?</v>
      </c>
      <c r="R106" s="389" t="e">
        <f ca="1">_xll.qlIndexFixing(Index,Q106,,InterestRatesTrigger)</f>
        <v>#NAME?</v>
      </c>
    </row>
    <row r="107" spans="16:18" x14ac:dyDescent="0.2">
      <c r="P107" s="391" t="s">
        <v>242</v>
      </c>
      <c r="Q107" s="390" t="e">
        <f ca="1">_xll.qlCalendarAdvance(Calendar,Q106,P107,"f")</f>
        <v>#NAME?</v>
      </c>
      <c r="R107" s="389" t="e">
        <f ca="1">_xll.qlIndexFixing(Index,Q107,,InterestRatesTrigger)</f>
        <v>#NAME?</v>
      </c>
    </row>
    <row r="108" spans="16:18" x14ac:dyDescent="0.2">
      <c r="P108" s="391" t="s">
        <v>242</v>
      </c>
      <c r="Q108" s="390" t="e">
        <f ca="1">_xll.qlCalendarAdvance(Calendar,Q107,P108,"f")</f>
        <v>#NAME?</v>
      </c>
      <c r="R108" s="389" t="e">
        <f ca="1">_xll.qlIndexFixing(Index,Q108,,InterestRatesTrigger)</f>
        <v>#NAME?</v>
      </c>
    </row>
    <row r="109" spans="16:18" x14ac:dyDescent="0.2">
      <c r="P109" s="391" t="s">
        <v>242</v>
      </c>
      <c r="Q109" s="390" t="e">
        <f ca="1">_xll.qlCalendarAdvance(Calendar,Q108,P109,"f")</f>
        <v>#NAME?</v>
      </c>
      <c r="R109" s="389" t="e">
        <f ca="1">_xll.qlIndexFixing(Index,Q109,,InterestRatesTrigger)</f>
        <v>#NAME?</v>
      </c>
    </row>
    <row r="110" spans="16:18" x14ac:dyDescent="0.2">
      <c r="P110" s="391" t="s">
        <v>242</v>
      </c>
      <c r="Q110" s="390" t="e">
        <f ca="1">_xll.qlCalendarAdvance(Calendar,Q109,P110,"f")</f>
        <v>#NAME?</v>
      </c>
      <c r="R110" s="389" t="e">
        <f ca="1">_xll.qlIndexFixing(Index,Q110,,InterestRatesTrigger)</f>
        <v>#NAME?</v>
      </c>
    </row>
    <row r="111" spans="16:18" x14ac:dyDescent="0.2">
      <c r="P111" s="391" t="s">
        <v>242</v>
      </c>
      <c r="Q111" s="390" t="e">
        <f ca="1">_xll.qlCalendarAdvance(Calendar,Q110,P111,"f")</f>
        <v>#NAME?</v>
      </c>
      <c r="R111" s="389" t="e">
        <f ca="1">_xll.qlIndexFixing(Index,Q111,,InterestRatesTrigger)</f>
        <v>#NAME?</v>
      </c>
    </row>
    <row r="112" spans="16:18" x14ac:dyDescent="0.2">
      <c r="P112" s="391" t="s">
        <v>242</v>
      </c>
      <c r="Q112" s="390" t="e">
        <f ca="1">_xll.qlCalendarAdvance(Calendar,Q111,P112,"f")</f>
        <v>#NAME?</v>
      </c>
      <c r="R112" s="389" t="e">
        <f ca="1">_xll.qlIndexFixing(Index,Q112,,InterestRatesTrigger)</f>
        <v>#NAME?</v>
      </c>
    </row>
    <row r="113" spans="16:18" x14ac:dyDescent="0.2">
      <c r="P113" s="391" t="s">
        <v>242</v>
      </c>
      <c r="Q113" s="390" t="e">
        <f ca="1">_xll.qlCalendarAdvance(Calendar,Q112,P113,"f")</f>
        <v>#NAME?</v>
      </c>
      <c r="R113" s="389" t="e">
        <f ca="1">_xll.qlIndexFixing(Index,Q113,,InterestRatesTrigger)</f>
        <v>#NAME?</v>
      </c>
    </row>
    <row r="114" spans="16:18" x14ac:dyDescent="0.2">
      <c r="P114" s="391" t="s">
        <v>242</v>
      </c>
      <c r="Q114" s="390" t="e">
        <f ca="1">_xll.qlCalendarAdvance(Calendar,Q113,P114,"f")</f>
        <v>#NAME?</v>
      </c>
      <c r="R114" s="389" t="e">
        <f ca="1">_xll.qlIndexFixing(Index,Q114,,InterestRatesTrigger)</f>
        <v>#NAME?</v>
      </c>
    </row>
    <row r="115" spans="16:18" x14ac:dyDescent="0.2">
      <c r="P115" s="391" t="s">
        <v>242</v>
      </c>
      <c r="Q115" s="390" t="e">
        <f ca="1">_xll.qlCalendarAdvance(Calendar,Q114,P115,"f")</f>
        <v>#NAME?</v>
      </c>
      <c r="R115" s="389" t="e">
        <f ca="1">_xll.qlIndexFixing(Index,Q115,,InterestRatesTrigger)</f>
        <v>#NAME?</v>
      </c>
    </row>
    <row r="116" spans="16:18" x14ac:dyDescent="0.2">
      <c r="P116" s="391" t="s">
        <v>242</v>
      </c>
      <c r="Q116" s="390" t="e">
        <f ca="1">_xll.qlCalendarAdvance(Calendar,Q115,P116,"f")</f>
        <v>#NAME?</v>
      </c>
      <c r="R116" s="389" t="e">
        <f ca="1">_xll.qlIndexFixing(Index,Q116,,InterestRatesTrigger)</f>
        <v>#NAME?</v>
      </c>
    </row>
    <row r="117" spans="16:18" x14ac:dyDescent="0.2">
      <c r="P117" s="391" t="s">
        <v>242</v>
      </c>
      <c r="Q117" s="390" t="e">
        <f ca="1">_xll.qlCalendarAdvance(Calendar,Q116,P117,"f")</f>
        <v>#NAME?</v>
      </c>
      <c r="R117" s="389" t="e">
        <f ca="1">_xll.qlIndexFixing(Index,Q117,,InterestRatesTrigger)</f>
        <v>#NAME?</v>
      </c>
    </row>
    <row r="118" spans="16:18" x14ac:dyDescent="0.2">
      <c r="P118" s="391" t="s">
        <v>242</v>
      </c>
      <c r="Q118" s="390" t="e">
        <f ca="1">_xll.qlCalendarAdvance(Calendar,Q117,P118,"f")</f>
        <v>#NAME?</v>
      </c>
      <c r="R118" s="389" t="e">
        <f ca="1">_xll.qlIndexFixing(Index,Q118,,InterestRatesTrigger)</f>
        <v>#NAME?</v>
      </c>
    </row>
    <row r="119" spans="16:18" x14ac:dyDescent="0.2">
      <c r="P119" s="391" t="s">
        <v>242</v>
      </c>
      <c r="Q119" s="390" t="e">
        <f ca="1">_xll.qlCalendarAdvance(Calendar,Q118,P119,"f")</f>
        <v>#NAME?</v>
      </c>
      <c r="R119" s="389" t="e">
        <f ca="1">_xll.qlIndexFixing(Index,Q119,,InterestRatesTrigger)</f>
        <v>#NAME?</v>
      </c>
    </row>
    <row r="120" spans="16:18" x14ac:dyDescent="0.2">
      <c r="P120" s="391" t="s">
        <v>242</v>
      </c>
      <c r="Q120" s="390" t="e">
        <f ca="1">_xll.qlCalendarAdvance(Calendar,Q119,P120,"f")</f>
        <v>#NAME?</v>
      </c>
      <c r="R120" s="389" t="e">
        <f ca="1">_xll.qlIndexFixing(Index,Q120,,InterestRatesTrigger)</f>
        <v>#NAME?</v>
      </c>
    </row>
    <row r="121" spans="16:18" x14ac:dyDescent="0.2">
      <c r="P121" s="391" t="s">
        <v>242</v>
      </c>
      <c r="Q121" s="390" t="e">
        <f ca="1">_xll.qlCalendarAdvance(Calendar,Q120,P121,"f")</f>
        <v>#NAME?</v>
      </c>
      <c r="R121" s="389" t="e">
        <f ca="1">_xll.qlIndexFixing(Index,Q121,,InterestRatesTrigger)</f>
        <v>#NAME?</v>
      </c>
    </row>
    <row r="122" spans="16:18" x14ac:dyDescent="0.2">
      <c r="P122" s="391" t="s">
        <v>242</v>
      </c>
      <c r="Q122" s="390" t="e">
        <f ca="1">_xll.qlCalendarAdvance(Calendar,Q121,P122,"f")</f>
        <v>#NAME?</v>
      </c>
      <c r="R122" s="389" t="e">
        <f ca="1">_xll.qlIndexFixing(Index,Q122,,InterestRatesTrigger)</f>
        <v>#NAME?</v>
      </c>
    </row>
    <row r="123" spans="16:18" x14ac:dyDescent="0.2">
      <c r="P123" s="391" t="s">
        <v>242</v>
      </c>
      <c r="Q123" s="390" t="e">
        <f ca="1">_xll.qlCalendarAdvance(Calendar,Q122,P123,"f")</f>
        <v>#NAME?</v>
      </c>
      <c r="R123" s="389" t="e">
        <f ca="1">_xll.qlIndexFixing(Index,Q123,,InterestRatesTrigger)</f>
        <v>#NAME?</v>
      </c>
    </row>
    <row r="124" spans="16:18" x14ac:dyDescent="0.2">
      <c r="P124" s="391" t="s">
        <v>242</v>
      </c>
      <c r="Q124" s="390" t="e">
        <f ca="1">_xll.qlCalendarAdvance(Calendar,Q123,P124,"f")</f>
        <v>#NAME?</v>
      </c>
      <c r="R124" s="389" t="e">
        <f ca="1">_xll.qlIndexFixing(Index,Q124,,InterestRatesTrigger)</f>
        <v>#NAME?</v>
      </c>
    </row>
    <row r="125" spans="16:18" x14ac:dyDescent="0.2">
      <c r="P125" s="391" t="s">
        <v>242</v>
      </c>
      <c r="Q125" s="390" t="e">
        <f ca="1">_xll.qlCalendarAdvance(Calendar,Q124,P125,"f")</f>
        <v>#NAME?</v>
      </c>
      <c r="R125" s="389" t="e">
        <f ca="1">_xll.qlIndexFixing(Index,Q125,,InterestRatesTrigger)</f>
        <v>#NAME?</v>
      </c>
    </row>
    <row r="126" spans="16:18" x14ac:dyDescent="0.2">
      <c r="P126" s="391" t="s">
        <v>242</v>
      </c>
      <c r="Q126" s="390" t="e">
        <f ca="1">_xll.qlCalendarAdvance(Calendar,Q125,P126,"f")</f>
        <v>#NAME?</v>
      </c>
      <c r="R126" s="389" t="e">
        <f ca="1">_xll.qlIndexFixing(Index,Q126,,InterestRatesTrigger)</f>
        <v>#NAME?</v>
      </c>
    </row>
    <row r="127" spans="16:18" x14ac:dyDescent="0.2">
      <c r="P127" s="391" t="s">
        <v>242</v>
      </c>
      <c r="Q127" s="390" t="e">
        <f ca="1">_xll.qlCalendarAdvance(Calendar,Q126,P127,"f")</f>
        <v>#NAME?</v>
      </c>
      <c r="R127" s="389" t="e">
        <f ca="1">_xll.qlIndexFixing(Index,Q127,,InterestRatesTrigger)</f>
        <v>#NAME?</v>
      </c>
    </row>
    <row r="128" spans="16:18" x14ac:dyDescent="0.2">
      <c r="P128" s="391" t="s">
        <v>242</v>
      </c>
      <c r="Q128" s="390" t="e">
        <f ca="1">_xll.qlCalendarAdvance(Calendar,Q127,P128,"f")</f>
        <v>#NAME?</v>
      </c>
      <c r="R128" s="389" t="e">
        <f ca="1">_xll.qlIndexFixing(Index,Q128,,InterestRatesTrigger)</f>
        <v>#NAME?</v>
      </c>
    </row>
    <row r="129" spans="16:18" x14ac:dyDescent="0.2">
      <c r="P129" s="391" t="s">
        <v>242</v>
      </c>
      <c r="Q129" s="390" t="e">
        <f ca="1">_xll.qlCalendarAdvance(Calendar,Q128,P129,"f")</f>
        <v>#NAME?</v>
      </c>
      <c r="R129" s="389" t="e">
        <f ca="1">_xll.qlIndexFixing(Index,Q129,,InterestRatesTrigger)</f>
        <v>#NAME?</v>
      </c>
    </row>
    <row r="130" spans="16:18" x14ac:dyDescent="0.2">
      <c r="P130" s="391" t="s">
        <v>242</v>
      </c>
      <c r="Q130" s="390" t="e">
        <f ca="1">_xll.qlCalendarAdvance(Calendar,Q129,P130,"f")</f>
        <v>#NAME?</v>
      </c>
      <c r="R130" s="389" t="e">
        <f ca="1">_xll.qlIndexFixing(Index,Q130,,InterestRatesTrigger)</f>
        <v>#NAME?</v>
      </c>
    </row>
    <row r="131" spans="16:18" x14ac:dyDescent="0.2">
      <c r="P131" s="391" t="s">
        <v>242</v>
      </c>
      <c r="Q131" s="390" t="e">
        <f ca="1">_xll.qlCalendarAdvance(Calendar,Q130,P131,"f")</f>
        <v>#NAME?</v>
      </c>
      <c r="R131" s="389" t="e">
        <f ca="1">_xll.qlIndexFixing(Index,Q131,,InterestRatesTrigger)</f>
        <v>#NAME?</v>
      </c>
    </row>
    <row r="132" spans="16:18" x14ac:dyDescent="0.2">
      <c r="P132" s="391" t="s">
        <v>242</v>
      </c>
      <c r="Q132" s="390" t="e">
        <f ca="1">_xll.qlCalendarAdvance(Calendar,Q131,P132,"f")</f>
        <v>#NAME?</v>
      </c>
      <c r="R132" s="389" t="e">
        <f ca="1">_xll.qlIndexFixing(Index,Q132,,InterestRatesTrigger)</f>
        <v>#NAME?</v>
      </c>
    </row>
    <row r="133" spans="16:18" x14ac:dyDescent="0.2">
      <c r="P133" s="391" t="s">
        <v>242</v>
      </c>
      <c r="Q133" s="390" t="e">
        <f ca="1">_xll.qlCalendarAdvance(Calendar,Q132,P133,"f")</f>
        <v>#NAME?</v>
      </c>
      <c r="R133" s="389" t="e">
        <f ca="1">_xll.qlIndexFixing(Index,Q133,,InterestRatesTrigger)</f>
        <v>#NAME?</v>
      </c>
    </row>
    <row r="134" spans="16:18" x14ac:dyDescent="0.2">
      <c r="P134" s="391" t="s">
        <v>242</v>
      </c>
      <c r="Q134" s="390" t="e">
        <f ca="1">_xll.qlCalendarAdvance(Calendar,Q133,P134,"f")</f>
        <v>#NAME?</v>
      </c>
      <c r="R134" s="389" t="e">
        <f ca="1">_xll.qlIndexFixing(Index,Q134,,InterestRatesTrigger)</f>
        <v>#NAME?</v>
      </c>
    </row>
    <row r="135" spans="16:18" x14ac:dyDescent="0.2">
      <c r="P135" s="391" t="s">
        <v>242</v>
      </c>
      <c r="Q135" s="390" t="e">
        <f ca="1">_xll.qlCalendarAdvance(Calendar,Q134,P135,"f")</f>
        <v>#NAME?</v>
      </c>
      <c r="R135" s="389" t="e">
        <f ca="1">_xll.qlIndexFixing(Index,Q135,,InterestRatesTrigger)</f>
        <v>#NAME?</v>
      </c>
    </row>
    <row r="136" spans="16:18" x14ac:dyDescent="0.2">
      <c r="P136" s="391" t="s">
        <v>242</v>
      </c>
      <c r="Q136" s="390" t="e">
        <f ca="1">_xll.qlCalendarAdvance(Calendar,Q135,P136,"f")</f>
        <v>#NAME?</v>
      </c>
      <c r="R136" s="389" t="e">
        <f ca="1">_xll.qlIndexFixing(Index,Q136,,InterestRatesTrigger)</f>
        <v>#NAME?</v>
      </c>
    </row>
    <row r="137" spans="16:18" x14ac:dyDescent="0.2">
      <c r="P137" s="391" t="s">
        <v>242</v>
      </c>
      <c r="Q137" s="390" t="e">
        <f ca="1">_xll.qlCalendarAdvance(Calendar,Q136,P137,"f")</f>
        <v>#NAME?</v>
      </c>
      <c r="R137" s="389" t="e">
        <f ca="1">_xll.qlIndexFixing(Index,Q137,,InterestRatesTrigger)</f>
        <v>#NAME?</v>
      </c>
    </row>
    <row r="138" spans="16:18" x14ac:dyDescent="0.2">
      <c r="P138" s="391" t="s">
        <v>242</v>
      </c>
      <c r="Q138" s="390" t="e">
        <f ca="1">_xll.qlCalendarAdvance(Calendar,Q137,P138,"f")</f>
        <v>#NAME?</v>
      </c>
      <c r="R138" s="389" t="e">
        <f ca="1">_xll.qlIndexFixing(Index,Q138,,InterestRatesTrigger)</f>
        <v>#NAME?</v>
      </c>
    </row>
    <row r="139" spans="16:18" x14ac:dyDescent="0.2">
      <c r="P139" s="391" t="s">
        <v>242</v>
      </c>
      <c r="Q139" s="390" t="e">
        <f ca="1">_xll.qlCalendarAdvance(Calendar,Q138,P139,"f")</f>
        <v>#NAME?</v>
      </c>
      <c r="R139" s="389" t="e">
        <f ca="1">_xll.qlIndexFixing(Index,Q139,,InterestRatesTrigger)</f>
        <v>#NAME?</v>
      </c>
    </row>
    <row r="140" spans="16:18" x14ac:dyDescent="0.2">
      <c r="P140" s="391" t="s">
        <v>242</v>
      </c>
      <c r="Q140" s="390" t="e">
        <f ca="1">_xll.qlCalendarAdvance(Calendar,Q139,P140,"f")</f>
        <v>#NAME?</v>
      </c>
      <c r="R140" s="389" t="e">
        <f ca="1">_xll.qlIndexFixing(Index,Q140,,InterestRatesTrigger)</f>
        <v>#NAME?</v>
      </c>
    </row>
    <row r="141" spans="16:18" x14ac:dyDescent="0.2">
      <c r="P141" s="391" t="s">
        <v>242</v>
      </c>
      <c r="Q141" s="390" t="e">
        <f ca="1">_xll.qlCalendarAdvance(Calendar,Q140,P141,"f")</f>
        <v>#NAME?</v>
      </c>
      <c r="R141" s="389" t="e">
        <f ca="1">_xll.qlIndexFixing(Index,Q141,,InterestRatesTrigger)</f>
        <v>#NAME?</v>
      </c>
    </row>
    <row r="142" spans="16:18" x14ac:dyDescent="0.2">
      <c r="P142" s="391" t="s">
        <v>242</v>
      </c>
      <c r="Q142" s="390" t="e">
        <f ca="1">_xll.qlCalendarAdvance(Calendar,Q141,P142,"f")</f>
        <v>#NAME?</v>
      </c>
      <c r="R142" s="389" t="e">
        <f ca="1">_xll.qlIndexFixing(Index,Q142,,InterestRatesTrigger)</f>
        <v>#NAME?</v>
      </c>
    </row>
    <row r="143" spans="16:18" x14ac:dyDescent="0.2">
      <c r="P143" s="391" t="s">
        <v>242</v>
      </c>
      <c r="Q143" s="390" t="e">
        <f ca="1">_xll.qlCalendarAdvance(Calendar,Q142,P143,"f")</f>
        <v>#NAME?</v>
      </c>
      <c r="R143" s="389" t="e">
        <f ca="1">_xll.qlIndexFixing(Index,Q143,,InterestRatesTrigger)</f>
        <v>#NAME?</v>
      </c>
    </row>
    <row r="144" spans="16:18" x14ac:dyDescent="0.2">
      <c r="P144" s="391" t="s">
        <v>242</v>
      </c>
      <c r="Q144" s="390" t="e">
        <f ca="1">_xll.qlCalendarAdvance(Calendar,Q143,P144,"f")</f>
        <v>#NAME?</v>
      </c>
      <c r="R144" s="389" t="e">
        <f ca="1">_xll.qlIndexFixing(Index,Q144,,InterestRatesTrigger)</f>
        <v>#NAME?</v>
      </c>
    </row>
    <row r="145" spans="16:18" x14ac:dyDescent="0.2">
      <c r="P145" s="391" t="s">
        <v>242</v>
      </c>
      <c r="Q145" s="390" t="e">
        <f ca="1">_xll.qlCalendarAdvance(Calendar,Q144,P145,"f")</f>
        <v>#NAME?</v>
      </c>
      <c r="R145" s="389" t="e">
        <f ca="1">_xll.qlIndexFixing(Index,Q145,,InterestRatesTrigger)</f>
        <v>#NAME?</v>
      </c>
    </row>
    <row r="146" spans="16:18" x14ac:dyDescent="0.2">
      <c r="P146" s="391" t="s">
        <v>242</v>
      </c>
      <c r="Q146" s="390" t="e">
        <f ca="1">_xll.qlCalendarAdvance(Calendar,Q145,P146,"f")</f>
        <v>#NAME?</v>
      </c>
      <c r="R146" s="389" t="e">
        <f ca="1">_xll.qlIndexFixing(Index,Q146,,InterestRatesTrigger)</f>
        <v>#NAME?</v>
      </c>
    </row>
    <row r="147" spans="16:18" x14ac:dyDescent="0.2">
      <c r="P147" s="391" t="s">
        <v>242</v>
      </c>
      <c r="Q147" s="390" t="e">
        <f ca="1">_xll.qlCalendarAdvance(Calendar,Q146,P147,"f")</f>
        <v>#NAME?</v>
      </c>
      <c r="R147" s="389" t="e">
        <f ca="1">_xll.qlIndexFixing(Index,Q147,,InterestRatesTrigger)</f>
        <v>#NAME?</v>
      </c>
    </row>
    <row r="148" spans="16:18" x14ac:dyDescent="0.2">
      <c r="P148" s="391" t="s">
        <v>242</v>
      </c>
      <c r="Q148" s="390" t="e">
        <f ca="1">_xll.qlCalendarAdvance(Calendar,Q147,P148,"f")</f>
        <v>#NAME?</v>
      </c>
      <c r="R148" s="389" t="e">
        <f ca="1">_xll.qlIndexFixing(Index,Q148,,InterestRatesTrigger)</f>
        <v>#NAME?</v>
      </c>
    </row>
    <row r="149" spans="16:18" x14ac:dyDescent="0.2">
      <c r="P149" s="391" t="s">
        <v>242</v>
      </c>
      <c r="Q149" s="390" t="e">
        <f ca="1">_xll.qlCalendarAdvance(Calendar,Q148,P149,"f")</f>
        <v>#NAME?</v>
      </c>
      <c r="R149" s="389" t="e">
        <f ca="1">_xll.qlIndexFixing(Index,Q149,,InterestRatesTrigger)</f>
        <v>#NAME?</v>
      </c>
    </row>
    <row r="150" spans="16:18" x14ac:dyDescent="0.2">
      <c r="P150" s="391" t="s">
        <v>242</v>
      </c>
      <c r="Q150" s="390" t="e">
        <f ca="1">_xll.qlCalendarAdvance(Calendar,Q149,P150,"f")</f>
        <v>#NAME?</v>
      </c>
      <c r="R150" s="389" t="e">
        <f ca="1">_xll.qlIndexFixing(Index,Q150,,InterestRatesTrigger)</f>
        <v>#NAME?</v>
      </c>
    </row>
    <row r="151" spans="16:18" x14ac:dyDescent="0.2">
      <c r="P151" s="391" t="s">
        <v>242</v>
      </c>
      <c r="Q151" s="390" t="e">
        <f ca="1">_xll.qlCalendarAdvance(Calendar,Q150,P151,"f")</f>
        <v>#NAME?</v>
      </c>
      <c r="R151" s="389" t="e">
        <f ca="1">_xll.qlIndexFixing(Index,Q151,,InterestRatesTrigger)</f>
        <v>#NAME?</v>
      </c>
    </row>
    <row r="152" spans="16:18" x14ac:dyDescent="0.2">
      <c r="P152" s="391" t="s">
        <v>242</v>
      </c>
      <c r="Q152" s="390" t="e">
        <f ca="1">_xll.qlCalendarAdvance(Calendar,Q151,P152,"f")</f>
        <v>#NAME?</v>
      </c>
      <c r="R152" s="389" t="e">
        <f ca="1">_xll.qlIndexFixing(Index,Q152,,InterestRatesTrigger)</f>
        <v>#NAME?</v>
      </c>
    </row>
    <row r="153" spans="16:18" x14ac:dyDescent="0.2">
      <c r="P153" s="391" t="s">
        <v>242</v>
      </c>
      <c r="Q153" s="390" t="e">
        <f ca="1">_xll.qlCalendarAdvance(Calendar,Q152,P153,"f")</f>
        <v>#NAME?</v>
      </c>
      <c r="R153" s="389" t="e">
        <f ca="1">_xll.qlIndexFixing(Index,Q153,,InterestRatesTrigger)</f>
        <v>#NAME?</v>
      </c>
    </row>
    <row r="154" spans="16:18" x14ac:dyDescent="0.2">
      <c r="P154" s="391" t="s">
        <v>242</v>
      </c>
      <c r="Q154" s="390" t="e">
        <f ca="1">_xll.qlCalendarAdvance(Calendar,Q153,P154,"f")</f>
        <v>#NAME?</v>
      </c>
      <c r="R154" s="389" t="e">
        <f ca="1">_xll.qlIndexFixing(Index,Q154,,InterestRatesTrigger)</f>
        <v>#NAME?</v>
      </c>
    </row>
    <row r="155" spans="16:18" x14ac:dyDescent="0.2">
      <c r="P155" s="391" t="s">
        <v>242</v>
      </c>
      <c r="Q155" s="390" t="e">
        <f ca="1">_xll.qlCalendarAdvance(Calendar,Q154,P155,"f")</f>
        <v>#NAME?</v>
      </c>
      <c r="R155" s="389" t="e">
        <f ca="1">_xll.qlIndexFixing(Index,Q155,,InterestRatesTrigger)</f>
        <v>#NAME?</v>
      </c>
    </row>
    <row r="156" spans="16:18" x14ac:dyDescent="0.2">
      <c r="P156" s="391" t="s">
        <v>242</v>
      </c>
      <c r="Q156" s="390" t="e">
        <f ca="1">_xll.qlCalendarAdvance(Calendar,Q155,P156,"f")</f>
        <v>#NAME?</v>
      </c>
      <c r="R156" s="389" t="e">
        <f ca="1">_xll.qlIndexFixing(Index,Q156,,InterestRatesTrigger)</f>
        <v>#NAME?</v>
      </c>
    </row>
    <row r="157" spans="16:18" x14ac:dyDescent="0.2">
      <c r="P157" s="391" t="s">
        <v>242</v>
      </c>
      <c r="Q157" s="390" t="e">
        <f ca="1">_xll.qlCalendarAdvance(Calendar,Q156,P157,"f")</f>
        <v>#NAME?</v>
      </c>
      <c r="R157" s="389" t="e">
        <f ca="1">_xll.qlIndexFixing(Index,Q157,,InterestRatesTrigger)</f>
        <v>#NAME?</v>
      </c>
    </row>
    <row r="158" spans="16:18" x14ac:dyDescent="0.2">
      <c r="P158" s="391" t="s">
        <v>242</v>
      </c>
      <c r="Q158" s="390" t="e">
        <f ca="1">_xll.qlCalendarAdvance(Calendar,Q157,P158,"f")</f>
        <v>#NAME?</v>
      </c>
      <c r="R158" s="389" t="e">
        <f ca="1">_xll.qlIndexFixing(Index,Q158,,InterestRatesTrigger)</f>
        <v>#NAME?</v>
      </c>
    </row>
    <row r="159" spans="16:18" x14ac:dyDescent="0.2">
      <c r="P159" s="391" t="s">
        <v>242</v>
      </c>
      <c r="Q159" s="390" t="e">
        <f ca="1">_xll.qlCalendarAdvance(Calendar,Q158,P159,"f")</f>
        <v>#NAME?</v>
      </c>
      <c r="R159" s="389" t="e">
        <f ca="1">_xll.qlIndexFixing(Index,Q159,,InterestRatesTrigger)</f>
        <v>#NAME?</v>
      </c>
    </row>
    <row r="160" spans="16:18" x14ac:dyDescent="0.2">
      <c r="P160" s="391" t="s">
        <v>242</v>
      </c>
      <c r="Q160" s="390" t="e">
        <f ca="1">_xll.qlCalendarAdvance(Calendar,Q159,P160,"f")</f>
        <v>#NAME?</v>
      </c>
      <c r="R160" s="389" t="e">
        <f ca="1">_xll.qlIndexFixing(Index,Q160,,InterestRatesTrigger)</f>
        <v>#NAME?</v>
      </c>
    </row>
    <row r="161" spans="16:18" x14ac:dyDescent="0.2">
      <c r="P161" s="391" t="s">
        <v>242</v>
      </c>
      <c r="Q161" s="390" t="e">
        <f ca="1">_xll.qlCalendarAdvance(Calendar,Q160,P161,"f")</f>
        <v>#NAME?</v>
      </c>
      <c r="R161" s="389" t="e">
        <f ca="1">_xll.qlIndexFixing(Index,Q161,,InterestRatesTrigger)</f>
        <v>#NAME?</v>
      </c>
    </row>
    <row r="162" spans="16:18" x14ac:dyDescent="0.2">
      <c r="P162" s="391" t="s">
        <v>242</v>
      </c>
      <c r="Q162" s="390" t="e">
        <f ca="1">_xll.qlCalendarAdvance(Calendar,Q161,P162,"f")</f>
        <v>#NAME?</v>
      </c>
      <c r="R162" s="389" t="e">
        <f ca="1">_xll.qlIndexFixing(Index,Q162,,InterestRatesTrigger)</f>
        <v>#NAME?</v>
      </c>
    </row>
    <row r="163" spans="16:18" x14ac:dyDescent="0.2">
      <c r="P163" s="391" t="s">
        <v>242</v>
      </c>
      <c r="Q163" s="390" t="e">
        <f ca="1">_xll.qlCalendarAdvance(Calendar,Q162,P163,"f")</f>
        <v>#NAME?</v>
      </c>
      <c r="R163" s="389" t="e">
        <f ca="1">_xll.qlIndexFixing(Index,Q163,,InterestRatesTrigger)</f>
        <v>#NAME?</v>
      </c>
    </row>
    <row r="164" spans="16:18" x14ac:dyDescent="0.2">
      <c r="P164" s="391" t="s">
        <v>242</v>
      </c>
      <c r="Q164" s="390" t="e">
        <f ca="1">_xll.qlCalendarAdvance(Calendar,Q163,P164,"f")</f>
        <v>#NAME?</v>
      </c>
      <c r="R164" s="389" t="e">
        <f ca="1">_xll.qlIndexFixing(Index,Q164,,InterestRatesTrigger)</f>
        <v>#NAME?</v>
      </c>
    </row>
    <row r="165" spans="16:18" x14ac:dyDescent="0.2">
      <c r="P165" s="391" t="s">
        <v>242</v>
      </c>
      <c r="Q165" s="390" t="e">
        <f ca="1">_xll.qlCalendarAdvance(Calendar,Q164,P165,"f")</f>
        <v>#NAME?</v>
      </c>
      <c r="R165" s="389" t="e">
        <f ca="1">_xll.qlIndexFixing(Index,Q165,,InterestRatesTrigger)</f>
        <v>#NAME?</v>
      </c>
    </row>
    <row r="166" spans="16:18" x14ac:dyDescent="0.2">
      <c r="P166" s="391" t="s">
        <v>242</v>
      </c>
      <c r="Q166" s="390" t="e">
        <f ca="1">_xll.qlCalendarAdvance(Calendar,Q165,P166,"f")</f>
        <v>#NAME?</v>
      </c>
      <c r="R166" s="389" t="e">
        <f ca="1">_xll.qlIndexFixing(Index,Q166,,InterestRatesTrigger)</f>
        <v>#NAME?</v>
      </c>
    </row>
    <row r="167" spans="16:18" x14ac:dyDescent="0.2">
      <c r="P167" s="391" t="s">
        <v>242</v>
      </c>
      <c r="Q167" s="390" t="e">
        <f ca="1">_xll.qlCalendarAdvance(Calendar,Q166,P167,"f")</f>
        <v>#NAME?</v>
      </c>
      <c r="R167" s="389" t="e">
        <f ca="1">_xll.qlIndexFixing(Index,Q167,,InterestRatesTrigger)</f>
        <v>#NAME?</v>
      </c>
    </row>
    <row r="168" spans="16:18" x14ac:dyDescent="0.2">
      <c r="P168" s="391" t="s">
        <v>242</v>
      </c>
      <c r="Q168" s="390" t="e">
        <f ca="1">_xll.qlCalendarAdvance(Calendar,Q167,P168,"f")</f>
        <v>#NAME?</v>
      </c>
      <c r="R168" s="389" t="e">
        <f ca="1">_xll.qlIndexFixing(Index,Q168,,InterestRatesTrigger)</f>
        <v>#NAME?</v>
      </c>
    </row>
    <row r="169" spans="16:18" x14ac:dyDescent="0.2">
      <c r="P169" s="391" t="s">
        <v>242</v>
      </c>
      <c r="Q169" s="390" t="e">
        <f ca="1">_xll.qlCalendarAdvance(Calendar,Q168,P169,"f")</f>
        <v>#NAME?</v>
      </c>
      <c r="R169" s="389" t="e">
        <f ca="1">_xll.qlIndexFixing(Index,Q169,,InterestRatesTrigger)</f>
        <v>#NAME?</v>
      </c>
    </row>
    <row r="170" spans="16:18" x14ac:dyDescent="0.2">
      <c r="P170" s="391" t="s">
        <v>242</v>
      </c>
      <c r="Q170" s="390" t="e">
        <f ca="1">_xll.qlCalendarAdvance(Calendar,Q169,P170,"f")</f>
        <v>#NAME?</v>
      </c>
      <c r="R170" s="389" t="e">
        <f ca="1">_xll.qlIndexFixing(Index,Q170,,InterestRatesTrigger)</f>
        <v>#NAME?</v>
      </c>
    </row>
    <row r="171" spans="16:18" x14ac:dyDescent="0.2">
      <c r="P171" s="391" t="s">
        <v>242</v>
      </c>
      <c r="Q171" s="390" t="e">
        <f ca="1">_xll.qlCalendarAdvance(Calendar,Q170,P171,"f")</f>
        <v>#NAME?</v>
      </c>
      <c r="R171" s="389" t="e">
        <f ca="1">_xll.qlIndexFixing(Index,Q171,,InterestRatesTrigger)</f>
        <v>#NAME?</v>
      </c>
    </row>
    <row r="172" spans="16:18" x14ac:dyDescent="0.2">
      <c r="P172" s="391" t="s">
        <v>242</v>
      </c>
      <c r="Q172" s="390" t="e">
        <f ca="1">_xll.qlCalendarAdvance(Calendar,Q171,P172,"f")</f>
        <v>#NAME?</v>
      </c>
      <c r="R172" s="389" t="e">
        <f ca="1">_xll.qlIndexFixing(Index,Q172,,InterestRatesTrigger)</f>
        <v>#NAME?</v>
      </c>
    </row>
    <row r="173" spans="16:18" x14ac:dyDescent="0.2">
      <c r="P173" s="391" t="s">
        <v>242</v>
      </c>
      <c r="Q173" s="390" t="e">
        <f ca="1">_xll.qlCalendarAdvance(Calendar,Q172,P173,"f")</f>
        <v>#NAME?</v>
      </c>
      <c r="R173" s="389" t="e">
        <f ca="1">_xll.qlIndexFixing(Index,Q173,,InterestRatesTrigger)</f>
        <v>#NAME?</v>
      </c>
    </row>
    <row r="174" spans="16:18" x14ac:dyDescent="0.2">
      <c r="P174" s="391" t="s">
        <v>242</v>
      </c>
      <c r="Q174" s="390" t="e">
        <f ca="1">_xll.qlCalendarAdvance(Calendar,Q173,P174,"f")</f>
        <v>#NAME?</v>
      </c>
      <c r="R174" s="389" t="e">
        <f ca="1">_xll.qlIndexFixing(Index,Q174,,InterestRatesTrigger)</f>
        <v>#NAME?</v>
      </c>
    </row>
    <row r="175" spans="16:18" x14ac:dyDescent="0.2">
      <c r="P175" s="391" t="s">
        <v>242</v>
      </c>
      <c r="Q175" s="390" t="e">
        <f ca="1">_xll.qlCalendarAdvance(Calendar,Q174,P175,"f")</f>
        <v>#NAME?</v>
      </c>
      <c r="R175" s="389" t="e">
        <f ca="1">_xll.qlIndexFixing(Index,Q175,,InterestRatesTrigger)</f>
        <v>#NAME?</v>
      </c>
    </row>
    <row r="176" spans="16:18" x14ac:dyDescent="0.2">
      <c r="P176" s="391" t="s">
        <v>242</v>
      </c>
      <c r="Q176" s="390" t="e">
        <f ca="1">_xll.qlCalendarAdvance(Calendar,Q175,P176,"f")</f>
        <v>#NAME?</v>
      </c>
      <c r="R176" s="389" t="e">
        <f ca="1">_xll.qlIndexFixing(Index,Q176,,InterestRatesTrigger)</f>
        <v>#NAME?</v>
      </c>
    </row>
    <row r="177" spans="16:18" x14ac:dyDescent="0.2">
      <c r="P177" s="391" t="s">
        <v>242</v>
      </c>
      <c r="Q177" s="390" t="e">
        <f ca="1">_xll.qlCalendarAdvance(Calendar,Q176,P177,"f")</f>
        <v>#NAME?</v>
      </c>
      <c r="R177" s="389" t="e">
        <f ca="1">_xll.qlIndexFixing(Index,Q177,,InterestRatesTrigger)</f>
        <v>#NAME?</v>
      </c>
    </row>
    <row r="178" spans="16:18" x14ac:dyDescent="0.2">
      <c r="P178" s="391" t="s">
        <v>242</v>
      </c>
      <c r="Q178" s="390" t="e">
        <f ca="1">_xll.qlCalendarAdvance(Calendar,Q177,P178,"f")</f>
        <v>#NAME?</v>
      </c>
      <c r="R178" s="389" t="e">
        <f ca="1">_xll.qlIndexFixing(Index,Q178,,InterestRatesTrigger)</f>
        <v>#NAME?</v>
      </c>
    </row>
    <row r="179" spans="16:18" x14ac:dyDescent="0.2">
      <c r="P179" s="391" t="s">
        <v>242</v>
      </c>
      <c r="Q179" s="390" t="e">
        <f ca="1">_xll.qlCalendarAdvance(Calendar,Q178,P179,"f")</f>
        <v>#NAME?</v>
      </c>
      <c r="R179" s="389" t="e">
        <f ca="1">_xll.qlIndexFixing(Index,Q179,,InterestRatesTrigger)</f>
        <v>#NAME?</v>
      </c>
    </row>
    <row r="180" spans="16:18" x14ac:dyDescent="0.2">
      <c r="P180" s="391" t="s">
        <v>242</v>
      </c>
      <c r="Q180" s="390" t="e">
        <f ca="1">_xll.qlCalendarAdvance(Calendar,Q179,P180,"f")</f>
        <v>#NAME?</v>
      </c>
      <c r="R180" s="389" t="e">
        <f ca="1">_xll.qlIndexFixing(Index,Q180,,InterestRatesTrigger)</f>
        <v>#NAME?</v>
      </c>
    </row>
    <row r="181" spans="16:18" x14ac:dyDescent="0.2">
      <c r="P181" s="391" t="s">
        <v>242</v>
      </c>
      <c r="Q181" s="390" t="e">
        <f ca="1">_xll.qlCalendarAdvance(Calendar,Q180,P181,"f")</f>
        <v>#NAME?</v>
      </c>
      <c r="R181" s="389" t="e">
        <f ca="1">_xll.qlIndexFixing(Index,Q181,,InterestRatesTrigger)</f>
        <v>#NAME?</v>
      </c>
    </row>
    <row r="182" spans="16:18" x14ac:dyDescent="0.2">
      <c r="P182" s="391" t="s">
        <v>242</v>
      </c>
      <c r="Q182" s="390" t="e">
        <f ca="1">_xll.qlCalendarAdvance(Calendar,Q181,P182,"f")</f>
        <v>#NAME?</v>
      </c>
      <c r="R182" s="389" t="e">
        <f ca="1">_xll.qlIndexFixing(Index,Q182,,InterestRatesTrigger)</f>
        <v>#NAME?</v>
      </c>
    </row>
    <row r="183" spans="16:18" x14ac:dyDescent="0.2">
      <c r="P183" s="391" t="s">
        <v>242</v>
      </c>
      <c r="Q183" s="390" t="e">
        <f ca="1">_xll.qlCalendarAdvance(Calendar,Q182,P183,"f")</f>
        <v>#NAME?</v>
      </c>
      <c r="R183" s="389" t="e">
        <f ca="1">_xll.qlIndexFixing(Index,Q183,,InterestRatesTrigger)</f>
        <v>#NAME?</v>
      </c>
    </row>
    <row r="184" spans="16:18" x14ac:dyDescent="0.2">
      <c r="P184" s="391" t="s">
        <v>242</v>
      </c>
      <c r="Q184" s="390" t="e">
        <f ca="1">_xll.qlCalendarAdvance(Calendar,Q183,P184,"f")</f>
        <v>#NAME?</v>
      </c>
      <c r="R184" s="389" t="e">
        <f ca="1">_xll.qlIndexFixing(Index,Q184,,InterestRatesTrigger)</f>
        <v>#NAME?</v>
      </c>
    </row>
    <row r="185" spans="16:18" x14ac:dyDescent="0.2">
      <c r="P185" s="391" t="s">
        <v>242</v>
      </c>
      <c r="Q185" s="390" t="e">
        <f ca="1">_xll.qlCalendarAdvance(Calendar,Q184,P185,"f")</f>
        <v>#NAME?</v>
      </c>
      <c r="R185" s="389" t="e">
        <f ca="1">_xll.qlIndexFixing(Index,Q185,,InterestRatesTrigger)</f>
        <v>#NAME?</v>
      </c>
    </row>
    <row r="186" spans="16:18" x14ac:dyDescent="0.2">
      <c r="P186" s="391" t="s">
        <v>242</v>
      </c>
      <c r="Q186" s="390" t="e">
        <f ca="1">_xll.qlCalendarAdvance(Calendar,Q185,P186,"f")</f>
        <v>#NAME?</v>
      </c>
      <c r="R186" s="389" t="e">
        <f ca="1">_xll.qlIndexFixing(Index,Q186,,InterestRatesTrigger)</f>
        <v>#NAME?</v>
      </c>
    </row>
    <row r="187" spans="16:18" x14ac:dyDescent="0.2">
      <c r="P187" s="391" t="s">
        <v>242</v>
      </c>
      <c r="Q187" s="390" t="e">
        <f ca="1">_xll.qlCalendarAdvance(Calendar,Q186,P187,"f")</f>
        <v>#NAME?</v>
      </c>
      <c r="R187" s="389" t="e">
        <f ca="1">_xll.qlIndexFixing(Index,Q187,,InterestRatesTrigger)</f>
        <v>#NAME?</v>
      </c>
    </row>
    <row r="188" spans="16:18" x14ac:dyDescent="0.2">
      <c r="P188" s="391" t="s">
        <v>242</v>
      </c>
      <c r="Q188" s="390" t="e">
        <f ca="1">_xll.qlCalendarAdvance(Calendar,Q187,P188,"f")</f>
        <v>#NAME?</v>
      </c>
      <c r="R188" s="389" t="e">
        <f ca="1">_xll.qlIndexFixing(Index,Q188,,InterestRatesTrigger)</f>
        <v>#NAME?</v>
      </c>
    </row>
    <row r="189" spans="16:18" x14ac:dyDescent="0.2">
      <c r="P189" s="391" t="s">
        <v>242</v>
      </c>
      <c r="Q189" s="390" t="e">
        <f ca="1">_xll.qlCalendarAdvance(Calendar,Q188,P189,"f")</f>
        <v>#NAME?</v>
      </c>
      <c r="R189" s="389" t="e">
        <f ca="1">_xll.qlIndexFixing(Index,Q189,,InterestRatesTrigger)</f>
        <v>#NAME?</v>
      </c>
    </row>
    <row r="190" spans="16:18" x14ac:dyDescent="0.2">
      <c r="P190" s="391" t="s">
        <v>242</v>
      </c>
      <c r="Q190" s="390" t="e">
        <f ca="1">_xll.qlCalendarAdvance(Calendar,Q189,P190,"f")</f>
        <v>#NAME?</v>
      </c>
      <c r="R190" s="389" t="e">
        <f ca="1">_xll.qlIndexFixing(Index,Q190,,InterestRatesTrigger)</f>
        <v>#NAME?</v>
      </c>
    </row>
    <row r="191" spans="16:18" x14ac:dyDescent="0.2">
      <c r="P191" s="391" t="s">
        <v>242</v>
      </c>
      <c r="Q191" s="390" t="e">
        <f ca="1">_xll.qlCalendarAdvance(Calendar,Q190,P191,"f")</f>
        <v>#NAME?</v>
      </c>
      <c r="R191" s="389" t="e">
        <f ca="1">_xll.qlIndexFixing(Index,Q191,,InterestRatesTrigger)</f>
        <v>#NAME?</v>
      </c>
    </row>
    <row r="192" spans="16:18" x14ac:dyDescent="0.2">
      <c r="P192" s="391" t="s">
        <v>242</v>
      </c>
      <c r="Q192" s="390" t="e">
        <f ca="1">_xll.qlCalendarAdvance(Calendar,Q191,P192,"f")</f>
        <v>#NAME?</v>
      </c>
      <c r="R192" s="389" t="e">
        <f ca="1">_xll.qlIndexFixing(Index,Q192,,InterestRatesTrigger)</f>
        <v>#NAME?</v>
      </c>
    </row>
    <row r="193" spans="16:18" x14ac:dyDescent="0.2">
      <c r="P193" s="391" t="s">
        <v>242</v>
      </c>
      <c r="Q193" s="390" t="e">
        <f ca="1">_xll.qlCalendarAdvance(Calendar,Q192,P193,"f")</f>
        <v>#NAME?</v>
      </c>
      <c r="R193" s="389" t="e">
        <f ca="1">_xll.qlIndexFixing(Index,Q193,,InterestRatesTrigger)</f>
        <v>#NAME?</v>
      </c>
    </row>
    <row r="194" spans="16:18" x14ac:dyDescent="0.2">
      <c r="P194" s="391" t="s">
        <v>242</v>
      </c>
      <c r="Q194" s="390" t="e">
        <f ca="1">_xll.qlCalendarAdvance(Calendar,Q193,P194,"f")</f>
        <v>#NAME?</v>
      </c>
      <c r="R194" s="389" t="e">
        <f ca="1">_xll.qlIndexFixing(Index,Q194,,InterestRatesTrigger)</f>
        <v>#NAME?</v>
      </c>
    </row>
    <row r="195" spans="16:18" x14ac:dyDescent="0.2">
      <c r="P195" s="391" t="s">
        <v>242</v>
      </c>
      <c r="Q195" s="390" t="e">
        <f ca="1">_xll.qlCalendarAdvance(Calendar,Q194,P195,"f")</f>
        <v>#NAME?</v>
      </c>
      <c r="R195" s="389" t="e">
        <f ca="1">_xll.qlIndexFixing(Index,Q195,,InterestRatesTrigger)</f>
        <v>#NAME?</v>
      </c>
    </row>
    <row r="196" spans="16:18" x14ac:dyDescent="0.2">
      <c r="P196" s="391" t="s">
        <v>242</v>
      </c>
      <c r="Q196" s="390" t="e">
        <f ca="1">_xll.qlCalendarAdvance(Calendar,Q195,P196,"f")</f>
        <v>#NAME?</v>
      </c>
      <c r="R196" s="389" t="e">
        <f ca="1">_xll.qlIndexFixing(Index,Q196,,InterestRatesTrigger)</f>
        <v>#NAME?</v>
      </c>
    </row>
    <row r="197" spans="16:18" x14ac:dyDescent="0.2">
      <c r="P197" s="391" t="s">
        <v>242</v>
      </c>
      <c r="Q197" s="390" t="e">
        <f ca="1">_xll.qlCalendarAdvance(Calendar,Q196,P197,"f")</f>
        <v>#NAME?</v>
      </c>
      <c r="R197" s="389" t="e">
        <f ca="1">_xll.qlIndexFixing(Index,Q197,,InterestRatesTrigger)</f>
        <v>#NAME?</v>
      </c>
    </row>
    <row r="198" spans="16:18" x14ac:dyDescent="0.2">
      <c r="P198" s="391" t="s">
        <v>242</v>
      </c>
      <c r="Q198" s="390" t="e">
        <f ca="1">_xll.qlCalendarAdvance(Calendar,Q197,P198,"f")</f>
        <v>#NAME?</v>
      </c>
      <c r="R198" s="389" t="e">
        <f ca="1">_xll.qlIndexFixing(Index,Q198,,InterestRatesTrigger)</f>
        <v>#NAME?</v>
      </c>
    </row>
    <row r="199" spans="16:18" x14ac:dyDescent="0.2">
      <c r="P199" s="391" t="s">
        <v>242</v>
      </c>
      <c r="Q199" s="390" t="e">
        <f ca="1">_xll.qlCalendarAdvance(Calendar,Q198,P199,"f")</f>
        <v>#NAME?</v>
      </c>
      <c r="R199" s="389" t="e">
        <f ca="1">_xll.qlIndexFixing(Index,Q199,,InterestRatesTrigger)</f>
        <v>#NAME?</v>
      </c>
    </row>
    <row r="200" spans="16:18" x14ac:dyDescent="0.2">
      <c r="P200" s="391" t="s">
        <v>242</v>
      </c>
      <c r="Q200" s="390" t="e">
        <f ca="1">_xll.qlCalendarAdvance(Calendar,Q199,P200,"f")</f>
        <v>#NAME?</v>
      </c>
      <c r="R200" s="389" t="e">
        <f ca="1">_xll.qlIndexFixing(Index,Q200,,InterestRatesTrigger)</f>
        <v>#NAME?</v>
      </c>
    </row>
    <row r="201" spans="16:18" x14ac:dyDescent="0.2">
      <c r="P201" s="391" t="s">
        <v>242</v>
      </c>
      <c r="Q201" s="390" t="e">
        <f ca="1">_xll.qlCalendarAdvance(Calendar,Q200,P201,"f")</f>
        <v>#NAME?</v>
      </c>
      <c r="R201" s="389" t="e">
        <f ca="1">_xll.qlIndexFixing(Index,Q201,,InterestRatesTrigger)</f>
        <v>#NAME?</v>
      </c>
    </row>
    <row r="202" spans="16:18" x14ac:dyDescent="0.2">
      <c r="P202" s="391" t="s">
        <v>242</v>
      </c>
      <c r="Q202" s="390" t="e">
        <f ca="1">_xll.qlCalendarAdvance(Calendar,Q201,P202,"f")</f>
        <v>#NAME?</v>
      </c>
      <c r="R202" s="389" t="e">
        <f ca="1">_xll.qlIndexFixing(Index,Q202,,InterestRatesTrigger)</f>
        <v>#NAME?</v>
      </c>
    </row>
    <row r="203" spans="16:18" x14ac:dyDescent="0.2">
      <c r="P203" s="391" t="s">
        <v>242</v>
      </c>
      <c r="Q203" s="390" t="e">
        <f ca="1">_xll.qlCalendarAdvance(Calendar,Q202,P203,"f")</f>
        <v>#NAME?</v>
      </c>
      <c r="R203" s="389" t="e">
        <f ca="1">_xll.qlIndexFixing(Index,Q203,,InterestRatesTrigger)</f>
        <v>#NAME?</v>
      </c>
    </row>
    <row r="204" spans="16:18" x14ac:dyDescent="0.2">
      <c r="P204" s="391" t="s">
        <v>242</v>
      </c>
      <c r="Q204" s="390" t="e">
        <f ca="1">_xll.qlCalendarAdvance(Calendar,Q203,P204,"f")</f>
        <v>#NAME?</v>
      </c>
      <c r="R204" s="389" t="e">
        <f ca="1">_xll.qlIndexFixing(Index,Q204,,InterestRatesTrigger)</f>
        <v>#NAME?</v>
      </c>
    </row>
    <row r="205" spans="16:18" x14ac:dyDescent="0.2">
      <c r="P205" s="391" t="s">
        <v>242</v>
      </c>
      <c r="Q205" s="390" t="e">
        <f ca="1">_xll.qlCalendarAdvance(Calendar,Q204,P205,"f")</f>
        <v>#NAME?</v>
      </c>
      <c r="R205" s="389" t="e">
        <f ca="1">_xll.qlIndexFixing(Index,Q205,,InterestRatesTrigger)</f>
        <v>#NAME?</v>
      </c>
    </row>
    <row r="206" spans="16:18" x14ac:dyDescent="0.2">
      <c r="P206" s="391" t="s">
        <v>242</v>
      </c>
      <c r="Q206" s="390" t="e">
        <f ca="1">_xll.qlCalendarAdvance(Calendar,Q205,P206,"f")</f>
        <v>#NAME?</v>
      </c>
      <c r="R206" s="389" t="e">
        <f ca="1">_xll.qlIndexFixing(Index,Q206,,InterestRatesTrigger)</f>
        <v>#NAME?</v>
      </c>
    </row>
    <row r="207" spans="16:18" x14ac:dyDescent="0.2">
      <c r="P207" s="391" t="s">
        <v>242</v>
      </c>
      <c r="Q207" s="390" t="e">
        <f ca="1">_xll.qlCalendarAdvance(Calendar,Q206,P207,"f")</f>
        <v>#NAME?</v>
      </c>
      <c r="R207" s="389" t="e">
        <f ca="1">_xll.qlIndexFixing(Index,Q207,,InterestRatesTrigger)</f>
        <v>#NAME?</v>
      </c>
    </row>
    <row r="208" spans="16:18" x14ac:dyDescent="0.2">
      <c r="P208" s="391" t="s">
        <v>242</v>
      </c>
      <c r="Q208" s="390" t="e">
        <f ca="1">_xll.qlCalendarAdvance(Calendar,Q207,P208,"f")</f>
        <v>#NAME?</v>
      </c>
      <c r="R208" s="389" t="e">
        <f ca="1">_xll.qlIndexFixing(Index,Q208,,InterestRatesTrigger)</f>
        <v>#NAME?</v>
      </c>
    </row>
    <row r="209" spans="16:18" x14ac:dyDescent="0.2">
      <c r="P209" s="391" t="s">
        <v>242</v>
      </c>
      <c r="Q209" s="390" t="e">
        <f ca="1">_xll.qlCalendarAdvance(Calendar,Q208,P209,"f")</f>
        <v>#NAME?</v>
      </c>
      <c r="R209" s="389" t="e">
        <f ca="1">_xll.qlIndexFixing(Index,Q209,,InterestRatesTrigger)</f>
        <v>#NAME?</v>
      </c>
    </row>
    <row r="210" spans="16:18" x14ac:dyDescent="0.2">
      <c r="P210" s="391" t="s">
        <v>242</v>
      </c>
      <c r="Q210" s="390" t="e">
        <f ca="1">_xll.qlCalendarAdvance(Calendar,Q209,P210,"f")</f>
        <v>#NAME?</v>
      </c>
      <c r="R210" s="389" t="e">
        <f ca="1">_xll.qlIndexFixing(Index,Q210,,InterestRatesTrigger)</f>
        <v>#NAME?</v>
      </c>
    </row>
    <row r="211" spans="16:18" x14ac:dyDescent="0.2">
      <c r="P211" s="391" t="s">
        <v>242</v>
      </c>
      <c r="Q211" s="390" t="e">
        <f ca="1">_xll.qlCalendarAdvance(Calendar,Q210,P211,"f")</f>
        <v>#NAME?</v>
      </c>
      <c r="R211" s="389" t="e">
        <f ca="1">_xll.qlIndexFixing(Index,Q211,,InterestRatesTrigger)</f>
        <v>#NAME?</v>
      </c>
    </row>
    <row r="212" spans="16:18" x14ac:dyDescent="0.2">
      <c r="P212" s="391" t="s">
        <v>242</v>
      </c>
      <c r="Q212" s="390" t="e">
        <f ca="1">_xll.qlCalendarAdvance(Calendar,Q211,P212,"f")</f>
        <v>#NAME?</v>
      </c>
      <c r="R212" s="389" t="e">
        <f ca="1">_xll.qlIndexFixing(Index,Q212,,InterestRatesTrigger)</f>
        <v>#NAME?</v>
      </c>
    </row>
    <row r="213" spans="16:18" x14ac:dyDescent="0.2">
      <c r="P213" s="391" t="s">
        <v>242</v>
      </c>
      <c r="Q213" s="390" t="e">
        <f ca="1">_xll.qlCalendarAdvance(Calendar,Q212,P213,"f")</f>
        <v>#NAME?</v>
      </c>
      <c r="R213" s="389" t="e">
        <f ca="1">_xll.qlIndexFixing(Index,Q213,,InterestRatesTrigger)</f>
        <v>#NAME?</v>
      </c>
    </row>
    <row r="214" spans="16:18" x14ac:dyDescent="0.2">
      <c r="P214" s="391" t="s">
        <v>242</v>
      </c>
      <c r="Q214" s="390" t="e">
        <f ca="1">_xll.qlCalendarAdvance(Calendar,Q213,P214,"f")</f>
        <v>#NAME?</v>
      </c>
      <c r="R214" s="389" t="e">
        <f ca="1">_xll.qlIndexFixing(Index,Q214,,InterestRatesTrigger)</f>
        <v>#NAME?</v>
      </c>
    </row>
    <row r="215" spans="16:18" x14ac:dyDescent="0.2">
      <c r="P215" s="391" t="s">
        <v>242</v>
      </c>
      <c r="Q215" s="390" t="e">
        <f ca="1">_xll.qlCalendarAdvance(Calendar,Q214,P215,"f")</f>
        <v>#NAME?</v>
      </c>
      <c r="R215" s="389" t="e">
        <f ca="1">_xll.qlIndexFixing(Index,Q215,,InterestRatesTrigger)</f>
        <v>#NAME?</v>
      </c>
    </row>
    <row r="216" spans="16:18" x14ac:dyDescent="0.2">
      <c r="P216" s="391" t="s">
        <v>242</v>
      </c>
      <c r="Q216" s="390" t="e">
        <f ca="1">_xll.qlCalendarAdvance(Calendar,Q215,P216,"f")</f>
        <v>#NAME?</v>
      </c>
      <c r="R216" s="389" t="e">
        <f ca="1">_xll.qlIndexFixing(Index,Q216,,InterestRatesTrigger)</f>
        <v>#NAME?</v>
      </c>
    </row>
    <row r="217" spans="16:18" x14ac:dyDescent="0.2">
      <c r="P217" s="391" t="s">
        <v>242</v>
      </c>
      <c r="Q217" s="390" t="e">
        <f ca="1">_xll.qlCalendarAdvance(Calendar,Q216,P217,"f")</f>
        <v>#NAME?</v>
      </c>
      <c r="R217" s="389" t="e">
        <f ca="1">_xll.qlIndexFixing(Index,Q217,,InterestRatesTrigger)</f>
        <v>#NAME?</v>
      </c>
    </row>
    <row r="218" spans="16:18" x14ac:dyDescent="0.2">
      <c r="P218" s="391" t="s">
        <v>242</v>
      </c>
      <c r="Q218" s="390" t="e">
        <f ca="1">_xll.qlCalendarAdvance(Calendar,Q217,P218,"f")</f>
        <v>#NAME?</v>
      </c>
      <c r="R218" s="389" t="e">
        <f ca="1">_xll.qlIndexFixing(Index,Q218,,InterestRatesTrigger)</f>
        <v>#NAME?</v>
      </c>
    </row>
    <row r="219" spans="16:18" x14ac:dyDescent="0.2">
      <c r="P219" s="391" t="s">
        <v>242</v>
      </c>
      <c r="Q219" s="390" t="e">
        <f ca="1">_xll.qlCalendarAdvance(Calendar,Q218,P219,"f")</f>
        <v>#NAME?</v>
      </c>
      <c r="R219" s="389" t="e">
        <f ca="1">_xll.qlIndexFixing(Index,Q219,,InterestRatesTrigger)</f>
        <v>#NAME?</v>
      </c>
    </row>
    <row r="220" spans="16:18" x14ac:dyDescent="0.2">
      <c r="P220" s="391" t="s">
        <v>242</v>
      </c>
      <c r="Q220" s="390" t="e">
        <f ca="1">_xll.qlCalendarAdvance(Calendar,Q219,P220,"f")</f>
        <v>#NAME?</v>
      </c>
      <c r="R220" s="389" t="e">
        <f ca="1">_xll.qlIndexFixing(Index,Q220,,InterestRatesTrigger)</f>
        <v>#NAME?</v>
      </c>
    </row>
    <row r="221" spans="16:18" x14ac:dyDescent="0.2">
      <c r="P221" s="391" t="s">
        <v>242</v>
      </c>
      <c r="Q221" s="390" t="e">
        <f ca="1">_xll.qlCalendarAdvance(Calendar,Q220,P221,"f")</f>
        <v>#NAME?</v>
      </c>
      <c r="R221" s="389" t="e">
        <f ca="1">_xll.qlIndexFixing(Index,Q221,,InterestRatesTrigger)</f>
        <v>#NAME?</v>
      </c>
    </row>
    <row r="222" spans="16:18" x14ac:dyDescent="0.2">
      <c r="P222" s="391" t="s">
        <v>242</v>
      </c>
      <c r="Q222" s="390" t="e">
        <f ca="1">_xll.qlCalendarAdvance(Calendar,Q221,P222,"f")</f>
        <v>#NAME?</v>
      </c>
      <c r="R222" s="389" t="e">
        <f ca="1">_xll.qlIndexFixing(Index,Q222,,InterestRatesTrigger)</f>
        <v>#NAME?</v>
      </c>
    </row>
    <row r="223" spans="16:18" x14ac:dyDescent="0.2">
      <c r="P223" s="391" t="s">
        <v>242</v>
      </c>
      <c r="Q223" s="390" t="e">
        <f ca="1">_xll.qlCalendarAdvance(Calendar,Q222,P223,"f")</f>
        <v>#NAME?</v>
      </c>
      <c r="R223" s="389" t="e">
        <f ca="1">_xll.qlIndexFixing(Index,Q223,,InterestRatesTrigger)</f>
        <v>#NAME?</v>
      </c>
    </row>
    <row r="224" spans="16:18" x14ac:dyDescent="0.2">
      <c r="P224" s="391" t="s">
        <v>242</v>
      </c>
      <c r="Q224" s="390" t="e">
        <f ca="1">_xll.qlCalendarAdvance(Calendar,Q223,P224,"f")</f>
        <v>#NAME?</v>
      </c>
      <c r="R224" s="389" t="e">
        <f ca="1">_xll.qlIndexFixing(Index,Q224,,InterestRatesTrigger)</f>
        <v>#NAME?</v>
      </c>
    </row>
    <row r="225" spans="16:18" x14ac:dyDescent="0.2">
      <c r="P225" s="391" t="s">
        <v>242</v>
      </c>
      <c r="Q225" s="390" t="e">
        <f ca="1">_xll.qlCalendarAdvance(Calendar,Q224,P225,"f")</f>
        <v>#NAME?</v>
      </c>
      <c r="R225" s="389" t="e">
        <f ca="1">_xll.qlIndexFixing(Index,Q225,,InterestRatesTrigger)</f>
        <v>#NAME?</v>
      </c>
    </row>
    <row r="226" spans="16:18" x14ac:dyDescent="0.2">
      <c r="P226" s="391" t="s">
        <v>242</v>
      </c>
      <c r="Q226" s="390" t="e">
        <f ca="1">_xll.qlCalendarAdvance(Calendar,Q225,P226,"f")</f>
        <v>#NAME?</v>
      </c>
      <c r="R226" s="389" t="e">
        <f ca="1">_xll.qlIndexFixing(Index,Q226,,InterestRatesTrigger)</f>
        <v>#NAME?</v>
      </c>
    </row>
    <row r="227" spans="16:18" x14ac:dyDescent="0.2">
      <c r="P227" s="391" t="s">
        <v>242</v>
      </c>
      <c r="Q227" s="390" t="e">
        <f ca="1">_xll.qlCalendarAdvance(Calendar,Q226,P227,"f")</f>
        <v>#NAME?</v>
      </c>
      <c r="R227" s="389" t="e">
        <f ca="1">_xll.qlIndexFixing(Index,Q227,,InterestRatesTrigger)</f>
        <v>#NAME?</v>
      </c>
    </row>
    <row r="228" spans="16:18" x14ac:dyDescent="0.2">
      <c r="P228" s="391" t="s">
        <v>242</v>
      </c>
      <c r="Q228" s="390" t="e">
        <f ca="1">_xll.qlCalendarAdvance(Calendar,Q227,P228,"f")</f>
        <v>#NAME?</v>
      </c>
      <c r="R228" s="389" t="e">
        <f ca="1">_xll.qlIndexFixing(Index,Q228,,InterestRatesTrigger)</f>
        <v>#NAME?</v>
      </c>
    </row>
    <row r="229" spans="16:18" x14ac:dyDescent="0.2">
      <c r="P229" s="391" t="s">
        <v>242</v>
      </c>
      <c r="Q229" s="390" t="e">
        <f ca="1">_xll.qlCalendarAdvance(Calendar,Q228,P229,"f")</f>
        <v>#NAME?</v>
      </c>
      <c r="R229" s="389" t="e">
        <f ca="1">_xll.qlIndexFixing(Index,Q229,,InterestRatesTrigger)</f>
        <v>#NAME?</v>
      </c>
    </row>
    <row r="230" spans="16:18" x14ac:dyDescent="0.2">
      <c r="P230" s="391" t="s">
        <v>242</v>
      </c>
      <c r="Q230" s="390" t="e">
        <f ca="1">_xll.qlCalendarAdvance(Calendar,Q229,P230,"f")</f>
        <v>#NAME?</v>
      </c>
      <c r="R230" s="389" t="e">
        <f ca="1">_xll.qlIndexFixing(Index,Q230,,InterestRatesTrigger)</f>
        <v>#NAME?</v>
      </c>
    </row>
    <row r="231" spans="16:18" x14ac:dyDescent="0.2">
      <c r="P231" s="391" t="s">
        <v>242</v>
      </c>
      <c r="Q231" s="390" t="e">
        <f ca="1">_xll.qlCalendarAdvance(Calendar,Q230,P231,"f")</f>
        <v>#NAME?</v>
      </c>
      <c r="R231" s="389" t="e">
        <f ca="1">_xll.qlIndexFixing(Index,Q231,,InterestRatesTrigger)</f>
        <v>#NAME?</v>
      </c>
    </row>
    <row r="232" spans="16:18" x14ac:dyDescent="0.2">
      <c r="P232" s="391" t="s">
        <v>242</v>
      </c>
      <c r="Q232" s="390" t="e">
        <f ca="1">_xll.qlCalendarAdvance(Calendar,Q231,P232,"f")</f>
        <v>#NAME?</v>
      </c>
      <c r="R232" s="389" t="e">
        <f ca="1">_xll.qlIndexFixing(Index,Q232,,InterestRatesTrigger)</f>
        <v>#NAME?</v>
      </c>
    </row>
    <row r="233" spans="16:18" x14ac:dyDescent="0.2">
      <c r="P233" s="391" t="s">
        <v>242</v>
      </c>
      <c r="Q233" s="390" t="e">
        <f ca="1">_xll.qlCalendarAdvance(Calendar,Q232,P233,"f")</f>
        <v>#NAME?</v>
      </c>
      <c r="R233" s="389" t="e">
        <f ca="1">_xll.qlIndexFixing(Index,Q233,,InterestRatesTrigger)</f>
        <v>#NAME?</v>
      </c>
    </row>
    <row r="234" spans="16:18" x14ac:dyDescent="0.2">
      <c r="P234" s="391" t="s">
        <v>242</v>
      </c>
      <c r="Q234" s="390" t="e">
        <f ca="1">_xll.qlCalendarAdvance(Calendar,Q233,P234,"f")</f>
        <v>#NAME?</v>
      </c>
      <c r="R234" s="389" t="e">
        <f ca="1">_xll.qlIndexFixing(Index,Q234,,InterestRatesTrigger)</f>
        <v>#NAME?</v>
      </c>
    </row>
    <row r="235" spans="16:18" x14ac:dyDescent="0.2">
      <c r="P235" s="391" t="s">
        <v>242</v>
      </c>
      <c r="Q235" s="390" t="e">
        <f ca="1">_xll.qlCalendarAdvance(Calendar,Q234,P235,"f")</f>
        <v>#NAME?</v>
      </c>
      <c r="R235" s="389" t="e">
        <f ca="1">_xll.qlIndexFixing(Index,Q235,,InterestRatesTrigger)</f>
        <v>#NAME?</v>
      </c>
    </row>
    <row r="236" spans="16:18" x14ac:dyDescent="0.2">
      <c r="P236" s="391" t="s">
        <v>242</v>
      </c>
      <c r="Q236" s="390" t="e">
        <f ca="1">_xll.qlCalendarAdvance(Calendar,Q235,P236,"f")</f>
        <v>#NAME?</v>
      </c>
      <c r="R236" s="389" t="e">
        <f ca="1">_xll.qlIndexFixing(Index,Q236,,InterestRatesTrigger)</f>
        <v>#NAME?</v>
      </c>
    </row>
    <row r="237" spans="16:18" x14ac:dyDescent="0.2">
      <c r="P237" s="391" t="s">
        <v>242</v>
      </c>
      <c r="Q237" s="390" t="e">
        <f ca="1">_xll.qlCalendarAdvance(Calendar,Q236,P237,"f")</f>
        <v>#NAME?</v>
      </c>
      <c r="R237" s="389" t="e">
        <f ca="1">_xll.qlIndexFixing(Index,Q237,,InterestRatesTrigger)</f>
        <v>#NAME?</v>
      </c>
    </row>
    <row r="238" spans="16:18" x14ac:dyDescent="0.2">
      <c r="P238" s="391" t="s">
        <v>242</v>
      </c>
      <c r="Q238" s="390" t="e">
        <f ca="1">_xll.qlCalendarAdvance(Calendar,Q237,P238,"f")</f>
        <v>#NAME?</v>
      </c>
      <c r="R238" s="389" t="e">
        <f ca="1">_xll.qlIndexFixing(Index,Q238,,InterestRatesTrigger)</f>
        <v>#NAME?</v>
      </c>
    </row>
    <row r="239" spans="16:18" x14ac:dyDescent="0.2">
      <c r="P239" s="391" t="s">
        <v>242</v>
      </c>
      <c r="Q239" s="390" t="e">
        <f ca="1">_xll.qlCalendarAdvance(Calendar,Q238,P239,"f")</f>
        <v>#NAME?</v>
      </c>
      <c r="R239" s="389" t="e">
        <f ca="1">_xll.qlIndexFixing(Index,Q239,,InterestRatesTrigger)</f>
        <v>#NAME?</v>
      </c>
    </row>
    <row r="240" spans="16:18" x14ac:dyDescent="0.2">
      <c r="P240" s="391" t="s">
        <v>242</v>
      </c>
      <c r="Q240" s="390" t="e">
        <f ca="1">_xll.qlCalendarAdvance(Calendar,Q239,P240,"f")</f>
        <v>#NAME?</v>
      </c>
      <c r="R240" s="389" t="e">
        <f ca="1">_xll.qlIndexFixing(Index,Q240,,InterestRatesTrigger)</f>
        <v>#NAME?</v>
      </c>
    </row>
    <row r="241" spans="16:18" x14ac:dyDescent="0.2">
      <c r="P241" s="391" t="s">
        <v>242</v>
      </c>
      <c r="Q241" s="390" t="e">
        <f ca="1">_xll.qlCalendarAdvance(Calendar,Q240,P241,"f")</f>
        <v>#NAME?</v>
      </c>
      <c r="R241" s="389" t="e">
        <f ca="1">_xll.qlIndexFixing(Index,Q241,,InterestRatesTrigger)</f>
        <v>#NAME?</v>
      </c>
    </row>
    <row r="242" spans="16:18" x14ac:dyDescent="0.2">
      <c r="P242" s="391" t="s">
        <v>242</v>
      </c>
      <c r="Q242" s="390" t="e">
        <f ca="1">_xll.qlCalendarAdvance(Calendar,Q241,P242,"f")</f>
        <v>#NAME?</v>
      </c>
      <c r="R242" s="389" t="e">
        <f ca="1">_xll.qlIndexFixing(Index,Q242,,InterestRatesTrigger)</f>
        <v>#NAME?</v>
      </c>
    </row>
    <row r="243" spans="16:18" x14ac:dyDescent="0.2">
      <c r="P243" s="391" t="s">
        <v>242</v>
      </c>
      <c r="Q243" s="390" t="e">
        <f ca="1">_xll.qlCalendarAdvance(Calendar,Q242,P243,"f")</f>
        <v>#NAME?</v>
      </c>
      <c r="R243" s="389" t="e">
        <f ca="1">_xll.qlIndexFixing(Index,Q243,,InterestRatesTrigger)</f>
        <v>#NAME?</v>
      </c>
    </row>
    <row r="244" spans="16:18" x14ac:dyDescent="0.2">
      <c r="P244" s="391" t="s">
        <v>242</v>
      </c>
      <c r="Q244" s="390" t="e">
        <f ca="1">_xll.qlCalendarAdvance(Calendar,Q243,P244,"f")</f>
        <v>#NAME?</v>
      </c>
      <c r="R244" s="389" t="e">
        <f ca="1">_xll.qlIndexFixing(Index,Q244,,InterestRatesTrigger)</f>
        <v>#NAME?</v>
      </c>
    </row>
    <row r="245" spans="16:18" x14ac:dyDescent="0.2">
      <c r="P245" s="391" t="s">
        <v>242</v>
      </c>
      <c r="Q245" s="390" t="e">
        <f ca="1">_xll.qlCalendarAdvance(Calendar,Q244,P245,"f")</f>
        <v>#NAME?</v>
      </c>
      <c r="R245" s="389" t="e">
        <f ca="1">_xll.qlIndexFixing(Index,Q245,,InterestRatesTrigger)</f>
        <v>#NAME?</v>
      </c>
    </row>
    <row r="246" spans="16:18" x14ac:dyDescent="0.2">
      <c r="P246" s="391" t="s">
        <v>242</v>
      </c>
      <c r="Q246" s="390" t="e">
        <f ca="1">_xll.qlCalendarAdvance(Calendar,Q245,P246,"f")</f>
        <v>#NAME?</v>
      </c>
      <c r="R246" s="389" t="e">
        <f ca="1">_xll.qlIndexFixing(Index,Q246,,InterestRatesTrigger)</f>
        <v>#NAME?</v>
      </c>
    </row>
    <row r="247" spans="16:18" x14ac:dyDescent="0.2">
      <c r="P247" s="391" t="s">
        <v>242</v>
      </c>
      <c r="Q247" s="390" t="e">
        <f ca="1">_xll.qlCalendarAdvance(Calendar,Q246,P247,"f")</f>
        <v>#NAME?</v>
      </c>
      <c r="R247" s="389" t="e">
        <f ca="1">_xll.qlIndexFixing(Index,Q247,,InterestRatesTrigger)</f>
        <v>#NAME?</v>
      </c>
    </row>
    <row r="248" spans="16:18" x14ac:dyDescent="0.2">
      <c r="P248" s="391" t="s">
        <v>242</v>
      </c>
      <c r="Q248" s="390" t="e">
        <f ca="1">_xll.qlCalendarAdvance(Calendar,Q247,P248,"f")</f>
        <v>#NAME?</v>
      </c>
      <c r="R248" s="389" t="e">
        <f ca="1">_xll.qlIndexFixing(Index,Q248,,InterestRatesTrigger)</f>
        <v>#NAME?</v>
      </c>
    </row>
    <row r="249" spans="16:18" x14ac:dyDescent="0.2">
      <c r="P249" s="391" t="s">
        <v>242</v>
      </c>
      <c r="Q249" s="390" t="e">
        <f ca="1">_xll.qlCalendarAdvance(Calendar,Q248,P249,"f")</f>
        <v>#NAME?</v>
      </c>
      <c r="R249" s="389" t="e">
        <f ca="1">_xll.qlIndexFixing(Index,Q249,,InterestRatesTrigger)</f>
        <v>#NAME?</v>
      </c>
    </row>
    <row r="250" spans="16:18" x14ac:dyDescent="0.2">
      <c r="P250" s="391" t="s">
        <v>242</v>
      </c>
      <c r="Q250" s="390" t="e">
        <f ca="1">_xll.qlCalendarAdvance(Calendar,Q249,P250,"f")</f>
        <v>#NAME?</v>
      </c>
      <c r="R250" s="389" t="e">
        <f ca="1">_xll.qlIndexFixing(Index,Q250,,InterestRatesTrigger)</f>
        <v>#NAME?</v>
      </c>
    </row>
    <row r="251" spans="16:18" x14ac:dyDescent="0.2">
      <c r="P251" s="391" t="s">
        <v>242</v>
      </c>
      <c r="Q251" s="390" t="e">
        <f ca="1">_xll.qlCalendarAdvance(Calendar,Q250,P251,"f")</f>
        <v>#NAME?</v>
      </c>
      <c r="R251" s="389" t="e">
        <f ca="1">_xll.qlIndexFixing(Index,Q251,,InterestRatesTrigger)</f>
        <v>#NAME?</v>
      </c>
    </row>
    <row r="252" spans="16:18" x14ac:dyDescent="0.2">
      <c r="P252" s="391" t="s">
        <v>242</v>
      </c>
      <c r="Q252" s="390" t="e">
        <f ca="1">_xll.qlCalendarAdvance(Calendar,Q251,P252,"f")</f>
        <v>#NAME?</v>
      </c>
      <c r="R252" s="389" t="e">
        <f ca="1">_xll.qlIndexFixing(Index,Q252,,InterestRatesTrigger)</f>
        <v>#NAME?</v>
      </c>
    </row>
    <row r="253" spans="16:18" x14ac:dyDescent="0.2">
      <c r="P253" s="391" t="s">
        <v>242</v>
      </c>
      <c r="Q253" s="390" t="e">
        <f ca="1">_xll.qlCalendarAdvance(Calendar,Q252,P253,"f")</f>
        <v>#NAME?</v>
      </c>
      <c r="R253" s="389" t="e">
        <f ca="1">_xll.qlIndexFixing(Index,Q253,,InterestRatesTrigger)</f>
        <v>#NAME?</v>
      </c>
    </row>
    <row r="254" spans="16:18" x14ac:dyDescent="0.2">
      <c r="P254" s="391" t="s">
        <v>242</v>
      </c>
      <c r="Q254" s="390" t="e">
        <f ca="1">_xll.qlCalendarAdvance(Calendar,Q253,P254,"f")</f>
        <v>#NAME?</v>
      </c>
      <c r="R254" s="389" t="e">
        <f ca="1">_xll.qlIndexFixing(Index,Q254,,InterestRatesTrigger)</f>
        <v>#NAME?</v>
      </c>
    </row>
    <row r="255" spans="16:18" x14ac:dyDescent="0.2">
      <c r="P255" s="391" t="s">
        <v>242</v>
      </c>
      <c r="Q255" s="390" t="e">
        <f ca="1">_xll.qlCalendarAdvance(Calendar,Q254,P255,"f")</f>
        <v>#NAME?</v>
      </c>
      <c r="R255" s="389" t="e">
        <f ca="1">_xll.qlIndexFixing(Index,Q255,,InterestRatesTrigger)</f>
        <v>#NAME?</v>
      </c>
    </row>
    <row r="256" spans="16:18" x14ac:dyDescent="0.2">
      <c r="P256" s="391" t="s">
        <v>242</v>
      </c>
      <c r="Q256" s="390" t="e">
        <f ca="1">_xll.qlCalendarAdvance(Calendar,Q255,P256,"f")</f>
        <v>#NAME?</v>
      </c>
      <c r="R256" s="389" t="e">
        <f ca="1">_xll.qlIndexFixing(Index,Q256,,InterestRatesTrigger)</f>
        <v>#NAME?</v>
      </c>
    </row>
    <row r="257" spans="16:18" x14ac:dyDescent="0.2">
      <c r="P257" s="391" t="s">
        <v>242</v>
      </c>
      <c r="Q257" s="390" t="e">
        <f ca="1">_xll.qlCalendarAdvance(Calendar,Q256,P257,"f")</f>
        <v>#NAME?</v>
      </c>
      <c r="R257" s="389" t="e">
        <f ca="1">_xll.qlIndexFixing(Index,Q257,,InterestRatesTrigger)</f>
        <v>#NAME?</v>
      </c>
    </row>
    <row r="258" spans="16:18" x14ac:dyDescent="0.2">
      <c r="P258" s="391" t="s">
        <v>242</v>
      </c>
      <c r="Q258" s="390" t="e">
        <f ca="1">_xll.qlCalendarAdvance(Calendar,Q257,P258,"f")</f>
        <v>#NAME?</v>
      </c>
      <c r="R258" s="389" t="e">
        <f ca="1">_xll.qlIndexFixing(Index,Q258,,InterestRatesTrigger)</f>
        <v>#NAME?</v>
      </c>
    </row>
    <row r="259" spans="16:18" x14ac:dyDescent="0.2">
      <c r="P259" s="391" t="s">
        <v>242</v>
      </c>
      <c r="Q259" s="390" t="e">
        <f ca="1">_xll.qlCalendarAdvance(Calendar,Q258,P259,"f")</f>
        <v>#NAME?</v>
      </c>
      <c r="R259" s="389" t="e">
        <f ca="1">_xll.qlIndexFixing(Index,Q259,,InterestRatesTrigger)</f>
        <v>#NAME?</v>
      </c>
    </row>
    <row r="260" spans="16:18" x14ac:dyDescent="0.2">
      <c r="P260" s="391" t="s">
        <v>242</v>
      </c>
      <c r="Q260" s="390" t="e">
        <f ca="1">_xll.qlCalendarAdvance(Calendar,Q259,P260,"f")</f>
        <v>#NAME?</v>
      </c>
      <c r="R260" s="389" t="e">
        <f ca="1">_xll.qlIndexFixing(Index,Q260,,InterestRatesTrigger)</f>
        <v>#NAME?</v>
      </c>
    </row>
    <row r="261" spans="16:18" x14ac:dyDescent="0.2">
      <c r="P261" s="391" t="s">
        <v>242</v>
      </c>
      <c r="Q261" s="390" t="e">
        <f ca="1">_xll.qlCalendarAdvance(Calendar,Q260,P261,"f")</f>
        <v>#NAME?</v>
      </c>
      <c r="R261" s="389" t="e">
        <f ca="1">_xll.qlIndexFixing(Index,Q261,,InterestRatesTrigger)</f>
        <v>#NAME?</v>
      </c>
    </row>
    <row r="262" spans="16:18" x14ac:dyDescent="0.2">
      <c r="P262" s="391" t="s">
        <v>242</v>
      </c>
      <c r="Q262" s="390" t="e">
        <f ca="1">_xll.qlCalendarAdvance(Calendar,Q261,P262,"f")</f>
        <v>#NAME?</v>
      </c>
      <c r="R262" s="389" t="e">
        <f ca="1">_xll.qlIndexFixing(Index,Q262,,InterestRatesTrigger)</f>
        <v>#NAME?</v>
      </c>
    </row>
    <row r="263" spans="16:18" x14ac:dyDescent="0.2">
      <c r="P263" s="391" t="s">
        <v>242</v>
      </c>
      <c r="Q263" s="390" t="e">
        <f ca="1">_xll.qlCalendarAdvance(Calendar,Q262,P263,"f")</f>
        <v>#NAME?</v>
      </c>
      <c r="R263" s="389" t="e">
        <f ca="1">_xll.qlIndexFixing(Index,Q263,,InterestRatesTrigger)</f>
        <v>#NAME?</v>
      </c>
    </row>
    <row r="264" spans="16:18" x14ac:dyDescent="0.2">
      <c r="P264" s="391" t="s">
        <v>242</v>
      </c>
      <c r="Q264" s="390" t="e">
        <f ca="1">_xll.qlCalendarAdvance(Calendar,Q263,P264,"f")</f>
        <v>#NAME?</v>
      </c>
      <c r="R264" s="389" t="e">
        <f ca="1">_xll.qlIndexFixing(Index,Q264,,InterestRatesTrigger)</f>
        <v>#NAME?</v>
      </c>
    </row>
    <row r="265" spans="16:18" x14ac:dyDescent="0.2">
      <c r="P265" s="391" t="s">
        <v>242</v>
      </c>
      <c r="Q265" s="390" t="e">
        <f ca="1">_xll.qlCalendarAdvance(Calendar,Q264,P265,"f")</f>
        <v>#NAME?</v>
      </c>
      <c r="R265" s="389" t="e">
        <f ca="1">_xll.qlIndexFixing(Index,Q265,,InterestRatesTrigger)</f>
        <v>#NAME?</v>
      </c>
    </row>
    <row r="266" spans="16:18" x14ac:dyDescent="0.2">
      <c r="P266" s="391" t="s">
        <v>242</v>
      </c>
      <c r="Q266" s="390" t="e">
        <f ca="1">_xll.qlCalendarAdvance(Calendar,Q265,P266,"f")</f>
        <v>#NAME?</v>
      </c>
      <c r="R266" s="389" t="e">
        <f ca="1">_xll.qlIndexFixing(Index,Q266,,InterestRatesTrigger)</f>
        <v>#NAME?</v>
      </c>
    </row>
    <row r="267" spans="16:18" x14ac:dyDescent="0.2">
      <c r="P267" s="391" t="s">
        <v>242</v>
      </c>
      <c r="Q267" s="390" t="e">
        <f ca="1">_xll.qlCalendarAdvance(Calendar,Q266,P267,"f")</f>
        <v>#NAME?</v>
      </c>
      <c r="R267" s="389" t="e">
        <f ca="1">_xll.qlIndexFixing(Index,Q267,,InterestRatesTrigger)</f>
        <v>#NAME?</v>
      </c>
    </row>
    <row r="268" spans="16:18" x14ac:dyDescent="0.2">
      <c r="P268" s="391" t="s">
        <v>242</v>
      </c>
      <c r="Q268" s="390" t="e">
        <f ca="1">_xll.qlCalendarAdvance(Calendar,Q267,P268,"f")</f>
        <v>#NAME?</v>
      </c>
      <c r="R268" s="389" t="e">
        <f ca="1">_xll.qlIndexFixing(Index,Q268,,InterestRatesTrigger)</f>
        <v>#NAME?</v>
      </c>
    </row>
    <row r="269" spans="16:18" x14ac:dyDescent="0.2">
      <c r="P269" s="391" t="s">
        <v>242</v>
      </c>
      <c r="Q269" s="390" t="e">
        <f ca="1">_xll.qlCalendarAdvance(Calendar,Q268,P269,"f")</f>
        <v>#NAME?</v>
      </c>
      <c r="R269" s="389" t="e">
        <f ca="1">_xll.qlIndexFixing(Index,Q269,,InterestRatesTrigger)</f>
        <v>#NAME?</v>
      </c>
    </row>
    <row r="270" spans="16:18" x14ac:dyDescent="0.2">
      <c r="P270" s="391" t="s">
        <v>242</v>
      </c>
      <c r="Q270" s="390" t="e">
        <f ca="1">_xll.qlCalendarAdvance(Calendar,Q269,P270,"f")</f>
        <v>#NAME?</v>
      </c>
      <c r="R270" s="389" t="e">
        <f ca="1">_xll.qlIndexFixing(Index,Q270,,InterestRatesTrigger)</f>
        <v>#NAME?</v>
      </c>
    </row>
    <row r="271" spans="16:18" x14ac:dyDescent="0.2">
      <c r="P271" s="391" t="s">
        <v>242</v>
      </c>
      <c r="Q271" s="390" t="e">
        <f ca="1">_xll.qlCalendarAdvance(Calendar,Q270,P271,"f")</f>
        <v>#NAME?</v>
      </c>
      <c r="R271" s="389" t="e">
        <f ca="1">_xll.qlIndexFixing(Index,Q271,,InterestRatesTrigger)</f>
        <v>#NAME?</v>
      </c>
    </row>
    <row r="272" spans="16:18" x14ac:dyDescent="0.2">
      <c r="P272" s="391" t="s">
        <v>242</v>
      </c>
      <c r="Q272" s="390" t="e">
        <f ca="1">_xll.qlCalendarAdvance(Calendar,Q271,P272,"f")</f>
        <v>#NAME?</v>
      </c>
      <c r="R272" s="389" t="e">
        <f ca="1">_xll.qlIndexFixing(Index,Q272,,InterestRatesTrigger)</f>
        <v>#NAME?</v>
      </c>
    </row>
    <row r="273" spans="16:18" x14ac:dyDescent="0.2">
      <c r="P273" s="391" t="s">
        <v>242</v>
      </c>
      <c r="Q273" s="390" t="e">
        <f ca="1">_xll.qlCalendarAdvance(Calendar,Q272,P273,"f")</f>
        <v>#NAME?</v>
      </c>
      <c r="R273" s="389" t="e">
        <f ca="1">_xll.qlIndexFixing(Index,Q273,,InterestRatesTrigger)</f>
        <v>#NAME?</v>
      </c>
    </row>
    <row r="274" spans="16:18" x14ac:dyDescent="0.2">
      <c r="P274" s="391" t="s">
        <v>242</v>
      </c>
      <c r="Q274" s="390" t="e">
        <f ca="1">_xll.qlCalendarAdvance(Calendar,Q273,P274,"f")</f>
        <v>#NAME?</v>
      </c>
      <c r="R274" s="389" t="e">
        <f ca="1">_xll.qlIndexFixing(Index,Q274,,InterestRatesTrigger)</f>
        <v>#NAME?</v>
      </c>
    </row>
    <row r="275" spans="16:18" x14ac:dyDescent="0.2">
      <c r="P275" s="391" t="s">
        <v>242</v>
      </c>
      <c r="Q275" s="390" t="e">
        <f ca="1">_xll.qlCalendarAdvance(Calendar,Q274,P275,"f")</f>
        <v>#NAME?</v>
      </c>
      <c r="R275" s="389" t="e">
        <f ca="1">_xll.qlIndexFixing(Index,Q275,,InterestRatesTrigger)</f>
        <v>#NAME?</v>
      </c>
    </row>
    <row r="276" spans="16:18" x14ac:dyDescent="0.2">
      <c r="P276" s="391" t="s">
        <v>242</v>
      </c>
      <c r="Q276" s="390" t="e">
        <f ca="1">_xll.qlCalendarAdvance(Calendar,Q275,P276,"f")</f>
        <v>#NAME?</v>
      </c>
      <c r="R276" s="389" t="e">
        <f ca="1">_xll.qlIndexFixing(Index,Q276,,InterestRatesTrigger)</f>
        <v>#NAME?</v>
      </c>
    </row>
    <row r="277" spans="16:18" x14ac:dyDescent="0.2">
      <c r="P277" s="391" t="s">
        <v>242</v>
      </c>
      <c r="Q277" s="390" t="e">
        <f ca="1">_xll.qlCalendarAdvance(Calendar,Q276,P277,"f")</f>
        <v>#NAME?</v>
      </c>
      <c r="R277" s="389" t="e">
        <f ca="1">_xll.qlIndexFixing(Index,Q277,,InterestRatesTrigger)</f>
        <v>#NAME?</v>
      </c>
    </row>
    <row r="278" spans="16:18" x14ac:dyDescent="0.2">
      <c r="P278" s="391" t="s">
        <v>242</v>
      </c>
      <c r="Q278" s="390" t="e">
        <f ca="1">_xll.qlCalendarAdvance(Calendar,Q277,P278,"f")</f>
        <v>#NAME?</v>
      </c>
      <c r="R278" s="389" t="e">
        <f ca="1">_xll.qlIndexFixing(Index,Q278,,InterestRatesTrigger)</f>
        <v>#NAME?</v>
      </c>
    </row>
    <row r="279" spans="16:18" x14ac:dyDescent="0.2">
      <c r="P279" s="391" t="s">
        <v>242</v>
      </c>
      <c r="Q279" s="390" t="e">
        <f ca="1">_xll.qlCalendarAdvance(Calendar,Q278,P279,"f")</f>
        <v>#NAME?</v>
      </c>
      <c r="R279" s="389" t="e">
        <f ca="1">_xll.qlIndexFixing(Index,Q279,,InterestRatesTrigger)</f>
        <v>#NAME?</v>
      </c>
    </row>
    <row r="280" spans="16:18" x14ac:dyDescent="0.2">
      <c r="P280" s="391" t="s">
        <v>242</v>
      </c>
      <c r="Q280" s="390" t="e">
        <f ca="1">_xll.qlCalendarAdvance(Calendar,Q279,P280,"f")</f>
        <v>#NAME?</v>
      </c>
      <c r="R280" s="389" t="e">
        <f ca="1">_xll.qlIndexFixing(Index,Q280,,InterestRatesTrigger)</f>
        <v>#NAME?</v>
      </c>
    </row>
    <row r="281" spans="16:18" x14ac:dyDescent="0.2">
      <c r="P281" s="391" t="s">
        <v>242</v>
      </c>
      <c r="Q281" s="390" t="e">
        <f ca="1">_xll.qlCalendarAdvance(Calendar,Q280,P281,"f")</f>
        <v>#NAME?</v>
      </c>
      <c r="R281" s="389" t="e">
        <f ca="1">_xll.qlIndexFixing(Index,Q281,,InterestRatesTrigger)</f>
        <v>#NAME?</v>
      </c>
    </row>
    <row r="282" spans="16:18" x14ac:dyDescent="0.2">
      <c r="P282" s="391" t="s">
        <v>242</v>
      </c>
      <c r="Q282" s="390" t="e">
        <f ca="1">_xll.qlCalendarAdvance(Calendar,Q281,P282,"f")</f>
        <v>#NAME?</v>
      </c>
      <c r="R282" s="389" t="e">
        <f ca="1">_xll.qlIndexFixing(Index,Q282,,InterestRatesTrigger)</f>
        <v>#NAME?</v>
      </c>
    </row>
    <row r="283" spans="16:18" x14ac:dyDescent="0.2">
      <c r="P283" s="391" t="s">
        <v>242</v>
      </c>
      <c r="Q283" s="390" t="e">
        <f ca="1">_xll.qlCalendarAdvance(Calendar,Q282,P283,"f")</f>
        <v>#NAME?</v>
      </c>
      <c r="R283" s="389" t="e">
        <f ca="1">_xll.qlIndexFixing(Index,Q283,,InterestRatesTrigger)</f>
        <v>#NAME?</v>
      </c>
    </row>
    <row r="284" spans="16:18" x14ac:dyDescent="0.2">
      <c r="P284" s="391" t="s">
        <v>242</v>
      </c>
      <c r="Q284" s="390" t="e">
        <f ca="1">_xll.qlCalendarAdvance(Calendar,Q283,P284,"f")</f>
        <v>#NAME?</v>
      </c>
      <c r="R284" s="389" t="e">
        <f ca="1">_xll.qlIndexFixing(Index,Q284,,InterestRatesTrigger)</f>
        <v>#NAME?</v>
      </c>
    </row>
    <row r="285" spans="16:18" x14ac:dyDescent="0.2">
      <c r="P285" s="391" t="s">
        <v>242</v>
      </c>
      <c r="Q285" s="390" t="e">
        <f ca="1">_xll.qlCalendarAdvance(Calendar,Q284,P285,"f")</f>
        <v>#NAME?</v>
      </c>
      <c r="R285" s="389" t="e">
        <f ca="1">_xll.qlIndexFixing(Index,Q285,,InterestRatesTrigger)</f>
        <v>#NAME?</v>
      </c>
    </row>
    <row r="286" spans="16:18" x14ac:dyDescent="0.2">
      <c r="P286" s="391" t="s">
        <v>242</v>
      </c>
      <c r="Q286" s="390" t="e">
        <f ca="1">_xll.qlCalendarAdvance(Calendar,Q285,P286,"f")</f>
        <v>#NAME?</v>
      </c>
      <c r="R286" s="389" t="e">
        <f ca="1">_xll.qlIndexFixing(Index,Q286,,InterestRatesTrigger)</f>
        <v>#NAME?</v>
      </c>
    </row>
    <row r="287" spans="16:18" x14ac:dyDescent="0.2">
      <c r="P287" s="391" t="s">
        <v>242</v>
      </c>
      <c r="Q287" s="390" t="e">
        <f ca="1">_xll.qlCalendarAdvance(Calendar,Q286,P287,"f")</f>
        <v>#NAME?</v>
      </c>
      <c r="R287" s="389" t="e">
        <f ca="1">_xll.qlIndexFixing(Index,Q287,,InterestRatesTrigger)</f>
        <v>#NAME?</v>
      </c>
    </row>
    <row r="288" spans="16:18" x14ac:dyDescent="0.2">
      <c r="P288" s="391" t="s">
        <v>242</v>
      </c>
      <c r="Q288" s="390" t="e">
        <f ca="1">_xll.qlCalendarAdvance(Calendar,Q287,P288,"f")</f>
        <v>#NAME?</v>
      </c>
      <c r="R288" s="389" t="e">
        <f ca="1">_xll.qlIndexFixing(Index,Q288,,InterestRatesTrigger)</f>
        <v>#NAME?</v>
      </c>
    </row>
    <row r="289" spans="16:18" x14ac:dyDescent="0.2">
      <c r="P289" s="391" t="s">
        <v>242</v>
      </c>
      <c r="Q289" s="390" t="e">
        <f ca="1">_xll.qlCalendarAdvance(Calendar,Q288,P289,"f")</f>
        <v>#NAME?</v>
      </c>
      <c r="R289" s="389" t="e">
        <f ca="1">_xll.qlIndexFixing(Index,Q289,,InterestRatesTrigger)</f>
        <v>#NAME?</v>
      </c>
    </row>
    <row r="290" spans="16:18" x14ac:dyDescent="0.2">
      <c r="P290" s="391" t="s">
        <v>242</v>
      </c>
      <c r="Q290" s="390" t="e">
        <f ca="1">_xll.qlCalendarAdvance(Calendar,Q289,P290,"f")</f>
        <v>#NAME?</v>
      </c>
      <c r="R290" s="389" t="e">
        <f ca="1">_xll.qlIndexFixing(Index,Q290,,InterestRatesTrigger)</f>
        <v>#NAME?</v>
      </c>
    </row>
    <row r="291" spans="16:18" x14ac:dyDescent="0.2">
      <c r="P291" s="391" t="s">
        <v>242</v>
      </c>
      <c r="Q291" s="390" t="e">
        <f ca="1">_xll.qlCalendarAdvance(Calendar,Q290,P291,"f")</f>
        <v>#NAME?</v>
      </c>
      <c r="R291" s="389" t="e">
        <f ca="1">_xll.qlIndexFixing(Index,Q291,,InterestRatesTrigger)</f>
        <v>#NAME?</v>
      </c>
    </row>
    <row r="292" spans="16:18" x14ac:dyDescent="0.2">
      <c r="P292" s="391" t="s">
        <v>242</v>
      </c>
      <c r="Q292" s="390" t="e">
        <f ca="1">_xll.qlCalendarAdvance(Calendar,Q291,P292,"f")</f>
        <v>#NAME?</v>
      </c>
      <c r="R292" s="389" t="e">
        <f ca="1">_xll.qlIndexFixing(Index,Q292,,InterestRatesTrigger)</f>
        <v>#NAME?</v>
      </c>
    </row>
    <row r="293" spans="16:18" x14ac:dyDescent="0.2">
      <c r="P293" s="391" t="s">
        <v>242</v>
      </c>
      <c r="Q293" s="390" t="e">
        <f ca="1">_xll.qlCalendarAdvance(Calendar,Q292,P293,"f")</f>
        <v>#NAME?</v>
      </c>
      <c r="R293" s="389" t="e">
        <f ca="1">_xll.qlIndexFixing(Index,Q293,,InterestRatesTrigger)</f>
        <v>#NAME?</v>
      </c>
    </row>
    <row r="294" spans="16:18" x14ac:dyDescent="0.2">
      <c r="P294" s="391" t="s">
        <v>242</v>
      </c>
      <c r="Q294" s="390" t="e">
        <f ca="1">_xll.qlCalendarAdvance(Calendar,Q293,P294,"f")</f>
        <v>#NAME?</v>
      </c>
      <c r="R294" s="389" t="e">
        <f ca="1">_xll.qlIndexFixing(Index,Q294,,InterestRatesTrigger)</f>
        <v>#NAME?</v>
      </c>
    </row>
    <row r="295" spans="16:18" x14ac:dyDescent="0.2">
      <c r="P295" s="391" t="s">
        <v>242</v>
      </c>
      <c r="Q295" s="390" t="e">
        <f ca="1">_xll.qlCalendarAdvance(Calendar,Q294,P295,"f")</f>
        <v>#NAME?</v>
      </c>
      <c r="R295" s="389" t="e">
        <f ca="1">_xll.qlIndexFixing(Index,Q295,,InterestRatesTrigger)</f>
        <v>#NAME?</v>
      </c>
    </row>
    <row r="296" spans="16:18" x14ac:dyDescent="0.2">
      <c r="P296" s="391" t="s">
        <v>242</v>
      </c>
      <c r="Q296" s="390" t="e">
        <f ca="1">_xll.qlCalendarAdvance(Calendar,Q295,P296,"f")</f>
        <v>#NAME?</v>
      </c>
      <c r="R296" s="389" t="e">
        <f ca="1">_xll.qlIndexFixing(Index,Q296,,InterestRatesTrigger)</f>
        <v>#NAME?</v>
      </c>
    </row>
    <row r="297" spans="16:18" x14ac:dyDescent="0.2">
      <c r="P297" s="391" t="s">
        <v>242</v>
      </c>
      <c r="Q297" s="390" t="e">
        <f ca="1">_xll.qlCalendarAdvance(Calendar,Q296,P297,"f")</f>
        <v>#NAME?</v>
      </c>
      <c r="R297" s="389" t="e">
        <f ca="1">_xll.qlIndexFixing(Index,Q297,,InterestRatesTrigger)</f>
        <v>#NAME?</v>
      </c>
    </row>
    <row r="298" spans="16:18" x14ac:dyDescent="0.2">
      <c r="P298" s="391" t="s">
        <v>242</v>
      </c>
      <c r="Q298" s="390" t="e">
        <f ca="1">_xll.qlCalendarAdvance(Calendar,Q297,P298,"f")</f>
        <v>#NAME?</v>
      </c>
      <c r="R298" s="389" t="e">
        <f ca="1">_xll.qlIndexFixing(Index,Q298,,InterestRatesTrigger)</f>
        <v>#NAME?</v>
      </c>
    </row>
    <row r="299" spans="16:18" x14ac:dyDescent="0.2">
      <c r="P299" s="391" t="s">
        <v>242</v>
      </c>
      <c r="Q299" s="390" t="e">
        <f ca="1">_xll.qlCalendarAdvance(Calendar,Q298,P299,"f")</f>
        <v>#NAME?</v>
      </c>
      <c r="R299" s="389" t="e">
        <f ca="1">_xll.qlIndexFixing(Index,Q299,,InterestRatesTrigger)</f>
        <v>#NAME?</v>
      </c>
    </row>
    <row r="300" spans="16:18" x14ac:dyDescent="0.2">
      <c r="P300" s="391" t="s">
        <v>242</v>
      </c>
      <c r="Q300" s="390" t="e">
        <f ca="1">_xll.qlCalendarAdvance(Calendar,Q299,P300,"f")</f>
        <v>#NAME?</v>
      </c>
      <c r="R300" s="389" t="e">
        <f ca="1">_xll.qlIndexFixing(Index,Q300,,InterestRatesTrigger)</f>
        <v>#NAME?</v>
      </c>
    </row>
    <row r="301" spans="16:18" x14ac:dyDescent="0.2">
      <c r="P301" s="391" t="s">
        <v>242</v>
      </c>
      <c r="Q301" s="390" t="e">
        <f ca="1">_xll.qlCalendarAdvance(Calendar,Q300,P301,"f")</f>
        <v>#NAME?</v>
      </c>
      <c r="R301" s="389" t="e">
        <f ca="1">_xll.qlIndexFixing(Index,Q301,,InterestRatesTrigger)</f>
        <v>#NAME?</v>
      </c>
    </row>
    <row r="302" spans="16:18" x14ac:dyDescent="0.2">
      <c r="P302" s="391" t="s">
        <v>242</v>
      </c>
      <c r="Q302" s="390" t="e">
        <f ca="1">_xll.qlCalendarAdvance(Calendar,Q301,P302,"f")</f>
        <v>#NAME?</v>
      </c>
      <c r="R302" s="389" t="e">
        <f ca="1">_xll.qlIndexFixing(Index,Q302,,InterestRatesTrigger)</f>
        <v>#NAME?</v>
      </c>
    </row>
    <row r="303" spans="16:18" x14ac:dyDescent="0.2">
      <c r="P303" s="391" t="s">
        <v>242</v>
      </c>
      <c r="Q303" s="390" t="e">
        <f ca="1">_xll.qlCalendarAdvance(Calendar,Q302,P303,"f")</f>
        <v>#NAME?</v>
      </c>
      <c r="R303" s="389" t="e">
        <f ca="1">_xll.qlIndexFixing(Index,Q303,,InterestRatesTrigger)</f>
        <v>#NAME?</v>
      </c>
    </row>
    <row r="304" spans="16:18" x14ac:dyDescent="0.2">
      <c r="P304" s="391" t="s">
        <v>242</v>
      </c>
      <c r="Q304" s="390" t="e">
        <f ca="1">_xll.qlCalendarAdvance(Calendar,Q303,P304,"f")</f>
        <v>#NAME?</v>
      </c>
      <c r="R304" s="389" t="e">
        <f ca="1">_xll.qlIndexFixing(Index,Q304,,InterestRatesTrigger)</f>
        <v>#NAME?</v>
      </c>
    </row>
    <row r="305" spans="16:18" x14ac:dyDescent="0.2">
      <c r="P305" s="391" t="s">
        <v>242</v>
      </c>
      <c r="Q305" s="390" t="e">
        <f ca="1">_xll.qlCalendarAdvance(Calendar,Q304,P305,"f")</f>
        <v>#NAME?</v>
      </c>
      <c r="R305" s="389" t="e">
        <f ca="1">_xll.qlIndexFixing(Index,Q305,,InterestRatesTrigger)</f>
        <v>#NAME?</v>
      </c>
    </row>
    <row r="306" spans="16:18" x14ac:dyDescent="0.2">
      <c r="P306" s="391" t="s">
        <v>242</v>
      </c>
      <c r="Q306" s="390" t="e">
        <f ca="1">_xll.qlCalendarAdvance(Calendar,Q305,P306,"f")</f>
        <v>#NAME?</v>
      </c>
      <c r="R306" s="389" t="e">
        <f ca="1">_xll.qlIndexFixing(Index,Q306,,InterestRatesTrigger)</f>
        <v>#NAME?</v>
      </c>
    </row>
    <row r="307" spans="16:18" x14ac:dyDescent="0.2">
      <c r="P307" s="391" t="s">
        <v>242</v>
      </c>
      <c r="Q307" s="390" t="e">
        <f ca="1">_xll.qlCalendarAdvance(Calendar,Q306,P307,"f")</f>
        <v>#NAME?</v>
      </c>
      <c r="R307" s="389" t="e">
        <f ca="1">_xll.qlIndexFixing(Index,Q307,,InterestRatesTrigger)</f>
        <v>#NAME?</v>
      </c>
    </row>
    <row r="308" spans="16:18" x14ac:dyDescent="0.2">
      <c r="P308" s="391" t="s">
        <v>242</v>
      </c>
      <c r="Q308" s="390" t="e">
        <f ca="1">_xll.qlCalendarAdvance(Calendar,Q307,P308,"f")</f>
        <v>#NAME?</v>
      </c>
      <c r="R308" s="389" t="e">
        <f ca="1">_xll.qlIndexFixing(Index,Q308,,InterestRatesTrigger)</f>
        <v>#NAME?</v>
      </c>
    </row>
    <row r="309" spans="16:18" x14ac:dyDescent="0.2">
      <c r="P309" s="391" t="s">
        <v>242</v>
      </c>
      <c r="Q309" s="390" t="e">
        <f ca="1">_xll.qlCalendarAdvance(Calendar,Q308,P309,"f")</f>
        <v>#NAME?</v>
      </c>
      <c r="R309" s="389" t="e">
        <f ca="1">_xll.qlIndexFixing(Index,Q309,,InterestRatesTrigger)</f>
        <v>#NAME?</v>
      </c>
    </row>
    <row r="310" spans="16:18" x14ac:dyDescent="0.2">
      <c r="P310" s="391" t="s">
        <v>242</v>
      </c>
      <c r="Q310" s="390" t="e">
        <f ca="1">_xll.qlCalendarAdvance(Calendar,Q309,P310,"f")</f>
        <v>#NAME?</v>
      </c>
      <c r="R310" s="389" t="e">
        <f ca="1">_xll.qlIndexFixing(Index,Q310,,InterestRatesTrigger)</f>
        <v>#NAME?</v>
      </c>
    </row>
    <row r="311" spans="16:18" x14ac:dyDescent="0.2">
      <c r="P311" s="391" t="s">
        <v>242</v>
      </c>
      <c r="Q311" s="390" t="e">
        <f ca="1">_xll.qlCalendarAdvance(Calendar,Q310,P311,"f")</f>
        <v>#NAME?</v>
      </c>
      <c r="R311" s="389" t="e">
        <f ca="1">_xll.qlIndexFixing(Index,Q311,,InterestRatesTrigger)</f>
        <v>#NAME?</v>
      </c>
    </row>
    <row r="312" spans="16:18" x14ac:dyDescent="0.2">
      <c r="P312" s="391" t="s">
        <v>242</v>
      </c>
      <c r="Q312" s="390" t="e">
        <f ca="1">_xll.qlCalendarAdvance(Calendar,Q311,P312,"f")</f>
        <v>#NAME?</v>
      </c>
      <c r="R312" s="389" t="e">
        <f ca="1">_xll.qlIndexFixing(Index,Q312,,InterestRatesTrigger)</f>
        <v>#NAME?</v>
      </c>
    </row>
    <row r="313" spans="16:18" x14ac:dyDescent="0.2">
      <c r="P313" s="391" t="s">
        <v>242</v>
      </c>
      <c r="Q313" s="390" t="e">
        <f ca="1">_xll.qlCalendarAdvance(Calendar,Q312,P313,"f")</f>
        <v>#NAME?</v>
      </c>
      <c r="R313" s="389" t="e">
        <f ca="1">_xll.qlIndexFixing(Index,Q313,,InterestRatesTrigger)</f>
        <v>#NAME?</v>
      </c>
    </row>
    <row r="314" spans="16:18" x14ac:dyDescent="0.2">
      <c r="P314" s="391" t="s">
        <v>242</v>
      </c>
      <c r="Q314" s="390" t="e">
        <f ca="1">_xll.qlCalendarAdvance(Calendar,Q313,P314,"f")</f>
        <v>#NAME?</v>
      </c>
      <c r="R314" s="389" t="e">
        <f ca="1">_xll.qlIndexFixing(Index,Q314,,InterestRatesTrigger)</f>
        <v>#NAME?</v>
      </c>
    </row>
    <row r="315" spans="16:18" x14ac:dyDescent="0.2">
      <c r="P315" s="391" t="s">
        <v>242</v>
      </c>
      <c r="Q315" s="390" t="e">
        <f ca="1">_xll.qlCalendarAdvance(Calendar,Q314,P315,"f")</f>
        <v>#NAME?</v>
      </c>
      <c r="R315" s="389" t="e">
        <f ca="1">_xll.qlIndexFixing(Index,Q315,,InterestRatesTrigger)</f>
        <v>#NAME?</v>
      </c>
    </row>
    <row r="316" spans="16:18" x14ac:dyDescent="0.2">
      <c r="P316" s="391" t="s">
        <v>242</v>
      </c>
      <c r="Q316" s="390" t="e">
        <f ca="1">_xll.qlCalendarAdvance(Calendar,Q315,P316,"f")</f>
        <v>#NAME?</v>
      </c>
      <c r="R316" s="389" t="e">
        <f ca="1">_xll.qlIndexFixing(Index,Q316,,InterestRatesTrigger)</f>
        <v>#NAME?</v>
      </c>
    </row>
    <row r="317" spans="16:18" x14ac:dyDescent="0.2">
      <c r="P317" s="391" t="s">
        <v>242</v>
      </c>
      <c r="Q317" s="390" t="e">
        <f ca="1">_xll.qlCalendarAdvance(Calendar,Q316,P317,"f")</f>
        <v>#NAME?</v>
      </c>
      <c r="R317" s="389" t="e">
        <f ca="1">_xll.qlIndexFixing(Index,Q317,,InterestRatesTrigger)</f>
        <v>#NAME?</v>
      </c>
    </row>
    <row r="318" spans="16:18" x14ac:dyDescent="0.2">
      <c r="P318" s="391" t="s">
        <v>242</v>
      </c>
      <c r="Q318" s="390" t="e">
        <f ca="1">_xll.qlCalendarAdvance(Calendar,Q317,P318,"f")</f>
        <v>#NAME?</v>
      </c>
      <c r="R318" s="389" t="e">
        <f ca="1">_xll.qlIndexFixing(Index,Q318,,InterestRatesTrigger)</f>
        <v>#NAME?</v>
      </c>
    </row>
    <row r="319" spans="16:18" x14ac:dyDescent="0.2">
      <c r="P319" s="391" t="s">
        <v>242</v>
      </c>
      <c r="Q319" s="390" t="e">
        <f ca="1">_xll.qlCalendarAdvance(Calendar,Q318,P319,"f")</f>
        <v>#NAME?</v>
      </c>
      <c r="R319" s="389" t="e">
        <f ca="1">_xll.qlIndexFixing(Index,Q319,,InterestRatesTrigger)</f>
        <v>#NAME?</v>
      </c>
    </row>
    <row r="320" spans="16:18" x14ac:dyDescent="0.2">
      <c r="P320" s="391" t="s">
        <v>242</v>
      </c>
      <c r="Q320" s="390" t="e">
        <f ca="1">_xll.qlCalendarAdvance(Calendar,Q319,P320,"f")</f>
        <v>#NAME?</v>
      </c>
      <c r="R320" s="389" t="e">
        <f ca="1">_xll.qlIndexFixing(Index,Q320,,InterestRatesTrigger)</f>
        <v>#NAME?</v>
      </c>
    </row>
    <row r="321" spans="16:18" x14ac:dyDescent="0.2">
      <c r="P321" s="391" t="s">
        <v>242</v>
      </c>
      <c r="Q321" s="390" t="e">
        <f ca="1">_xll.qlCalendarAdvance(Calendar,Q320,P321,"f")</f>
        <v>#NAME?</v>
      </c>
      <c r="R321" s="389" t="e">
        <f ca="1">_xll.qlIndexFixing(Index,Q321,,InterestRatesTrigger)</f>
        <v>#NAME?</v>
      </c>
    </row>
    <row r="322" spans="16:18" x14ac:dyDescent="0.2">
      <c r="P322" s="391" t="s">
        <v>242</v>
      </c>
      <c r="Q322" s="390" t="e">
        <f ca="1">_xll.qlCalendarAdvance(Calendar,Q321,P322,"f")</f>
        <v>#NAME?</v>
      </c>
      <c r="R322" s="389" t="e">
        <f ca="1">_xll.qlIndexFixing(Index,Q322,,InterestRatesTrigger)</f>
        <v>#NAME?</v>
      </c>
    </row>
    <row r="323" spans="16:18" x14ac:dyDescent="0.2">
      <c r="P323" s="391" t="s">
        <v>242</v>
      </c>
      <c r="Q323" s="390" t="e">
        <f ca="1">_xll.qlCalendarAdvance(Calendar,Q322,P323,"f")</f>
        <v>#NAME?</v>
      </c>
      <c r="R323" s="389" t="e">
        <f ca="1">_xll.qlIndexFixing(Index,Q323,,InterestRatesTrigger)</f>
        <v>#NAME?</v>
      </c>
    </row>
    <row r="324" spans="16:18" x14ac:dyDescent="0.2">
      <c r="P324" s="391" t="s">
        <v>242</v>
      </c>
      <c r="Q324" s="390" t="e">
        <f ca="1">_xll.qlCalendarAdvance(Calendar,Q323,P324,"f")</f>
        <v>#NAME?</v>
      </c>
      <c r="R324" s="389" t="e">
        <f ca="1">_xll.qlIndexFixing(Index,Q324,,InterestRatesTrigger)</f>
        <v>#NAME?</v>
      </c>
    </row>
    <row r="325" spans="16:18" x14ac:dyDescent="0.2">
      <c r="P325" s="391" t="s">
        <v>242</v>
      </c>
      <c r="Q325" s="390" t="e">
        <f ca="1">_xll.qlCalendarAdvance(Calendar,Q324,P325,"f")</f>
        <v>#NAME?</v>
      </c>
      <c r="R325" s="389" t="e">
        <f ca="1">_xll.qlIndexFixing(Index,Q325,,InterestRatesTrigger)</f>
        <v>#NAME?</v>
      </c>
    </row>
    <row r="326" spans="16:18" x14ac:dyDescent="0.2">
      <c r="P326" s="391" t="s">
        <v>242</v>
      </c>
      <c r="Q326" s="390" t="e">
        <f ca="1">_xll.qlCalendarAdvance(Calendar,Q325,P326,"f")</f>
        <v>#NAME?</v>
      </c>
      <c r="R326" s="389" t="e">
        <f ca="1">_xll.qlIndexFixing(Index,Q326,,InterestRatesTrigger)</f>
        <v>#NAME?</v>
      </c>
    </row>
    <row r="327" spans="16:18" x14ac:dyDescent="0.2">
      <c r="P327" s="391" t="s">
        <v>242</v>
      </c>
      <c r="Q327" s="390" t="e">
        <f ca="1">_xll.qlCalendarAdvance(Calendar,Q326,P327,"f")</f>
        <v>#NAME?</v>
      </c>
      <c r="R327" s="389" t="e">
        <f ca="1">_xll.qlIndexFixing(Index,Q327,,InterestRatesTrigger)</f>
        <v>#NAME?</v>
      </c>
    </row>
    <row r="328" spans="16:18" x14ac:dyDescent="0.2">
      <c r="P328" s="391" t="s">
        <v>242</v>
      </c>
      <c r="Q328" s="390" t="e">
        <f ca="1">_xll.qlCalendarAdvance(Calendar,Q327,P328,"f")</f>
        <v>#NAME?</v>
      </c>
      <c r="R328" s="389" t="e">
        <f ca="1">_xll.qlIndexFixing(Index,Q328,,InterestRatesTrigger)</f>
        <v>#NAME?</v>
      </c>
    </row>
    <row r="329" spans="16:18" x14ac:dyDescent="0.2">
      <c r="P329" s="391" t="s">
        <v>242</v>
      </c>
      <c r="Q329" s="390" t="e">
        <f ca="1">_xll.qlCalendarAdvance(Calendar,Q328,P329,"f")</f>
        <v>#NAME?</v>
      </c>
      <c r="R329" s="389" t="e">
        <f ca="1">_xll.qlIndexFixing(Index,Q329,,InterestRatesTrigger)</f>
        <v>#NAME?</v>
      </c>
    </row>
    <row r="330" spans="16:18" x14ac:dyDescent="0.2">
      <c r="P330" s="391" t="s">
        <v>242</v>
      </c>
      <c r="Q330" s="390" t="e">
        <f ca="1">_xll.qlCalendarAdvance(Calendar,Q329,P330,"f")</f>
        <v>#NAME?</v>
      </c>
      <c r="R330" s="389" t="e">
        <f ca="1">_xll.qlIndexFixing(Index,Q330,,InterestRatesTrigger)</f>
        <v>#NAME?</v>
      </c>
    </row>
    <row r="331" spans="16:18" x14ac:dyDescent="0.2">
      <c r="P331" s="391" t="s">
        <v>242</v>
      </c>
      <c r="Q331" s="390" t="e">
        <f ca="1">_xll.qlCalendarAdvance(Calendar,Q330,P331,"f")</f>
        <v>#NAME?</v>
      </c>
      <c r="R331" s="389" t="e">
        <f ca="1">_xll.qlIndexFixing(Index,Q331,,InterestRatesTrigger)</f>
        <v>#NAME?</v>
      </c>
    </row>
    <row r="332" spans="16:18" x14ac:dyDescent="0.2">
      <c r="P332" s="391" t="s">
        <v>242</v>
      </c>
      <c r="Q332" s="390" t="e">
        <f ca="1">_xll.qlCalendarAdvance(Calendar,Q331,P332,"f")</f>
        <v>#NAME?</v>
      </c>
      <c r="R332" s="389" t="e">
        <f ca="1">_xll.qlIndexFixing(Index,Q332,,InterestRatesTrigger)</f>
        <v>#NAME?</v>
      </c>
    </row>
    <row r="333" spans="16:18" x14ac:dyDescent="0.2">
      <c r="P333" s="391" t="s">
        <v>242</v>
      </c>
      <c r="Q333" s="390" t="e">
        <f ca="1">_xll.qlCalendarAdvance(Calendar,Q332,P333,"f")</f>
        <v>#NAME?</v>
      </c>
      <c r="R333" s="389" t="e">
        <f ca="1">_xll.qlIndexFixing(Index,Q333,,InterestRatesTrigger)</f>
        <v>#NAME?</v>
      </c>
    </row>
    <row r="334" spans="16:18" x14ac:dyDescent="0.2">
      <c r="P334" s="391" t="s">
        <v>242</v>
      </c>
      <c r="Q334" s="390" t="e">
        <f ca="1">_xll.qlCalendarAdvance(Calendar,Q333,P334,"f")</f>
        <v>#NAME?</v>
      </c>
      <c r="R334" s="389" t="e">
        <f ca="1">_xll.qlIndexFixing(Index,Q334,,InterestRatesTrigger)</f>
        <v>#NAME?</v>
      </c>
    </row>
    <row r="335" spans="16:18" x14ac:dyDescent="0.2">
      <c r="P335" s="391" t="s">
        <v>242</v>
      </c>
      <c r="Q335" s="390" t="e">
        <f ca="1">_xll.qlCalendarAdvance(Calendar,Q334,P335,"f")</f>
        <v>#NAME?</v>
      </c>
      <c r="R335" s="389" t="e">
        <f ca="1">_xll.qlIndexFixing(Index,Q335,,InterestRatesTrigger)</f>
        <v>#NAME?</v>
      </c>
    </row>
    <row r="336" spans="16:18" x14ac:dyDescent="0.2">
      <c r="P336" s="391" t="s">
        <v>242</v>
      </c>
      <c r="Q336" s="390" t="e">
        <f ca="1">_xll.qlCalendarAdvance(Calendar,Q335,P336,"f")</f>
        <v>#NAME?</v>
      </c>
      <c r="R336" s="389" t="e">
        <f ca="1">_xll.qlIndexFixing(Index,Q336,,InterestRatesTrigger)</f>
        <v>#NAME?</v>
      </c>
    </row>
    <row r="337" spans="16:18" x14ac:dyDescent="0.2">
      <c r="P337" s="391" t="s">
        <v>242</v>
      </c>
      <c r="Q337" s="390" t="e">
        <f ca="1">_xll.qlCalendarAdvance(Calendar,Q336,P337,"f")</f>
        <v>#NAME?</v>
      </c>
      <c r="R337" s="389" t="e">
        <f ca="1">_xll.qlIndexFixing(Index,Q337,,InterestRatesTrigger)</f>
        <v>#NAME?</v>
      </c>
    </row>
    <row r="338" spans="16:18" x14ac:dyDescent="0.2">
      <c r="P338" s="391" t="s">
        <v>242</v>
      </c>
      <c r="Q338" s="390" t="e">
        <f ca="1">_xll.qlCalendarAdvance(Calendar,Q337,P338,"f")</f>
        <v>#NAME?</v>
      </c>
      <c r="R338" s="389" t="e">
        <f ca="1">_xll.qlIndexFixing(Index,Q338,,InterestRatesTrigger)</f>
        <v>#NAME?</v>
      </c>
    </row>
    <row r="339" spans="16:18" x14ac:dyDescent="0.2">
      <c r="P339" s="391" t="s">
        <v>242</v>
      </c>
      <c r="Q339" s="390" t="e">
        <f ca="1">_xll.qlCalendarAdvance(Calendar,Q338,P339,"f")</f>
        <v>#NAME?</v>
      </c>
      <c r="R339" s="389" t="e">
        <f ca="1">_xll.qlIndexFixing(Index,Q339,,InterestRatesTrigger)</f>
        <v>#NAME?</v>
      </c>
    </row>
    <row r="340" spans="16:18" x14ac:dyDescent="0.2">
      <c r="P340" s="391" t="s">
        <v>242</v>
      </c>
      <c r="Q340" s="390" t="e">
        <f ca="1">_xll.qlCalendarAdvance(Calendar,Q339,P340,"f")</f>
        <v>#NAME?</v>
      </c>
      <c r="R340" s="389" t="e">
        <f ca="1">_xll.qlIndexFixing(Index,Q340,,InterestRatesTrigger)</f>
        <v>#NAME?</v>
      </c>
    </row>
    <row r="341" spans="16:18" x14ac:dyDescent="0.2">
      <c r="P341" s="391" t="s">
        <v>242</v>
      </c>
      <c r="Q341" s="390" t="e">
        <f ca="1">_xll.qlCalendarAdvance(Calendar,Q340,P341,"f")</f>
        <v>#NAME?</v>
      </c>
      <c r="R341" s="389" t="e">
        <f ca="1">_xll.qlIndexFixing(Index,Q341,,InterestRatesTrigger)</f>
        <v>#NAME?</v>
      </c>
    </row>
    <row r="342" spans="16:18" x14ac:dyDescent="0.2">
      <c r="P342" s="391" t="s">
        <v>242</v>
      </c>
      <c r="Q342" s="390" t="e">
        <f ca="1">_xll.qlCalendarAdvance(Calendar,Q341,P342,"f")</f>
        <v>#NAME?</v>
      </c>
      <c r="R342" s="389" t="e">
        <f ca="1">_xll.qlIndexFixing(Index,Q342,,InterestRatesTrigger)</f>
        <v>#NAME?</v>
      </c>
    </row>
    <row r="343" spans="16:18" x14ac:dyDescent="0.2">
      <c r="P343" s="391" t="s">
        <v>242</v>
      </c>
      <c r="Q343" s="390" t="e">
        <f ca="1">_xll.qlCalendarAdvance(Calendar,Q342,P343,"f")</f>
        <v>#NAME?</v>
      </c>
      <c r="R343" s="389" t="e">
        <f ca="1">_xll.qlIndexFixing(Index,Q343,,InterestRatesTrigger)</f>
        <v>#NAME?</v>
      </c>
    </row>
    <row r="344" spans="16:18" x14ac:dyDescent="0.2">
      <c r="P344" s="391" t="s">
        <v>242</v>
      </c>
      <c r="Q344" s="390" t="e">
        <f ca="1">_xll.qlCalendarAdvance(Calendar,Q343,P344,"f")</f>
        <v>#NAME?</v>
      </c>
      <c r="R344" s="389" t="e">
        <f ca="1">_xll.qlIndexFixing(Index,Q344,,InterestRatesTrigger)</f>
        <v>#NAME?</v>
      </c>
    </row>
    <row r="345" spans="16:18" x14ac:dyDescent="0.2">
      <c r="P345" s="391" t="s">
        <v>242</v>
      </c>
      <c r="Q345" s="390" t="e">
        <f ca="1">_xll.qlCalendarAdvance(Calendar,Q344,P345,"f")</f>
        <v>#NAME?</v>
      </c>
      <c r="R345" s="389" t="e">
        <f ca="1">_xll.qlIndexFixing(Index,Q345,,InterestRatesTrigger)</f>
        <v>#NAME?</v>
      </c>
    </row>
    <row r="346" spans="16:18" x14ac:dyDescent="0.2">
      <c r="P346" s="391" t="s">
        <v>242</v>
      </c>
      <c r="Q346" s="390" t="e">
        <f ca="1">_xll.qlCalendarAdvance(Calendar,Q345,P346,"f")</f>
        <v>#NAME?</v>
      </c>
      <c r="R346" s="389" t="e">
        <f ca="1">_xll.qlIndexFixing(Index,Q346,,InterestRatesTrigger)</f>
        <v>#NAME?</v>
      </c>
    </row>
    <row r="347" spans="16:18" x14ac:dyDescent="0.2">
      <c r="P347" s="391" t="s">
        <v>242</v>
      </c>
      <c r="Q347" s="390" t="e">
        <f ca="1">_xll.qlCalendarAdvance(Calendar,Q346,P347,"f")</f>
        <v>#NAME?</v>
      </c>
      <c r="R347" s="389" t="e">
        <f ca="1">_xll.qlIndexFixing(Index,Q347,,InterestRatesTrigger)</f>
        <v>#NAME?</v>
      </c>
    </row>
    <row r="348" spans="16:18" x14ac:dyDescent="0.2">
      <c r="P348" s="391" t="s">
        <v>242</v>
      </c>
      <c r="Q348" s="390" t="e">
        <f ca="1">_xll.qlCalendarAdvance(Calendar,Q347,P348,"f")</f>
        <v>#NAME?</v>
      </c>
      <c r="R348" s="389" t="e">
        <f ca="1">_xll.qlIndexFixing(Index,Q348,,InterestRatesTrigger)</f>
        <v>#NAME?</v>
      </c>
    </row>
    <row r="349" spans="16:18" x14ac:dyDescent="0.2">
      <c r="P349" s="391" t="s">
        <v>242</v>
      </c>
      <c r="Q349" s="390" t="e">
        <f ca="1">_xll.qlCalendarAdvance(Calendar,Q348,P349,"f")</f>
        <v>#NAME?</v>
      </c>
      <c r="R349" s="389" t="e">
        <f ca="1">_xll.qlIndexFixing(Index,Q349,,InterestRatesTrigger)</f>
        <v>#NAME?</v>
      </c>
    </row>
    <row r="350" spans="16:18" x14ac:dyDescent="0.2">
      <c r="P350" s="391" t="s">
        <v>242</v>
      </c>
      <c r="Q350" s="390" t="e">
        <f ca="1">_xll.qlCalendarAdvance(Calendar,Q349,P350,"f")</f>
        <v>#NAME?</v>
      </c>
      <c r="R350" s="389" t="e">
        <f ca="1">_xll.qlIndexFixing(Index,Q350,,InterestRatesTrigger)</f>
        <v>#NAME?</v>
      </c>
    </row>
    <row r="351" spans="16:18" x14ac:dyDescent="0.2">
      <c r="P351" s="391" t="s">
        <v>242</v>
      </c>
      <c r="Q351" s="390" t="e">
        <f ca="1">_xll.qlCalendarAdvance(Calendar,Q350,P351,"f")</f>
        <v>#NAME?</v>
      </c>
      <c r="R351" s="389" t="e">
        <f ca="1">_xll.qlIndexFixing(Index,Q351,,InterestRatesTrigger)</f>
        <v>#NAME?</v>
      </c>
    </row>
    <row r="352" spans="16:18" x14ac:dyDescent="0.2">
      <c r="P352" s="391" t="s">
        <v>242</v>
      </c>
      <c r="Q352" s="390" t="e">
        <f ca="1">_xll.qlCalendarAdvance(Calendar,Q351,P352,"f")</f>
        <v>#NAME?</v>
      </c>
      <c r="R352" s="389" t="e">
        <f ca="1">_xll.qlIndexFixing(Index,Q352,,InterestRatesTrigger)</f>
        <v>#NAME?</v>
      </c>
    </row>
    <row r="353" spans="16:18" x14ac:dyDescent="0.2">
      <c r="P353" s="391" t="s">
        <v>242</v>
      </c>
      <c r="Q353" s="390" t="e">
        <f ca="1">_xll.qlCalendarAdvance(Calendar,Q352,P353,"f")</f>
        <v>#NAME?</v>
      </c>
      <c r="R353" s="389" t="e">
        <f ca="1">_xll.qlIndexFixing(Index,Q353,,InterestRatesTrigger)</f>
        <v>#NAME?</v>
      </c>
    </row>
    <row r="354" spans="16:18" x14ac:dyDescent="0.2">
      <c r="P354" s="391" t="s">
        <v>242</v>
      </c>
      <c r="Q354" s="390" t="e">
        <f ca="1">_xll.qlCalendarAdvance(Calendar,Q353,P354,"f")</f>
        <v>#NAME?</v>
      </c>
      <c r="R354" s="389" t="e">
        <f ca="1">_xll.qlIndexFixing(Index,Q354,,InterestRatesTrigger)</f>
        <v>#NAME?</v>
      </c>
    </row>
    <row r="355" spans="16:18" x14ac:dyDescent="0.2">
      <c r="P355" s="391" t="s">
        <v>242</v>
      </c>
      <c r="Q355" s="390" t="e">
        <f ca="1">_xll.qlCalendarAdvance(Calendar,Q354,P355,"f")</f>
        <v>#NAME?</v>
      </c>
      <c r="R355" s="389" t="e">
        <f ca="1">_xll.qlIndexFixing(Index,Q355,,InterestRatesTrigger)</f>
        <v>#NAME?</v>
      </c>
    </row>
    <row r="356" spans="16:18" x14ac:dyDescent="0.2">
      <c r="P356" s="391" t="s">
        <v>242</v>
      </c>
      <c r="Q356" s="390" t="e">
        <f ca="1">_xll.qlCalendarAdvance(Calendar,Q355,P356,"f")</f>
        <v>#NAME?</v>
      </c>
      <c r="R356" s="389" t="e">
        <f ca="1">_xll.qlIndexFixing(Index,Q356,,InterestRatesTrigger)</f>
        <v>#NAME?</v>
      </c>
    </row>
    <row r="357" spans="16:18" x14ac:dyDescent="0.2">
      <c r="P357" s="391" t="s">
        <v>242</v>
      </c>
      <c r="Q357" s="390" t="e">
        <f ca="1">_xll.qlCalendarAdvance(Calendar,Q356,P357,"f")</f>
        <v>#NAME?</v>
      </c>
      <c r="R357" s="389" t="e">
        <f ca="1">_xll.qlIndexFixing(Index,Q357,,InterestRatesTrigger)</f>
        <v>#NAME?</v>
      </c>
    </row>
    <row r="358" spans="16:18" x14ac:dyDescent="0.2">
      <c r="P358" s="391" t="s">
        <v>242</v>
      </c>
      <c r="Q358" s="390" t="e">
        <f ca="1">_xll.qlCalendarAdvance(Calendar,Q357,P358,"f")</f>
        <v>#NAME?</v>
      </c>
      <c r="R358" s="389" t="e">
        <f ca="1">_xll.qlIndexFixing(Index,Q358,,InterestRatesTrigger)</f>
        <v>#NAME?</v>
      </c>
    </row>
    <row r="359" spans="16:18" x14ac:dyDescent="0.2">
      <c r="P359" s="391" t="s">
        <v>242</v>
      </c>
      <c r="Q359" s="390" t="e">
        <f ca="1">_xll.qlCalendarAdvance(Calendar,Q358,P359,"f")</f>
        <v>#NAME?</v>
      </c>
      <c r="R359" s="389" t="e">
        <f ca="1">_xll.qlIndexFixing(Index,Q359,,InterestRatesTrigger)</f>
        <v>#NAME?</v>
      </c>
    </row>
    <row r="360" spans="16:18" x14ac:dyDescent="0.2">
      <c r="P360" s="391" t="s">
        <v>242</v>
      </c>
      <c r="Q360" s="390" t="e">
        <f ca="1">_xll.qlCalendarAdvance(Calendar,Q359,P360,"f")</f>
        <v>#NAME?</v>
      </c>
      <c r="R360" s="389" t="e">
        <f ca="1">_xll.qlIndexFixing(Index,Q360,,InterestRatesTrigger)</f>
        <v>#NAME?</v>
      </c>
    </row>
    <row r="361" spans="16:18" x14ac:dyDescent="0.2">
      <c r="P361" s="391" t="s">
        <v>242</v>
      </c>
      <c r="Q361" s="390" t="e">
        <f ca="1">_xll.qlCalendarAdvance(Calendar,Q360,P361,"f")</f>
        <v>#NAME?</v>
      </c>
      <c r="R361" s="389" t="e">
        <f ca="1">_xll.qlIndexFixing(Index,Q361,,InterestRatesTrigger)</f>
        <v>#NAME?</v>
      </c>
    </row>
    <row r="362" spans="16:18" x14ac:dyDescent="0.2">
      <c r="P362" s="391" t="s">
        <v>242</v>
      </c>
      <c r="Q362" s="390" t="e">
        <f ca="1">_xll.qlCalendarAdvance(Calendar,Q361,P362,"f")</f>
        <v>#NAME?</v>
      </c>
      <c r="R362" s="389" t="e">
        <f ca="1">_xll.qlIndexFixing(Index,Q362,,InterestRatesTrigger)</f>
        <v>#NAME?</v>
      </c>
    </row>
    <row r="363" spans="16:18" x14ac:dyDescent="0.2">
      <c r="P363" s="391" t="s">
        <v>242</v>
      </c>
      <c r="Q363" s="390" t="e">
        <f ca="1">_xll.qlCalendarAdvance(Calendar,Q362,P363,"f")</f>
        <v>#NAME?</v>
      </c>
      <c r="R363" s="389" t="e">
        <f ca="1">_xll.qlIndexFixing(Index,Q363,,InterestRatesTrigger)</f>
        <v>#NAME?</v>
      </c>
    </row>
    <row r="364" spans="16:18" x14ac:dyDescent="0.2">
      <c r="P364" s="391" t="s">
        <v>242</v>
      </c>
      <c r="Q364" s="390" t="e">
        <f ca="1">_xll.qlCalendarAdvance(Calendar,Q363,P364,"f")</f>
        <v>#NAME?</v>
      </c>
      <c r="R364" s="389" t="e">
        <f ca="1">_xll.qlIndexFixing(Index,Q364,,InterestRatesTrigger)</f>
        <v>#NAME?</v>
      </c>
    </row>
    <row r="365" spans="16:18" x14ac:dyDescent="0.2">
      <c r="P365" s="391" t="s">
        <v>242</v>
      </c>
      <c r="Q365" s="390" t="e">
        <f ca="1">_xll.qlCalendarAdvance(Calendar,Q364,P365,"f")</f>
        <v>#NAME?</v>
      </c>
      <c r="R365" s="389" t="e">
        <f ca="1">_xll.qlIndexFixing(Index,Q365,,InterestRatesTrigger)</f>
        <v>#NAME?</v>
      </c>
    </row>
    <row r="366" spans="16:18" x14ac:dyDescent="0.2">
      <c r="P366" s="391" t="s">
        <v>242</v>
      </c>
      <c r="Q366" s="390" t="e">
        <f ca="1">_xll.qlCalendarAdvance(Calendar,Q365,P366,"f")</f>
        <v>#NAME?</v>
      </c>
      <c r="R366" s="389" t="e">
        <f ca="1">_xll.qlIndexFixing(Index,Q366,,InterestRatesTrigger)</f>
        <v>#NAME?</v>
      </c>
    </row>
    <row r="367" spans="16:18" x14ac:dyDescent="0.2">
      <c r="P367" s="391" t="s">
        <v>242</v>
      </c>
      <c r="Q367" s="390" t="e">
        <f ca="1">_xll.qlCalendarAdvance(Calendar,Q366,P367,"f")</f>
        <v>#NAME?</v>
      </c>
      <c r="R367" s="389" t="e">
        <f ca="1">_xll.qlIndexFixing(Index,Q367,,InterestRatesTrigger)</f>
        <v>#NAME?</v>
      </c>
    </row>
    <row r="368" spans="16:18" x14ac:dyDescent="0.2">
      <c r="P368" s="391" t="s">
        <v>242</v>
      </c>
      <c r="Q368" s="390" t="e">
        <f ca="1">_xll.qlCalendarAdvance(Calendar,Q367,P368,"f")</f>
        <v>#NAME?</v>
      </c>
      <c r="R368" s="389" t="e">
        <f ca="1">_xll.qlIndexFixing(Index,Q368,,InterestRatesTrigger)</f>
        <v>#NAME?</v>
      </c>
    </row>
    <row r="369" spans="16:18" x14ac:dyDescent="0.2">
      <c r="P369" s="391" t="s">
        <v>242</v>
      </c>
      <c r="Q369" s="390" t="e">
        <f ca="1">_xll.qlCalendarAdvance(Calendar,Q368,P369,"f")</f>
        <v>#NAME?</v>
      </c>
      <c r="R369" s="389" t="e">
        <f ca="1">_xll.qlIndexFixing(Index,Q369,,InterestRatesTrigger)</f>
        <v>#NAME?</v>
      </c>
    </row>
    <row r="370" spans="16:18" x14ac:dyDescent="0.2">
      <c r="P370" s="391" t="s">
        <v>242</v>
      </c>
      <c r="Q370" s="390" t="e">
        <f ca="1">_xll.qlCalendarAdvance(Calendar,Q369,P370,"f")</f>
        <v>#NAME?</v>
      </c>
      <c r="R370" s="389" t="e">
        <f ca="1">_xll.qlIndexFixing(Index,Q370,,InterestRatesTrigger)</f>
        <v>#NAME?</v>
      </c>
    </row>
    <row r="371" spans="16:18" x14ac:dyDescent="0.2">
      <c r="P371" s="391" t="s">
        <v>242</v>
      </c>
      <c r="Q371" s="390" t="e">
        <f ca="1">_xll.qlCalendarAdvance(Calendar,Q370,P371,"f")</f>
        <v>#NAME?</v>
      </c>
      <c r="R371" s="389" t="e">
        <f ca="1">_xll.qlIndexFixing(Index,Q371,,InterestRatesTrigger)</f>
        <v>#NAME?</v>
      </c>
    </row>
    <row r="372" spans="16:18" x14ac:dyDescent="0.2">
      <c r="P372" s="391" t="s">
        <v>242</v>
      </c>
      <c r="Q372" s="390" t="e">
        <f ca="1">_xll.qlCalendarAdvance(Calendar,Q371,P372,"f")</f>
        <v>#NAME?</v>
      </c>
      <c r="R372" s="389" t="e">
        <f ca="1">_xll.qlIndexFixing(Index,Q372,,InterestRatesTrigger)</f>
        <v>#NAME?</v>
      </c>
    </row>
    <row r="373" spans="16:18" x14ac:dyDescent="0.2">
      <c r="P373" s="391" t="s">
        <v>242</v>
      </c>
      <c r="Q373" s="390" t="e">
        <f ca="1">_xll.qlCalendarAdvance(Calendar,Q372,P373,"f")</f>
        <v>#NAME?</v>
      </c>
      <c r="R373" s="389" t="e">
        <f ca="1">_xll.qlIndexFixing(Index,Q373,,InterestRatesTrigger)</f>
        <v>#NAME?</v>
      </c>
    </row>
    <row r="374" spans="16:18" x14ac:dyDescent="0.2">
      <c r="P374" s="391" t="s">
        <v>242</v>
      </c>
      <c r="Q374" s="390" t="e">
        <f ca="1">_xll.qlCalendarAdvance(Calendar,Q373,P374,"f")</f>
        <v>#NAME?</v>
      </c>
      <c r="R374" s="389" t="e">
        <f ca="1">_xll.qlIndexFixing(Index,Q374,,InterestRatesTrigger)</f>
        <v>#NAME?</v>
      </c>
    </row>
    <row r="375" spans="16:18" x14ac:dyDescent="0.2">
      <c r="P375" s="391" t="s">
        <v>242</v>
      </c>
      <c r="Q375" s="390" t="e">
        <f ca="1">_xll.qlCalendarAdvance(Calendar,Q374,P375,"f")</f>
        <v>#NAME?</v>
      </c>
      <c r="R375" s="389" t="e">
        <f ca="1">_xll.qlIndexFixing(Index,Q375,,InterestRatesTrigger)</f>
        <v>#NAME?</v>
      </c>
    </row>
    <row r="376" spans="16:18" x14ac:dyDescent="0.2">
      <c r="P376" s="391" t="s">
        <v>242</v>
      </c>
      <c r="Q376" s="390" t="e">
        <f ca="1">_xll.qlCalendarAdvance(Calendar,Q375,P376,"f")</f>
        <v>#NAME?</v>
      </c>
      <c r="R376" s="389" t="e">
        <f ca="1">_xll.qlIndexFixing(Index,Q376,,InterestRatesTrigger)</f>
        <v>#NAME?</v>
      </c>
    </row>
    <row r="377" spans="16:18" x14ac:dyDescent="0.2">
      <c r="P377" s="391" t="s">
        <v>242</v>
      </c>
      <c r="Q377" s="390" t="e">
        <f ca="1">_xll.qlCalendarAdvance(Calendar,Q376,P377,"f")</f>
        <v>#NAME?</v>
      </c>
      <c r="R377" s="389" t="e">
        <f ca="1">_xll.qlIndexFixing(Index,Q377,,InterestRatesTrigger)</f>
        <v>#NAME?</v>
      </c>
    </row>
    <row r="378" spans="16:18" x14ac:dyDescent="0.2">
      <c r="P378" s="391" t="s">
        <v>242</v>
      </c>
      <c r="Q378" s="390" t="e">
        <f ca="1">_xll.qlCalendarAdvance(Calendar,Q377,P378,"f")</f>
        <v>#NAME?</v>
      </c>
      <c r="R378" s="389" t="e">
        <f ca="1">_xll.qlIndexFixing(Index,Q378,,InterestRatesTrigger)</f>
        <v>#NAME?</v>
      </c>
    </row>
    <row r="379" spans="16:18" x14ac:dyDescent="0.2">
      <c r="P379" s="391" t="s">
        <v>242</v>
      </c>
      <c r="Q379" s="390" t="e">
        <f ca="1">_xll.qlCalendarAdvance(Calendar,Q378,P379,"f")</f>
        <v>#NAME?</v>
      </c>
      <c r="R379" s="389" t="e">
        <f ca="1">_xll.qlIndexFixing(Index,Q379,,InterestRatesTrigger)</f>
        <v>#NAME?</v>
      </c>
    </row>
    <row r="380" spans="16:18" x14ac:dyDescent="0.2">
      <c r="P380" s="391" t="s">
        <v>242</v>
      </c>
      <c r="Q380" s="390" t="e">
        <f ca="1">_xll.qlCalendarAdvance(Calendar,Q379,P380,"f")</f>
        <v>#NAME?</v>
      </c>
      <c r="R380" s="389" t="e">
        <f ca="1">_xll.qlIndexFixing(Index,Q380,,InterestRatesTrigger)</f>
        <v>#NAME?</v>
      </c>
    </row>
    <row r="381" spans="16:18" x14ac:dyDescent="0.2">
      <c r="P381" s="391" t="s">
        <v>242</v>
      </c>
      <c r="Q381" s="390" t="e">
        <f ca="1">_xll.qlCalendarAdvance(Calendar,Q380,P381,"f")</f>
        <v>#NAME?</v>
      </c>
      <c r="R381" s="389" t="e">
        <f ca="1">_xll.qlIndexFixing(Index,Q381,,InterestRatesTrigger)</f>
        <v>#NAME?</v>
      </c>
    </row>
    <row r="382" spans="16:18" x14ac:dyDescent="0.2">
      <c r="P382" s="391" t="s">
        <v>242</v>
      </c>
      <c r="Q382" s="390" t="e">
        <f ca="1">_xll.qlCalendarAdvance(Calendar,Q381,P382,"f")</f>
        <v>#NAME?</v>
      </c>
      <c r="R382" s="389" t="e">
        <f ca="1">_xll.qlIndexFixing(Index,Q382,,InterestRatesTrigger)</f>
        <v>#NAME?</v>
      </c>
    </row>
    <row r="383" spans="16:18" x14ac:dyDescent="0.2">
      <c r="P383" s="391" t="s">
        <v>242</v>
      </c>
      <c r="Q383" s="390" t="e">
        <f ca="1">_xll.qlCalendarAdvance(Calendar,Q382,P383,"f")</f>
        <v>#NAME?</v>
      </c>
      <c r="R383" s="389" t="e">
        <f ca="1">_xll.qlIndexFixing(Index,Q383,,InterestRatesTrigger)</f>
        <v>#NAME?</v>
      </c>
    </row>
    <row r="384" spans="16:18" x14ac:dyDescent="0.2">
      <c r="P384" s="391" t="s">
        <v>242</v>
      </c>
      <c r="Q384" s="390" t="e">
        <f ca="1">_xll.qlCalendarAdvance(Calendar,Q383,P384,"f")</f>
        <v>#NAME?</v>
      </c>
      <c r="R384" s="389" t="e">
        <f ca="1">_xll.qlIndexFixing(Index,Q384,,InterestRatesTrigger)</f>
        <v>#NAME?</v>
      </c>
    </row>
    <row r="385" spans="16:18" x14ac:dyDescent="0.2">
      <c r="P385" s="391" t="s">
        <v>242</v>
      </c>
      <c r="Q385" s="390" t="e">
        <f ca="1">_xll.qlCalendarAdvance(Calendar,Q384,P385,"f")</f>
        <v>#NAME?</v>
      </c>
      <c r="R385" s="389" t="e">
        <f ca="1">_xll.qlIndexFixing(Index,Q385,,InterestRatesTrigger)</f>
        <v>#NAME?</v>
      </c>
    </row>
    <row r="386" spans="16:18" x14ac:dyDescent="0.2">
      <c r="P386" s="391" t="s">
        <v>242</v>
      </c>
      <c r="Q386" s="390" t="e">
        <f ca="1">_xll.qlCalendarAdvance(Calendar,Q385,P386,"f")</f>
        <v>#NAME?</v>
      </c>
      <c r="R386" s="389" t="e">
        <f ca="1">_xll.qlIndexFixing(Index,Q386,,InterestRatesTrigger)</f>
        <v>#NAME?</v>
      </c>
    </row>
    <row r="387" spans="16:18" x14ac:dyDescent="0.2">
      <c r="P387" s="391" t="s">
        <v>242</v>
      </c>
      <c r="Q387" s="390" t="e">
        <f ca="1">_xll.qlCalendarAdvance(Calendar,Q386,P387,"f")</f>
        <v>#NAME?</v>
      </c>
      <c r="R387" s="389" t="e">
        <f ca="1">_xll.qlIndexFixing(Index,Q387,,InterestRatesTrigger)</f>
        <v>#NAME?</v>
      </c>
    </row>
    <row r="388" spans="16:18" x14ac:dyDescent="0.2">
      <c r="P388" s="391" t="s">
        <v>242</v>
      </c>
      <c r="Q388" s="390" t="e">
        <f ca="1">_xll.qlCalendarAdvance(Calendar,Q387,P388,"f")</f>
        <v>#NAME?</v>
      </c>
      <c r="R388" s="389" t="e">
        <f ca="1">_xll.qlIndexFixing(Index,Q388,,InterestRatesTrigger)</f>
        <v>#NAME?</v>
      </c>
    </row>
    <row r="389" spans="16:18" x14ac:dyDescent="0.2">
      <c r="P389" s="391" t="s">
        <v>242</v>
      </c>
      <c r="Q389" s="390" t="e">
        <f ca="1">_xll.qlCalendarAdvance(Calendar,Q388,P389,"f")</f>
        <v>#NAME?</v>
      </c>
      <c r="R389" s="389" t="e">
        <f ca="1">_xll.qlIndexFixing(Index,Q389,,InterestRatesTrigger)</f>
        <v>#NAME?</v>
      </c>
    </row>
    <row r="390" spans="16:18" x14ac:dyDescent="0.2">
      <c r="P390" s="391" t="s">
        <v>242</v>
      </c>
      <c r="Q390" s="390" t="e">
        <f ca="1">_xll.qlCalendarAdvance(Calendar,Q389,P390,"f")</f>
        <v>#NAME?</v>
      </c>
      <c r="R390" s="389" t="e">
        <f ca="1">_xll.qlIndexFixing(Index,Q390,,InterestRatesTrigger)</f>
        <v>#NAME?</v>
      </c>
    </row>
    <row r="391" spans="16:18" x14ac:dyDescent="0.2">
      <c r="P391" s="391" t="s">
        <v>242</v>
      </c>
      <c r="Q391" s="390" t="e">
        <f ca="1">_xll.qlCalendarAdvance(Calendar,Q390,P391,"f")</f>
        <v>#NAME?</v>
      </c>
      <c r="R391" s="389" t="e">
        <f ca="1">_xll.qlIndexFixing(Index,Q391,,InterestRatesTrigger)</f>
        <v>#NAME?</v>
      </c>
    </row>
    <row r="392" spans="16:18" x14ac:dyDescent="0.2">
      <c r="P392" s="391" t="s">
        <v>242</v>
      </c>
      <c r="Q392" s="390" t="e">
        <f ca="1">_xll.qlCalendarAdvance(Calendar,Q391,P392,"f")</f>
        <v>#NAME?</v>
      </c>
      <c r="R392" s="389" t="e">
        <f ca="1">_xll.qlIndexFixing(Index,Q392,,InterestRatesTrigger)</f>
        <v>#NAME?</v>
      </c>
    </row>
    <row r="393" spans="16:18" x14ac:dyDescent="0.2">
      <c r="P393" s="391" t="s">
        <v>242</v>
      </c>
      <c r="Q393" s="390" t="e">
        <f ca="1">_xll.qlCalendarAdvance(Calendar,Q392,P393,"f")</f>
        <v>#NAME?</v>
      </c>
      <c r="R393" s="389" t="e">
        <f ca="1">_xll.qlIndexFixing(Index,Q393,,InterestRatesTrigger)</f>
        <v>#NAME?</v>
      </c>
    </row>
    <row r="394" spans="16:18" x14ac:dyDescent="0.2">
      <c r="P394" s="391" t="s">
        <v>242</v>
      </c>
      <c r="Q394" s="390" t="e">
        <f ca="1">_xll.qlCalendarAdvance(Calendar,Q393,P394,"f")</f>
        <v>#NAME?</v>
      </c>
      <c r="R394" s="389" t="e">
        <f ca="1">_xll.qlIndexFixing(Index,Q394,,InterestRatesTrigger)</f>
        <v>#NAME?</v>
      </c>
    </row>
    <row r="395" spans="16:18" x14ac:dyDescent="0.2">
      <c r="P395" s="391" t="s">
        <v>242</v>
      </c>
      <c r="Q395" s="390" t="e">
        <f ca="1">_xll.qlCalendarAdvance(Calendar,Q394,P395,"f")</f>
        <v>#NAME?</v>
      </c>
      <c r="R395" s="389" t="e">
        <f ca="1">_xll.qlIndexFixing(Index,Q395,,InterestRatesTrigger)</f>
        <v>#NAME?</v>
      </c>
    </row>
    <row r="396" spans="16:18" x14ac:dyDescent="0.2">
      <c r="P396" s="391" t="s">
        <v>242</v>
      </c>
      <c r="Q396" s="390" t="e">
        <f ca="1">_xll.qlCalendarAdvance(Calendar,Q395,P396,"f")</f>
        <v>#NAME?</v>
      </c>
      <c r="R396" s="389" t="e">
        <f ca="1">_xll.qlIndexFixing(Index,Q396,,InterestRatesTrigger)</f>
        <v>#NAME?</v>
      </c>
    </row>
    <row r="397" spans="16:18" x14ac:dyDescent="0.2">
      <c r="P397" s="391" t="s">
        <v>242</v>
      </c>
      <c r="Q397" s="390" t="e">
        <f ca="1">_xll.qlCalendarAdvance(Calendar,Q396,P397,"f")</f>
        <v>#NAME?</v>
      </c>
      <c r="R397" s="389" t="e">
        <f ca="1">_xll.qlIndexFixing(Index,Q397,,InterestRatesTrigger)</f>
        <v>#NAME?</v>
      </c>
    </row>
    <row r="398" spans="16:18" x14ac:dyDescent="0.2">
      <c r="P398" s="391" t="s">
        <v>242</v>
      </c>
      <c r="Q398" s="390" t="e">
        <f ca="1">_xll.qlCalendarAdvance(Calendar,Q397,P398,"f")</f>
        <v>#NAME?</v>
      </c>
      <c r="R398" s="389" t="e">
        <f ca="1">_xll.qlIndexFixing(Index,Q398,,InterestRatesTrigger)</f>
        <v>#NAME?</v>
      </c>
    </row>
    <row r="399" spans="16:18" x14ac:dyDescent="0.2">
      <c r="P399" s="391" t="s">
        <v>242</v>
      </c>
      <c r="Q399" s="390" t="e">
        <f ca="1">_xll.qlCalendarAdvance(Calendar,Q398,P399,"f")</f>
        <v>#NAME?</v>
      </c>
      <c r="R399" s="389" t="e">
        <f ca="1">_xll.qlIndexFixing(Index,Q399,,InterestRatesTrigger)</f>
        <v>#NAME?</v>
      </c>
    </row>
    <row r="400" spans="16:18" x14ac:dyDescent="0.2">
      <c r="P400" s="391" t="s">
        <v>242</v>
      </c>
      <c r="Q400" s="390" t="e">
        <f ca="1">_xll.qlCalendarAdvance(Calendar,Q399,P400,"f")</f>
        <v>#NAME?</v>
      </c>
      <c r="R400" s="389" t="e">
        <f ca="1">_xll.qlIndexFixing(Index,Q400,,InterestRatesTrigger)</f>
        <v>#NAME?</v>
      </c>
    </row>
    <row r="401" spans="16:18" x14ac:dyDescent="0.2">
      <c r="P401" s="391" t="s">
        <v>242</v>
      </c>
      <c r="Q401" s="390" t="e">
        <f ca="1">_xll.qlCalendarAdvance(Calendar,Q400,P401,"f")</f>
        <v>#NAME?</v>
      </c>
      <c r="R401" s="389" t="e">
        <f ca="1">_xll.qlIndexFixing(Index,Q401,,InterestRatesTrigger)</f>
        <v>#NAME?</v>
      </c>
    </row>
    <row r="402" spans="16:18" x14ac:dyDescent="0.2">
      <c r="P402" s="391" t="s">
        <v>242</v>
      </c>
      <c r="Q402" s="390" t="e">
        <f ca="1">_xll.qlCalendarAdvance(Calendar,Q401,P402,"f")</f>
        <v>#NAME?</v>
      </c>
      <c r="R402" s="389" t="e">
        <f ca="1">_xll.qlIndexFixing(Index,Q402,,InterestRatesTrigger)</f>
        <v>#NAME?</v>
      </c>
    </row>
    <row r="403" spans="16:18" x14ac:dyDescent="0.2">
      <c r="P403" s="391" t="s">
        <v>242</v>
      </c>
      <c r="Q403" s="390" t="e">
        <f ca="1">_xll.qlCalendarAdvance(Calendar,Q402,P403,"f")</f>
        <v>#NAME?</v>
      </c>
      <c r="R403" s="389" t="e">
        <f ca="1">_xll.qlIndexFixing(Index,Q403,,InterestRatesTrigger)</f>
        <v>#NAME?</v>
      </c>
    </row>
    <row r="404" spans="16:18" x14ac:dyDescent="0.2">
      <c r="P404" s="391" t="s">
        <v>242</v>
      </c>
      <c r="Q404" s="390" t="e">
        <f ca="1">_xll.qlCalendarAdvance(Calendar,Q403,P404,"f")</f>
        <v>#NAME?</v>
      </c>
      <c r="R404" s="389" t="e">
        <f ca="1">_xll.qlIndexFixing(Index,Q404,,InterestRatesTrigger)</f>
        <v>#NAME?</v>
      </c>
    </row>
    <row r="405" spans="16:18" x14ac:dyDescent="0.2">
      <c r="P405" s="391" t="s">
        <v>242</v>
      </c>
      <c r="Q405" s="390" t="e">
        <f ca="1">_xll.qlCalendarAdvance(Calendar,Q404,P405,"f")</f>
        <v>#NAME?</v>
      </c>
      <c r="R405" s="389" t="e">
        <f ca="1">_xll.qlIndexFixing(Index,Q405,,InterestRatesTrigger)</f>
        <v>#NAME?</v>
      </c>
    </row>
    <row r="406" spans="16:18" x14ac:dyDescent="0.2">
      <c r="P406" s="391" t="s">
        <v>242</v>
      </c>
      <c r="Q406" s="390" t="e">
        <f ca="1">_xll.qlCalendarAdvance(Calendar,Q405,P406,"f")</f>
        <v>#NAME?</v>
      </c>
      <c r="R406" s="389" t="e">
        <f ca="1">_xll.qlIndexFixing(Index,Q406,,InterestRatesTrigger)</f>
        <v>#NAME?</v>
      </c>
    </row>
    <row r="407" spans="16:18" x14ac:dyDescent="0.2">
      <c r="P407" s="391" t="s">
        <v>242</v>
      </c>
      <c r="Q407" s="390" t="e">
        <f ca="1">_xll.qlCalendarAdvance(Calendar,Q406,P407,"f")</f>
        <v>#NAME?</v>
      </c>
      <c r="R407" s="389" t="e">
        <f ca="1">_xll.qlIndexFixing(Index,Q407,,InterestRatesTrigger)</f>
        <v>#NAME?</v>
      </c>
    </row>
    <row r="408" spans="16:18" x14ac:dyDescent="0.2">
      <c r="P408" s="391" t="s">
        <v>242</v>
      </c>
      <c r="Q408" s="390" t="e">
        <f ca="1">_xll.qlCalendarAdvance(Calendar,Q407,P408,"f")</f>
        <v>#NAME?</v>
      </c>
      <c r="R408" s="389" t="e">
        <f ca="1">_xll.qlIndexFixing(Index,Q408,,InterestRatesTrigger)</f>
        <v>#NAME?</v>
      </c>
    </row>
    <row r="409" spans="16:18" x14ac:dyDescent="0.2">
      <c r="P409" s="391" t="s">
        <v>242</v>
      </c>
      <c r="Q409" s="390" t="e">
        <f ca="1">_xll.qlCalendarAdvance(Calendar,Q408,P409,"f")</f>
        <v>#NAME?</v>
      </c>
      <c r="R409" s="389" t="e">
        <f ca="1">_xll.qlIndexFixing(Index,Q409,,InterestRatesTrigger)</f>
        <v>#NAME?</v>
      </c>
    </row>
    <row r="410" spans="16:18" x14ac:dyDescent="0.2">
      <c r="P410" s="391" t="s">
        <v>242</v>
      </c>
      <c r="Q410" s="390" t="e">
        <f ca="1">_xll.qlCalendarAdvance(Calendar,Q409,P410,"f")</f>
        <v>#NAME?</v>
      </c>
      <c r="R410" s="389" t="e">
        <f ca="1">_xll.qlIndexFixing(Index,Q410,,InterestRatesTrigger)</f>
        <v>#NAME?</v>
      </c>
    </row>
    <row r="411" spans="16:18" x14ac:dyDescent="0.2">
      <c r="P411" s="391" t="s">
        <v>242</v>
      </c>
      <c r="Q411" s="390" t="e">
        <f ca="1">_xll.qlCalendarAdvance(Calendar,Q410,P411,"f")</f>
        <v>#NAME?</v>
      </c>
      <c r="R411" s="389" t="e">
        <f ca="1">_xll.qlIndexFixing(Index,Q411,,InterestRatesTrigger)</f>
        <v>#NAME?</v>
      </c>
    </row>
    <row r="412" spans="16:18" x14ac:dyDescent="0.2">
      <c r="P412" s="391" t="s">
        <v>242</v>
      </c>
      <c r="Q412" s="390" t="e">
        <f ca="1">_xll.qlCalendarAdvance(Calendar,Q411,P412,"f")</f>
        <v>#NAME?</v>
      </c>
      <c r="R412" s="389" t="e">
        <f ca="1">_xll.qlIndexFixing(Index,Q412,,InterestRatesTrigger)</f>
        <v>#NAME?</v>
      </c>
    </row>
    <row r="413" spans="16:18" x14ac:dyDescent="0.2">
      <c r="P413" s="391" t="s">
        <v>242</v>
      </c>
      <c r="Q413" s="390" t="e">
        <f ca="1">_xll.qlCalendarAdvance(Calendar,Q412,P413,"f")</f>
        <v>#NAME?</v>
      </c>
      <c r="R413" s="389" t="e">
        <f ca="1">_xll.qlIndexFixing(Index,Q413,,InterestRatesTrigger)</f>
        <v>#NAME?</v>
      </c>
    </row>
    <row r="414" spans="16:18" x14ac:dyDescent="0.2">
      <c r="P414" s="391" t="s">
        <v>242</v>
      </c>
      <c r="Q414" s="390" t="e">
        <f ca="1">_xll.qlCalendarAdvance(Calendar,Q413,P414,"f")</f>
        <v>#NAME?</v>
      </c>
      <c r="R414" s="389" t="e">
        <f ca="1">_xll.qlIndexFixing(Index,Q414,,InterestRatesTrigger)</f>
        <v>#NAME?</v>
      </c>
    </row>
    <row r="415" spans="16:18" x14ac:dyDescent="0.2">
      <c r="P415" s="391" t="s">
        <v>242</v>
      </c>
      <c r="Q415" s="390" t="e">
        <f ca="1">_xll.qlCalendarAdvance(Calendar,Q414,P415,"f")</f>
        <v>#NAME?</v>
      </c>
      <c r="R415" s="389" t="e">
        <f ca="1">_xll.qlIndexFixing(Index,Q415,,InterestRatesTrigger)</f>
        <v>#NAME?</v>
      </c>
    </row>
    <row r="416" spans="16:18" x14ac:dyDescent="0.2">
      <c r="P416" s="391" t="s">
        <v>242</v>
      </c>
      <c r="Q416" s="390" t="e">
        <f ca="1">_xll.qlCalendarAdvance(Calendar,Q415,P416,"f")</f>
        <v>#NAME?</v>
      </c>
      <c r="R416" s="389" t="e">
        <f ca="1">_xll.qlIndexFixing(Index,Q416,,InterestRatesTrigger)</f>
        <v>#NAME?</v>
      </c>
    </row>
    <row r="417" spans="16:18" x14ac:dyDescent="0.2">
      <c r="P417" s="391" t="s">
        <v>242</v>
      </c>
      <c r="Q417" s="390" t="e">
        <f ca="1">_xll.qlCalendarAdvance(Calendar,Q416,P417,"f")</f>
        <v>#NAME?</v>
      </c>
      <c r="R417" s="389" t="e">
        <f ca="1">_xll.qlIndexFixing(Index,Q417,,InterestRatesTrigger)</f>
        <v>#NAME?</v>
      </c>
    </row>
    <row r="418" spans="16:18" x14ac:dyDescent="0.2">
      <c r="P418" s="391" t="s">
        <v>242</v>
      </c>
      <c r="Q418" s="390" t="e">
        <f ca="1">_xll.qlCalendarAdvance(Calendar,Q417,P418,"f")</f>
        <v>#NAME?</v>
      </c>
      <c r="R418" s="389" t="e">
        <f ca="1">_xll.qlIndexFixing(Index,Q418,,InterestRatesTrigger)</f>
        <v>#NAME?</v>
      </c>
    </row>
    <row r="419" spans="16:18" x14ac:dyDescent="0.2">
      <c r="P419" s="391" t="s">
        <v>242</v>
      </c>
      <c r="Q419" s="390" t="e">
        <f ca="1">_xll.qlCalendarAdvance(Calendar,Q418,P419,"f")</f>
        <v>#NAME?</v>
      </c>
      <c r="R419" s="389" t="e">
        <f ca="1">_xll.qlIndexFixing(Index,Q419,,InterestRatesTrigger)</f>
        <v>#NAME?</v>
      </c>
    </row>
    <row r="420" spans="16:18" x14ac:dyDescent="0.2">
      <c r="P420" s="391" t="s">
        <v>242</v>
      </c>
      <c r="Q420" s="390" t="e">
        <f ca="1">_xll.qlCalendarAdvance(Calendar,Q419,P420,"f")</f>
        <v>#NAME?</v>
      </c>
      <c r="R420" s="389" t="e">
        <f ca="1">_xll.qlIndexFixing(Index,Q420,,InterestRatesTrigger)</f>
        <v>#NAME?</v>
      </c>
    </row>
    <row r="421" spans="16:18" x14ac:dyDescent="0.2">
      <c r="P421" s="391" t="s">
        <v>242</v>
      </c>
      <c r="Q421" s="390" t="e">
        <f ca="1">_xll.qlCalendarAdvance(Calendar,Q420,P421,"f")</f>
        <v>#NAME?</v>
      </c>
      <c r="R421" s="389" t="e">
        <f ca="1">_xll.qlIndexFixing(Index,Q421,,InterestRatesTrigger)</f>
        <v>#NAME?</v>
      </c>
    </row>
    <row r="422" spans="16:18" x14ac:dyDescent="0.2">
      <c r="P422" s="391" t="s">
        <v>242</v>
      </c>
      <c r="Q422" s="390" t="e">
        <f ca="1">_xll.qlCalendarAdvance(Calendar,Q421,P422,"f")</f>
        <v>#NAME?</v>
      </c>
      <c r="R422" s="389" t="e">
        <f ca="1">_xll.qlIndexFixing(Index,Q422,,InterestRatesTrigger)</f>
        <v>#NAME?</v>
      </c>
    </row>
    <row r="423" spans="16:18" x14ac:dyDescent="0.2">
      <c r="P423" s="391" t="s">
        <v>242</v>
      </c>
      <c r="Q423" s="390" t="e">
        <f ca="1">_xll.qlCalendarAdvance(Calendar,Q422,P423,"f")</f>
        <v>#NAME?</v>
      </c>
      <c r="R423" s="389" t="e">
        <f ca="1">_xll.qlIndexFixing(Index,Q423,,InterestRatesTrigger)</f>
        <v>#NAME?</v>
      </c>
    </row>
    <row r="424" spans="16:18" x14ac:dyDescent="0.2">
      <c r="P424" s="391" t="s">
        <v>242</v>
      </c>
      <c r="Q424" s="390" t="e">
        <f ca="1">_xll.qlCalendarAdvance(Calendar,Q423,P424,"f")</f>
        <v>#NAME?</v>
      </c>
      <c r="R424" s="389" t="e">
        <f ca="1">_xll.qlIndexFixing(Index,Q424,,InterestRatesTrigger)</f>
        <v>#NAME?</v>
      </c>
    </row>
    <row r="425" spans="16:18" x14ac:dyDescent="0.2">
      <c r="P425" s="391" t="s">
        <v>242</v>
      </c>
      <c r="Q425" s="390" t="e">
        <f ca="1">_xll.qlCalendarAdvance(Calendar,Q424,P425,"f")</f>
        <v>#NAME?</v>
      </c>
      <c r="R425" s="389" t="e">
        <f ca="1">_xll.qlIndexFixing(Index,Q425,,InterestRatesTrigger)</f>
        <v>#NAME?</v>
      </c>
    </row>
    <row r="426" spans="16:18" x14ac:dyDescent="0.2">
      <c r="P426" s="391" t="s">
        <v>242</v>
      </c>
      <c r="Q426" s="390" t="e">
        <f ca="1">_xll.qlCalendarAdvance(Calendar,Q425,P426,"f")</f>
        <v>#NAME?</v>
      </c>
      <c r="R426" s="389" t="e">
        <f ca="1">_xll.qlIndexFixing(Index,Q426,,InterestRatesTrigger)</f>
        <v>#NAME?</v>
      </c>
    </row>
    <row r="427" spans="16:18" x14ac:dyDescent="0.2">
      <c r="P427" s="391" t="s">
        <v>242</v>
      </c>
      <c r="Q427" s="390" t="e">
        <f ca="1">_xll.qlCalendarAdvance(Calendar,Q426,P427,"f")</f>
        <v>#NAME?</v>
      </c>
      <c r="R427" s="389" t="e">
        <f ca="1">_xll.qlIndexFixing(Index,Q427,,InterestRatesTrigger)</f>
        <v>#NAME?</v>
      </c>
    </row>
    <row r="428" spans="16:18" x14ac:dyDescent="0.2">
      <c r="P428" s="391" t="s">
        <v>242</v>
      </c>
      <c r="Q428" s="390" t="e">
        <f ca="1">_xll.qlCalendarAdvance(Calendar,Q427,P428,"f")</f>
        <v>#NAME?</v>
      </c>
      <c r="R428" s="389" t="e">
        <f ca="1">_xll.qlIndexFixing(Index,Q428,,InterestRatesTrigger)</f>
        <v>#NAME?</v>
      </c>
    </row>
    <row r="429" spans="16:18" x14ac:dyDescent="0.2">
      <c r="P429" s="391" t="s">
        <v>242</v>
      </c>
      <c r="Q429" s="390" t="e">
        <f ca="1">_xll.qlCalendarAdvance(Calendar,Q428,P429,"f")</f>
        <v>#NAME?</v>
      </c>
      <c r="R429" s="389" t="e">
        <f ca="1">_xll.qlIndexFixing(Index,Q429,,InterestRatesTrigger)</f>
        <v>#NAME?</v>
      </c>
    </row>
    <row r="430" spans="16:18" x14ac:dyDescent="0.2">
      <c r="P430" s="391" t="s">
        <v>242</v>
      </c>
      <c r="Q430" s="390" t="e">
        <f ca="1">_xll.qlCalendarAdvance(Calendar,Q429,P430,"f")</f>
        <v>#NAME?</v>
      </c>
      <c r="R430" s="389" t="e">
        <f ca="1">_xll.qlIndexFixing(Index,Q430,,InterestRatesTrigger)</f>
        <v>#NAME?</v>
      </c>
    </row>
    <row r="431" spans="16:18" x14ac:dyDescent="0.2">
      <c r="P431" s="391" t="s">
        <v>242</v>
      </c>
      <c r="Q431" s="390" t="e">
        <f ca="1">_xll.qlCalendarAdvance(Calendar,Q430,P431,"f")</f>
        <v>#NAME?</v>
      </c>
      <c r="R431" s="389" t="e">
        <f ca="1">_xll.qlIndexFixing(Index,Q431,,InterestRatesTrigger)</f>
        <v>#NAME?</v>
      </c>
    </row>
    <row r="432" spans="16:18" x14ac:dyDescent="0.2">
      <c r="P432" s="391" t="s">
        <v>242</v>
      </c>
      <c r="Q432" s="390" t="e">
        <f ca="1">_xll.qlCalendarAdvance(Calendar,Q431,P432,"f")</f>
        <v>#NAME?</v>
      </c>
      <c r="R432" s="389" t="e">
        <f ca="1">_xll.qlIndexFixing(Index,Q432,,InterestRatesTrigger)</f>
        <v>#NAME?</v>
      </c>
    </row>
    <row r="433" spans="16:18" x14ac:dyDescent="0.2">
      <c r="P433" s="391" t="s">
        <v>242</v>
      </c>
      <c r="Q433" s="390" t="e">
        <f ca="1">_xll.qlCalendarAdvance(Calendar,Q432,P433,"f")</f>
        <v>#NAME?</v>
      </c>
      <c r="R433" s="389" t="e">
        <f ca="1">_xll.qlIndexFixing(Index,Q433,,InterestRatesTrigger)</f>
        <v>#NAME?</v>
      </c>
    </row>
    <row r="434" spans="16:18" x14ac:dyDescent="0.2">
      <c r="P434" s="391" t="s">
        <v>242</v>
      </c>
      <c r="Q434" s="390" t="e">
        <f ca="1">_xll.qlCalendarAdvance(Calendar,Q433,P434,"f")</f>
        <v>#NAME?</v>
      </c>
      <c r="R434" s="389" t="e">
        <f ca="1">_xll.qlIndexFixing(Index,Q434,,InterestRatesTrigger)</f>
        <v>#NAME?</v>
      </c>
    </row>
    <row r="435" spans="16:18" x14ac:dyDescent="0.2">
      <c r="P435" s="391" t="s">
        <v>242</v>
      </c>
      <c r="Q435" s="390" t="e">
        <f ca="1">_xll.qlCalendarAdvance(Calendar,Q434,P435,"f")</f>
        <v>#NAME?</v>
      </c>
      <c r="R435" s="389" t="e">
        <f ca="1">_xll.qlIndexFixing(Index,Q435,,InterestRatesTrigger)</f>
        <v>#NAME?</v>
      </c>
    </row>
    <row r="436" spans="16:18" x14ac:dyDescent="0.2">
      <c r="P436" s="391" t="s">
        <v>242</v>
      </c>
      <c r="Q436" s="390" t="e">
        <f ca="1">_xll.qlCalendarAdvance(Calendar,Q435,P436,"f")</f>
        <v>#NAME?</v>
      </c>
      <c r="R436" s="389" t="e">
        <f ca="1">_xll.qlIndexFixing(Index,Q436,,InterestRatesTrigger)</f>
        <v>#NAME?</v>
      </c>
    </row>
    <row r="437" spans="16:18" x14ac:dyDescent="0.2">
      <c r="P437" s="391" t="s">
        <v>242</v>
      </c>
      <c r="Q437" s="390" t="e">
        <f ca="1">_xll.qlCalendarAdvance(Calendar,Q436,P437,"f")</f>
        <v>#NAME?</v>
      </c>
      <c r="R437" s="389" t="e">
        <f ca="1">_xll.qlIndexFixing(Index,Q437,,InterestRatesTrigger)</f>
        <v>#NAME?</v>
      </c>
    </row>
    <row r="438" spans="16:18" x14ac:dyDescent="0.2">
      <c r="P438" s="391" t="s">
        <v>242</v>
      </c>
      <c r="Q438" s="390" t="e">
        <f ca="1">_xll.qlCalendarAdvance(Calendar,Q437,P438,"f")</f>
        <v>#NAME?</v>
      </c>
      <c r="R438" s="389" t="e">
        <f ca="1">_xll.qlIndexFixing(Index,Q438,,InterestRatesTrigger)</f>
        <v>#NAME?</v>
      </c>
    </row>
    <row r="439" spans="16:18" x14ac:dyDescent="0.2">
      <c r="P439" s="391" t="s">
        <v>242</v>
      </c>
      <c r="Q439" s="390" t="e">
        <f ca="1">_xll.qlCalendarAdvance(Calendar,Q438,P439,"f")</f>
        <v>#NAME?</v>
      </c>
      <c r="R439" s="389" t="e">
        <f ca="1">_xll.qlIndexFixing(Index,Q439,,InterestRatesTrigger)</f>
        <v>#NAME?</v>
      </c>
    </row>
    <row r="440" spans="16:18" x14ac:dyDescent="0.2">
      <c r="P440" s="391" t="s">
        <v>242</v>
      </c>
      <c r="Q440" s="390" t="e">
        <f ca="1">_xll.qlCalendarAdvance(Calendar,Q439,P440,"f")</f>
        <v>#NAME?</v>
      </c>
      <c r="R440" s="389" t="e">
        <f ca="1">_xll.qlIndexFixing(Index,Q440,,InterestRatesTrigger)</f>
        <v>#NAME?</v>
      </c>
    </row>
    <row r="441" spans="16:18" x14ac:dyDescent="0.2">
      <c r="P441" s="391" t="s">
        <v>242</v>
      </c>
      <c r="Q441" s="390" t="e">
        <f ca="1">_xll.qlCalendarAdvance(Calendar,Q440,P441,"f")</f>
        <v>#NAME?</v>
      </c>
      <c r="R441" s="389" t="e">
        <f ca="1">_xll.qlIndexFixing(Index,Q441,,InterestRatesTrigger)</f>
        <v>#NAME?</v>
      </c>
    </row>
    <row r="442" spans="16:18" x14ac:dyDescent="0.2">
      <c r="P442" s="391" t="s">
        <v>242</v>
      </c>
      <c r="Q442" s="390" t="e">
        <f ca="1">_xll.qlCalendarAdvance(Calendar,Q441,P442,"f")</f>
        <v>#NAME?</v>
      </c>
      <c r="R442" s="389" t="e">
        <f ca="1">_xll.qlIndexFixing(Index,Q442,,InterestRatesTrigger)</f>
        <v>#NAME?</v>
      </c>
    </row>
    <row r="443" spans="16:18" x14ac:dyDescent="0.2">
      <c r="P443" s="391" t="s">
        <v>242</v>
      </c>
      <c r="Q443" s="390" t="e">
        <f ca="1">_xll.qlCalendarAdvance(Calendar,Q442,P443,"f")</f>
        <v>#NAME?</v>
      </c>
      <c r="R443" s="389" t="e">
        <f ca="1">_xll.qlIndexFixing(Index,Q443,,InterestRatesTrigger)</f>
        <v>#NAME?</v>
      </c>
    </row>
    <row r="444" spans="16:18" x14ac:dyDescent="0.2">
      <c r="P444" s="391" t="s">
        <v>242</v>
      </c>
      <c r="Q444" s="390" t="e">
        <f ca="1">_xll.qlCalendarAdvance(Calendar,Q443,P444,"f")</f>
        <v>#NAME?</v>
      </c>
      <c r="R444" s="389" t="e">
        <f ca="1">_xll.qlIndexFixing(Index,Q444,,InterestRatesTrigger)</f>
        <v>#NAME?</v>
      </c>
    </row>
    <row r="445" spans="16:18" x14ac:dyDescent="0.2">
      <c r="P445" s="391" t="s">
        <v>242</v>
      </c>
      <c r="Q445" s="390" t="e">
        <f ca="1">_xll.qlCalendarAdvance(Calendar,Q444,P445,"f")</f>
        <v>#NAME?</v>
      </c>
      <c r="R445" s="389" t="e">
        <f ca="1">_xll.qlIndexFixing(Index,Q445,,InterestRatesTrigger)</f>
        <v>#NAME?</v>
      </c>
    </row>
    <row r="446" spans="16:18" x14ac:dyDescent="0.2">
      <c r="P446" s="391" t="s">
        <v>242</v>
      </c>
      <c r="Q446" s="390" t="e">
        <f ca="1">_xll.qlCalendarAdvance(Calendar,Q445,P446,"f")</f>
        <v>#NAME?</v>
      </c>
      <c r="R446" s="389" t="e">
        <f ca="1">_xll.qlIndexFixing(Index,Q446,,InterestRatesTrigger)</f>
        <v>#NAME?</v>
      </c>
    </row>
    <row r="447" spans="16:18" x14ac:dyDescent="0.2">
      <c r="P447" s="391" t="s">
        <v>242</v>
      </c>
      <c r="Q447" s="390" t="e">
        <f ca="1">_xll.qlCalendarAdvance(Calendar,Q446,P447,"f")</f>
        <v>#NAME?</v>
      </c>
      <c r="R447" s="389" t="e">
        <f ca="1">_xll.qlIndexFixing(Index,Q447,,InterestRatesTrigger)</f>
        <v>#NAME?</v>
      </c>
    </row>
    <row r="448" spans="16:18" x14ac:dyDescent="0.2">
      <c r="P448" s="391" t="s">
        <v>242</v>
      </c>
      <c r="Q448" s="390" t="e">
        <f ca="1">_xll.qlCalendarAdvance(Calendar,Q447,P448,"f")</f>
        <v>#NAME?</v>
      </c>
      <c r="R448" s="389" t="e">
        <f ca="1">_xll.qlIndexFixing(Index,Q448,,InterestRatesTrigger)</f>
        <v>#NAME?</v>
      </c>
    </row>
    <row r="449" spans="16:18" x14ac:dyDescent="0.2">
      <c r="P449" s="391" t="s">
        <v>242</v>
      </c>
      <c r="Q449" s="390" t="e">
        <f ca="1">_xll.qlCalendarAdvance(Calendar,Q448,P449,"f")</f>
        <v>#NAME?</v>
      </c>
      <c r="R449" s="389" t="e">
        <f ca="1">_xll.qlIndexFixing(Index,Q449,,InterestRatesTrigger)</f>
        <v>#NAME?</v>
      </c>
    </row>
    <row r="450" spans="16:18" x14ac:dyDescent="0.2">
      <c r="P450" s="391" t="s">
        <v>242</v>
      </c>
      <c r="Q450" s="390" t="e">
        <f ca="1">_xll.qlCalendarAdvance(Calendar,Q449,P450,"f")</f>
        <v>#NAME?</v>
      </c>
      <c r="R450" s="389" t="e">
        <f ca="1">_xll.qlIndexFixing(Index,Q450,,InterestRatesTrigger)</f>
        <v>#NAME?</v>
      </c>
    </row>
    <row r="451" spans="16:18" x14ac:dyDescent="0.2">
      <c r="P451" s="391" t="s">
        <v>242</v>
      </c>
      <c r="Q451" s="390" t="e">
        <f ca="1">_xll.qlCalendarAdvance(Calendar,Q450,P451,"f")</f>
        <v>#NAME?</v>
      </c>
      <c r="R451" s="389" t="e">
        <f ca="1">_xll.qlIndexFixing(Index,Q451,,InterestRatesTrigger)</f>
        <v>#NAME?</v>
      </c>
    </row>
    <row r="452" spans="16:18" x14ac:dyDescent="0.2">
      <c r="P452" s="391" t="s">
        <v>242</v>
      </c>
      <c r="Q452" s="390" t="e">
        <f ca="1">_xll.qlCalendarAdvance(Calendar,Q451,P452,"f")</f>
        <v>#NAME?</v>
      </c>
      <c r="R452" s="389" t="e">
        <f ca="1">_xll.qlIndexFixing(Index,Q452,,InterestRatesTrigger)</f>
        <v>#NAME?</v>
      </c>
    </row>
    <row r="453" spans="16:18" x14ac:dyDescent="0.2">
      <c r="P453" s="391" t="s">
        <v>242</v>
      </c>
      <c r="Q453" s="390" t="e">
        <f ca="1">_xll.qlCalendarAdvance(Calendar,Q452,P453,"f")</f>
        <v>#NAME?</v>
      </c>
      <c r="R453" s="389" t="e">
        <f ca="1">_xll.qlIndexFixing(Index,Q453,,InterestRatesTrigger)</f>
        <v>#NAME?</v>
      </c>
    </row>
    <row r="454" spans="16:18" x14ac:dyDescent="0.2">
      <c r="P454" s="391" t="s">
        <v>242</v>
      </c>
      <c r="Q454" s="390" t="e">
        <f ca="1">_xll.qlCalendarAdvance(Calendar,Q453,P454,"f")</f>
        <v>#NAME?</v>
      </c>
      <c r="R454" s="389" t="e">
        <f ca="1">_xll.qlIndexFixing(Index,Q454,,InterestRatesTrigger)</f>
        <v>#NAME?</v>
      </c>
    </row>
    <row r="455" spans="16:18" x14ac:dyDescent="0.2">
      <c r="P455" s="391" t="s">
        <v>242</v>
      </c>
      <c r="Q455" s="390" t="e">
        <f ca="1">_xll.qlCalendarAdvance(Calendar,Q454,P455,"f")</f>
        <v>#NAME?</v>
      </c>
      <c r="R455" s="389" t="e">
        <f ca="1">_xll.qlIndexFixing(Index,Q455,,InterestRatesTrigger)</f>
        <v>#NAME?</v>
      </c>
    </row>
    <row r="456" spans="16:18" x14ac:dyDescent="0.2">
      <c r="P456" s="391" t="s">
        <v>242</v>
      </c>
      <c r="Q456" s="390" t="e">
        <f ca="1">_xll.qlCalendarAdvance(Calendar,Q455,P456,"f")</f>
        <v>#NAME?</v>
      </c>
      <c r="R456" s="389" t="e">
        <f ca="1">_xll.qlIndexFixing(Index,Q456,,InterestRatesTrigger)</f>
        <v>#NAME?</v>
      </c>
    </row>
    <row r="457" spans="16:18" x14ac:dyDescent="0.2">
      <c r="P457" s="391" t="s">
        <v>242</v>
      </c>
      <c r="Q457" s="390" t="e">
        <f ca="1">_xll.qlCalendarAdvance(Calendar,Q456,P457,"f")</f>
        <v>#NAME?</v>
      </c>
      <c r="R457" s="389" t="e">
        <f ca="1">_xll.qlIndexFixing(Index,Q457,,InterestRatesTrigger)</f>
        <v>#NAME?</v>
      </c>
    </row>
    <row r="458" spans="16:18" x14ac:dyDescent="0.2">
      <c r="P458" s="391" t="s">
        <v>242</v>
      </c>
      <c r="Q458" s="390" t="e">
        <f ca="1">_xll.qlCalendarAdvance(Calendar,Q457,P458,"f")</f>
        <v>#NAME?</v>
      </c>
      <c r="R458" s="389" t="e">
        <f ca="1">_xll.qlIndexFixing(Index,Q458,,InterestRatesTrigger)</f>
        <v>#NAME?</v>
      </c>
    </row>
    <row r="459" spans="16:18" x14ac:dyDescent="0.2">
      <c r="P459" s="391" t="s">
        <v>242</v>
      </c>
      <c r="Q459" s="390" t="e">
        <f ca="1">_xll.qlCalendarAdvance(Calendar,Q458,P459,"f")</f>
        <v>#NAME?</v>
      </c>
      <c r="R459" s="389" t="e">
        <f ca="1">_xll.qlIndexFixing(Index,Q459,,InterestRatesTrigger)</f>
        <v>#NAME?</v>
      </c>
    </row>
    <row r="460" spans="16:18" x14ac:dyDescent="0.2">
      <c r="P460" s="391" t="s">
        <v>242</v>
      </c>
      <c r="Q460" s="390" t="e">
        <f ca="1">_xll.qlCalendarAdvance(Calendar,Q459,P460,"f")</f>
        <v>#NAME?</v>
      </c>
      <c r="R460" s="389" t="e">
        <f ca="1">_xll.qlIndexFixing(Index,Q460,,InterestRatesTrigger)</f>
        <v>#NAME?</v>
      </c>
    </row>
    <row r="461" spans="16:18" x14ac:dyDescent="0.2">
      <c r="P461" s="391" t="s">
        <v>242</v>
      </c>
      <c r="Q461" s="390" t="e">
        <f ca="1">_xll.qlCalendarAdvance(Calendar,Q460,P461,"f")</f>
        <v>#NAME?</v>
      </c>
      <c r="R461" s="389" t="e">
        <f ca="1">_xll.qlIndexFixing(Index,Q461,,InterestRatesTrigger)</f>
        <v>#NAME?</v>
      </c>
    </row>
    <row r="462" spans="16:18" x14ac:dyDescent="0.2">
      <c r="P462" s="391" t="s">
        <v>242</v>
      </c>
      <c r="Q462" s="390" t="e">
        <f ca="1">_xll.qlCalendarAdvance(Calendar,Q461,P462,"f")</f>
        <v>#NAME?</v>
      </c>
      <c r="R462" s="389" t="e">
        <f ca="1">_xll.qlIndexFixing(Index,Q462,,InterestRatesTrigger)</f>
        <v>#NAME?</v>
      </c>
    </row>
    <row r="463" spans="16:18" x14ac:dyDescent="0.2">
      <c r="P463" s="391" t="s">
        <v>242</v>
      </c>
      <c r="Q463" s="390" t="e">
        <f ca="1">_xll.qlCalendarAdvance(Calendar,Q462,P463,"f")</f>
        <v>#NAME?</v>
      </c>
      <c r="R463" s="389" t="e">
        <f ca="1">_xll.qlIndexFixing(Index,Q463,,InterestRatesTrigger)</f>
        <v>#NAME?</v>
      </c>
    </row>
    <row r="464" spans="16:18" x14ac:dyDescent="0.2">
      <c r="P464" s="391" t="s">
        <v>242</v>
      </c>
      <c r="Q464" s="390" t="e">
        <f ca="1">_xll.qlCalendarAdvance(Calendar,Q463,P464,"f")</f>
        <v>#NAME?</v>
      </c>
      <c r="R464" s="389" t="e">
        <f ca="1">_xll.qlIndexFixing(Index,Q464,,InterestRatesTrigger)</f>
        <v>#NAME?</v>
      </c>
    </row>
    <row r="465" spans="16:18" x14ac:dyDescent="0.2">
      <c r="P465" s="391" t="s">
        <v>242</v>
      </c>
      <c r="Q465" s="390" t="e">
        <f ca="1">_xll.qlCalendarAdvance(Calendar,Q464,P465,"f")</f>
        <v>#NAME?</v>
      </c>
      <c r="R465" s="389" t="e">
        <f ca="1">_xll.qlIndexFixing(Index,Q465,,InterestRatesTrigger)</f>
        <v>#NAME?</v>
      </c>
    </row>
    <row r="466" spans="16:18" x14ac:dyDescent="0.2">
      <c r="P466" s="391" t="s">
        <v>242</v>
      </c>
      <c r="Q466" s="390" t="e">
        <f ca="1">_xll.qlCalendarAdvance(Calendar,Q465,P466,"f")</f>
        <v>#NAME?</v>
      </c>
      <c r="R466" s="389" t="e">
        <f ca="1">_xll.qlIndexFixing(Index,Q466,,InterestRatesTrigger)</f>
        <v>#NAME?</v>
      </c>
    </row>
    <row r="467" spans="16:18" x14ac:dyDescent="0.2">
      <c r="P467" s="391" t="s">
        <v>242</v>
      </c>
      <c r="Q467" s="390" t="e">
        <f ca="1">_xll.qlCalendarAdvance(Calendar,Q466,P467,"f")</f>
        <v>#NAME?</v>
      </c>
      <c r="R467" s="389" t="e">
        <f ca="1">_xll.qlIndexFixing(Index,Q467,,InterestRatesTrigger)</f>
        <v>#NAME?</v>
      </c>
    </row>
    <row r="468" spans="16:18" x14ac:dyDescent="0.2">
      <c r="P468" s="391" t="s">
        <v>242</v>
      </c>
      <c r="Q468" s="390" t="e">
        <f ca="1">_xll.qlCalendarAdvance(Calendar,Q467,P468,"f")</f>
        <v>#NAME?</v>
      </c>
      <c r="R468" s="389" t="e">
        <f ca="1">_xll.qlIndexFixing(Index,Q468,,InterestRatesTrigger)</f>
        <v>#NAME?</v>
      </c>
    </row>
    <row r="469" spans="16:18" x14ac:dyDescent="0.2">
      <c r="P469" s="391" t="s">
        <v>242</v>
      </c>
      <c r="Q469" s="390" t="e">
        <f ca="1">_xll.qlCalendarAdvance(Calendar,Q468,P469,"f")</f>
        <v>#NAME?</v>
      </c>
      <c r="R469" s="389" t="e">
        <f ca="1">_xll.qlIndexFixing(Index,Q469,,InterestRatesTrigger)</f>
        <v>#NAME?</v>
      </c>
    </row>
    <row r="470" spans="16:18" x14ac:dyDescent="0.2">
      <c r="P470" s="391" t="s">
        <v>242</v>
      </c>
      <c r="Q470" s="390" t="e">
        <f ca="1">_xll.qlCalendarAdvance(Calendar,Q469,P470,"f")</f>
        <v>#NAME?</v>
      </c>
      <c r="R470" s="389" t="e">
        <f ca="1">_xll.qlIndexFixing(Index,Q470,,InterestRatesTrigger)</f>
        <v>#NAME?</v>
      </c>
    </row>
    <row r="471" spans="16:18" x14ac:dyDescent="0.2">
      <c r="P471" s="391" t="s">
        <v>242</v>
      </c>
      <c r="Q471" s="390" t="e">
        <f ca="1">_xll.qlCalendarAdvance(Calendar,Q470,P471,"f")</f>
        <v>#NAME?</v>
      </c>
      <c r="R471" s="389" t="e">
        <f ca="1">_xll.qlIndexFixing(Index,Q471,,InterestRatesTrigger)</f>
        <v>#NAME?</v>
      </c>
    </row>
    <row r="472" spans="16:18" x14ac:dyDescent="0.2">
      <c r="P472" s="391" t="s">
        <v>242</v>
      </c>
      <c r="Q472" s="390" t="e">
        <f ca="1">_xll.qlCalendarAdvance(Calendar,Q471,P472,"f")</f>
        <v>#NAME?</v>
      </c>
      <c r="R472" s="389" t="e">
        <f ca="1">_xll.qlIndexFixing(Index,Q472,,InterestRatesTrigger)</f>
        <v>#NAME?</v>
      </c>
    </row>
    <row r="473" spans="16:18" x14ac:dyDescent="0.2">
      <c r="P473" s="391" t="s">
        <v>242</v>
      </c>
      <c r="Q473" s="390" t="e">
        <f ca="1">_xll.qlCalendarAdvance(Calendar,Q472,P473,"f")</f>
        <v>#NAME?</v>
      </c>
      <c r="R473" s="389" t="e">
        <f ca="1">_xll.qlIndexFixing(Index,Q473,,InterestRatesTrigger)</f>
        <v>#NAME?</v>
      </c>
    </row>
    <row r="474" spans="16:18" x14ac:dyDescent="0.2">
      <c r="P474" s="391" t="s">
        <v>242</v>
      </c>
      <c r="Q474" s="390" t="e">
        <f ca="1">_xll.qlCalendarAdvance(Calendar,Q473,P474,"f")</f>
        <v>#NAME?</v>
      </c>
      <c r="R474" s="389" t="e">
        <f ca="1">_xll.qlIndexFixing(Index,Q474,,InterestRatesTrigger)</f>
        <v>#NAME?</v>
      </c>
    </row>
    <row r="475" spans="16:18" x14ac:dyDescent="0.2">
      <c r="P475" s="391" t="s">
        <v>242</v>
      </c>
      <c r="Q475" s="390" t="e">
        <f ca="1">_xll.qlCalendarAdvance(Calendar,Q474,P475,"f")</f>
        <v>#NAME?</v>
      </c>
      <c r="R475" s="389" t="e">
        <f ca="1">_xll.qlIndexFixing(Index,Q475,,InterestRatesTrigger)</f>
        <v>#NAME?</v>
      </c>
    </row>
    <row r="476" spans="16:18" x14ac:dyDescent="0.2">
      <c r="P476" s="391" t="s">
        <v>242</v>
      </c>
      <c r="Q476" s="390" t="e">
        <f ca="1">_xll.qlCalendarAdvance(Calendar,Q475,P476,"f")</f>
        <v>#NAME?</v>
      </c>
      <c r="R476" s="389" t="e">
        <f ca="1">_xll.qlIndexFixing(Index,Q476,,InterestRatesTrigger)</f>
        <v>#NAME?</v>
      </c>
    </row>
    <row r="477" spans="16:18" x14ac:dyDescent="0.2">
      <c r="P477" s="391" t="s">
        <v>242</v>
      </c>
      <c r="Q477" s="390" t="e">
        <f ca="1">_xll.qlCalendarAdvance(Calendar,Q476,P477,"f")</f>
        <v>#NAME?</v>
      </c>
      <c r="R477" s="389" t="e">
        <f ca="1">_xll.qlIndexFixing(Index,Q477,,InterestRatesTrigger)</f>
        <v>#NAME?</v>
      </c>
    </row>
    <row r="478" spans="16:18" x14ac:dyDescent="0.2">
      <c r="P478" s="391" t="s">
        <v>242</v>
      </c>
      <c r="Q478" s="390" t="e">
        <f ca="1">_xll.qlCalendarAdvance(Calendar,Q477,P478,"f")</f>
        <v>#NAME?</v>
      </c>
      <c r="R478" s="389" t="e">
        <f ca="1">_xll.qlIndexFixing(Index,Q478,,InterestRatesTrigger)</f>
        <v>#NAME?</v>
      </c>
    </row>
    <row r="479" spans="16:18" x14ac:dyDescent="0.2">
      <c r="P479" s="391" t="s">
        <v>242</v>
      </c>
      <c r="Q479" s="390" t="e">
        <f ca="1">_xll.qlCalendarAdvance(Calendar,Q478,P479,"f")</f>
        <v>#NAME?</v>
      </c>
      <c r="R479" s="389" t="e">
        <f ca="1">_xll.qlIndexFixing(Index,Q479,,InterestRatesTrigger)</f>
        <v>#NAME?</v>
      </c>
    </row>
    <row r="480" spans="16:18" x14ac:dyDescent="0.2">
      <c r="P480" s="391" t="s">
        <v>242</v>
      </c>
      <c r="Q480" s="390" t="e">
        <f ca="1">_xll.qlCalendarAdvance(Calendar,Q479,P480,"f")</f>
        <v>#NAME?</v>
      </c>
      <c r="R480" s="389" t="e">
        <f ca="1">_xll.qlIndexFixing(Index,Q480,,InterestRatesTrigger)</f>
        <v>#NAME?</v>
      </c>
    </row>
    <row r="481" spans="16:18" x14ac:dyDescent="0.2">
      <c r="P481" s="391" t="s">
        <v>242</v>
      </c>
      <c r="Q481" s="390" t="e">
        <f ca="1">_xll.qlCalendarAdvance(Calendar,Q480,P481,"f")</f>
        <v>#NAME?</v>
      </c>
      <c r="R481" s="389" t="e">
        <f ca="1">_xll.qlIndexFixing(Index,Q481,,InterestRatesTrigger)</f>
        <v>#NAME?</v>
      </c>
    </row>
    <row r="482" spans="16:18" x14ac:dyDescent="0.2">
      <c r="P482" s="391" t="s">
        <v>242</v>
      </c>
      <c r="Q482" s="390" t="e">
        <f ca="1">_xll.qlCalendarAdvance(Calendar,Q481,P482,"f")</f>
        <v>#NAME?</v>
      </c>
      <c r="R482" s="389" t="e">
        <f ca="1">_xll.qlIndexFixing(Index,Q482,,InterestRatesTrigger)</f>
        <v>#NAME?</v>
      </c>
    </row>
    <row r="483" spans="16:18" x14ac:dyDescent="0.2">
      <c r="P483" s="391" t="s">
        <v>242</v>
      </c>
      <c r="Q483" s="390" t="e">
        <f ca="1">_xll.qlCalendarAdvance(Calendar,Q482,P483,"f")</f>
        <v>#NAME?</v>
      </c>
      <c r="R483" s="389" t="e">
        <f ca="1">_xll.qlIndexFixing(Index,Q483,,InterestRatesTrigger)</f>
        <v>#NAME?</v>
      </c>
    </row>
    <row r="484" spans="16:18" x14ac:dyDescent="0.2">
      <c r="P484" s="391" t="s">
        <v>242</v>
      </c>
      <c r="Q484" s="390" t="e">
        <f ca="1">_xll.qlCalendarAdvance(Calendar,Q483,P484,"f")</f>
        <v>#NAME?</v>
      </c>
      <c r="R484" s="389" t="e">
        <f ca="1">_xll.qlIndexFixing(Index,Q484,,InterestRatesTrigger)</f>
        <v>#NAME?</v>
      </c>
    </row>
    <row r="485" spans="16:18" x14ac:dyDescent="0.2">
      <c r="P485" s="391" t="s">
        <v>242</v>
      </c>
      <c r="Q485" s="390" t="e">
        <f ca="1">_xll.qlCalendarAdvance(Calendar,Q484,P485,"f")</f>
        <v>#NAME?</v>
      </c>
      <c r="R485" s="389" t="e">
        <f ca="1">_xll.qlIndexFixing(Index,Q485,,InterestRatesTrigger)</f>
        <v>#NAME?</v>
      </c>
    </row>
    <row r="486" spans="16:18" x14ac:dyDescent="0.2">
      <c r="P486" s="391" t="s">
        <v>242</v>
      </c>
      <c r="Q486" s="390" t="e">
        <f ca="1">_xll.qlCalendarAdvance(Calendar,Q485,P486,"f")</f>
        <v>#NAME?</v>
      </c>
      <c r="R486" s="389" t="e">
        <f ca="1">_xll.qlIndexFixing(Index,Q486,,InterestRatesTrigger)</f>
        <v>#NAME?</v>
      </c>
    </row>
    <row r="487" spans="16:18" x14ac:dyDescent="0.2">
      <c r="P487" s="391" t="s">
        <v>242</v>
      </c>
      <c r="Q487" s="390" t="e">
        <f ca="1">_xll.qlCalendarAdvance(Calendar,Q486,P487,"f")</f>
        <v>#NAME?</v>
      </c>
      <c r="R487" s="389" t="e">
        <f ca="1">_xll.qlIndexFixing(Index,Q487,,InterestRatesTrigger)</f>
        <v>#NAME?</v>
      </c>
    </row>
    <row r="488" spans="16:18" x14ac:dyDescent="0.2">
      <c r="P488" s="391" t="s">
        <v>242</v>
      </c>
      <c r="Q488" s="390" t="e">
        <f ca="1">_xll.qlCalendarAdvance(Calendar,Q487,P488,"f")</f>
        <v>#NAME?</v>
      </c>
      <c r="R488" s="389" t="e">
        <f ca="1">_xll.qlIndexFixing(Index,Q488,,InterestRatesTrigger)</f>
        <v>#NAME?</v>
      </c>
    </row>
    <row r="489" spans="16:18" x14ac:dyDescent="0.2">
      <c r="P489" s="391" t="s">
        <v>242</v>
      </c>
      <c r="Q489" s="390" t="e">
        <f ca="1">_xll.qlCalendarAdvance(Calendar,Q488,P489,"f")</f>
        <v>#NAME?</v>
      </c>
      <c r="R489" s="389" t="e">
        <f ca="1">_xll.qlIndexFixing(Index,Q489,,InterestRatesTrigger)</f>
        <v>#NAME?</v>
      </c>
    </row>
    <row r="490" spans="16:18" x14ac:dyDescent="0.2">
      <c r="P490" s="391" t="s">
        <v>242</v>
      </c>
      <c r="Q490" s="390" t="e">
        <f ca="1">_xll.qlCalendarAdvance(Calendar,Q489,P490,"f")</f>
        <v>#NAME?</v>
      </c>
      <c r="R490" s="389" t="e">
        <f ca="1">_xll.qlIndexFixing(Index,Q490,,InterestRatesTrigger)</f>
        <v>#NAME?</v>
      </c>
    </row>
    <row r="491" spans="16:18" x14ac:dyDescent="0.2">
      <c r="P491" s="391" t="s">
        <v>242</v>
      </c>
      <c r="Q491" s="390" t="e">
        <f ca="1">_xll.qlCalendarAdvance(Calendar,Q490,P491,"f")</f>
        <v>#NAME?</v>
      </c>
      <c r="R491" s="389" t="e">
        <f ca="1">_xll.qlIndexFixing(Index,Q491,,InterestRatesTrigger)</f>
        <v>#NAME?</v>
      </c>
    </row>
    <row r="492" spans="16:18" x14ac:dyDescent="0.2">
      <c r="P492" s="391" t="s">
        <v>242</v>
      </c>
      <c r="Q492" s="390" t="e">
        <f ca="1">_xll.qlCalendarAdvance(Calendar,Q491,P492,"f")</f>
        <v>#NAME?</v>
      </c>
      <c r="R492" s="389" t="e">
        <f ca="1">_xll.qlIndexFixing(Index,Q492,,InterestRatesTrigger)</f>
        <v>#NAME?</v>
      </c>
    </row>
    <row r="493" spans="16:18" x14ac:dyDescent="0.2">
      <c r="P493" s="391" t="s">
        <v>242</v>
      </c>
      <c r="Q493" s="390" t="e">
        <f ca="1">_xll.qlCalendarAdvance(Calendar,Q492,P493,"f")</f>
        <v>#NAME?</v>
      </c>
      <c r="R493" s="389" t="e">
        <f ca="1">_xll.qlIndexFixing(Index,Q493,,InterestRatesTrigger)</f>
        <v>#NAME?</v>
      </c>
    </row>
    <row r="494" spans="16:18" x14ac:dyDescent="0.2">
      <c r="P494" s="391" t="s">
        <v>242</v>
      </c>
      <c r="Q494" s="390" t="e">
        <f ca="1">_xll.qlCalendarAdvance(Calendar,Q493,P494,"f")</f>
        <v>#NAME?</v>
      </c>
      <c r="R494" s="389" t="e">
        <f ca="1">_xll.qlIndexFixing(Index,Q494,,InterestRatesTrigger)</f>
        <v>#NAME?</v>
      </c>
    </row>
    <row r="495" spans="16:18" x14ac:dyDescent="0.2">
      <c r="P495" s="391" t="s">
        <v>242</v>
      </c>
      <c r="Q495" s="390" t="e">
        <f ca="1">_xll.qlCalendarAdvance(Calendar,Q494,P495,"f")</f>
        <v>#NAME?</v>
      </c>
      <c r="R495" s="389" t="e">
        <f ca="1">_xll.qlIndexFixing(Index,Q495,,InterestRatesTrigger)</f>
        <v>#NAME?</v>
      </c>
    </row>
    <row r="496" spans="16:18" x14ac:dyDescent="0.2">
      <c r="P496" s="391" t="s">
        <v>242</v>
      </c>
      <c r="Q496" s="390" t="e">
        <f ca="1">_xll.qlCalendarAdvance(Calendar,Q495,P496,"f")</f>
        <v>#NAME?</v>
      </c>
      <c r="R496" s="389" t="e">
        <f ca="1">_xll.qlIndexFixing(Index,Q496,,InterestRatesTrigger)</f>
        <v>#NAME?</v>
      </c>
    </row>
    <row r="497" spans="16:18" x14ac:dyDescent="0.2">
      <c r="P497" s="391" t="s">
        <v>242</v>
      </c>
      <c r="Q497" s="390" t="e">
        <f ca="1">_xll.qlCalendarAdvance(Calendar,Q496,P497,"f")</f>
        <v>#NAME?</v>
      </c>
      <c r="R497" s="389" t="e">
        <f ca="1">_xll.qlIndexFixing(Index,Q497,,InterestRatesTrigger)</f>
        <v>#NAME?</v>
      </c>
    </row>
    <row r="498" spans="16:18" x14ac:dyDescent="0.2">
      <c r="P498" s="391" t="s">
        <v>242</v>
      </c>
      <c r="Q498" s="390" t="e">
        <f ca="1">_xll.qlCalendarAdvance(Calendar,Q497,P498,"f")</f>
        <v>#NAME?</v>
      </c>
      <c r="R498" s="389" t="e">
        <f ca="1">_xll.qlIndexFixing(Index,Q498,,InterestRatesTrigger)</f>
        <v>#NAME?</v>
      </c>
    </row>
    <row r="499" spans="16:18" x14ac:dyDescent="0.2">
      <c r="P499" s="391" t="s">
        <v>242</v>
      </c>
      <c r="Q499" s="390" t="e">
        <f ca="1">_xll.qlCalendarAdvance(Calendar,Q498,P499,"f")</f>
        <v>#NAME?</v>
      </c>
      <c r="R499" s="389" t="e">
        <f ca="1">_xll.qlIndexFixing(Index,Q499,,InterestRatesTrigger)</f>
        <v>#NAME?</v>
      </c>
    </row>
    <row r="500" spans="16:18" x14ac:dyDescent="0.2">
      <c r="P500" s="391" t="s">
        <v>242</v>
      </c>
      <c r="Q500" s="390" t="e">
        <f ca="1">_xll.qlCalendarAdvance(Calendar,Q499,P500,"f")</f>
        <v>#NAME?</v>
      </c>
      <c r="R500" s="389" t="e">
        <f ca="1">_xll.qlIndexFixing(Index,Q500,,InterestRatesTrigger)</f>
        <v>#NAME?</v>
      </c>
    </row>
    <row r="501" spans="16:18" x14ac:dyDescent="0.2">
      <c r="P501" s="391" t="s">
        <v>242</v>
      </c>
      <c r="Q501" s="390" t="e">
        <f ca="1">_xll.qlCalendarAdvance(Calendar,Q500,P501,"f")</f>
        <v>#NAME?</v>
      </c>
      <c r="R501" s="389" t="e">
        <f ca="1">_xll.qlIndexFixing(Index,Q501,,InterestRatesTrigger)</f>
        <v>#NAME?</v>
      </c>
    </row>
    <row r="502" spans="16:18" x14ac:dyDescent="0.2">
      <c r="P502" s="391" t="s">
        <v>242</v>
      </c>
      <c r="Q502" s="390" t="e">
        <f ca="1">_xll.qlCalendarAdvance(Calendar,Q501,P502,"f")</f>
        <v>#NAME?</v>
      </c>
      <c r="R502" s="389" t="e">
        <f ca="1">_xll.qlIndexFixing(Index,Q502,,InterestRatesTrigger)</f>
        <v>#NAME?</v>
      </c>
    </row>
    <row r="503" spans="16:18" x14ac:dyDescent="0.2">
      <c r="P503" s="391" t="s">
        <v>242</v>
      </c>
      <c r="Q503" s="390" t="e">
        <f ca="1">_xll.qlCalendarAdvance(Calendar,Q502,P503,"f")</f>
        <v>#NAME?</v>
      </c>
      <c r="R503" s="389" t="e">
        <f ca="1">_xll.qlIndexFixing(Index,Q503,,InterestRatesTrigger)</f>
        <v>#NAME?</v>
      </c>
    </row>
    <row r="504" spans="16:18" x14ac:dyDescent="0.2">
      <c r="P504" s="391" t="s">
        <v>242</v>
      </c>
      <c r="Q504" s="390" t="e">
        <f ca="1">_xll.qlCalendarAdvance(Calendar,Q503,P504,"f")</f>
        <v>#NAME?</v>
      </c>
      <c r="R504" s="389" t="e">
        <f ca="1">_xll.qlIndexFixing(Index,Q504,,InterestRatesTrigger)</f>
        <v>#NAME?</v>
      </c>
    </row>
    <row r="505" spans="16:18" x14ac:dyDescent="0.2">
      <c r="P505" s="391" t="s">
        <v>242</v>
      </c>
      <c r="Q505" s="390" t="e">
        <f ca="1">_xll.qlCalendarAdvance(Calendar,Q504,P505,"f")</f>
        <v>#NAME?</v>
      </c>
      <c r="R505" s="389" t="e">
        <f ca="1">_xll.qlIndexFixing(Index,Q505,,InterestRatesTrigger)</f>
        <v>#NAME?</v>
      </c>
    </row>
    <row r="506" spans="16:18" x14ac:dyDescent="0.2">
      <c r="P506" s="391" t="s">
        <v>242</v>
      </c>
      <c r="Q506" s="390" t="e">
        <f ca="1">_xll.qlCalendarAdvance(Calendar,Q505,P506,"f")</f>
        <v>#NAME?</v>
      </c>
      <c r="R506" s="389" t="e">
        <f ca="1">_xll.qlIndexFixing(Index,Q506,,InterestRatesTrigger)</f>
        <v>#NAME?</v>
      </c>
    </row>
    <row r="507" spans="16:18" x14ac:dyDescent="0.2">
      <c r="P507" s="391" t="s">
        <v>242</v>
      </c>
      <c r="Q507" s="390" t="e">
        <f ca="1">_xll.qlCalendarAdvance(Calendar,Q506,P507,"f")</f>
        <v>#NAME?</v>
      </c>
      <c r="R507" s="389" t="e">
        <f ca="1">_xll.qlIndexFixing(Index,Q507,,InterestRatesTrigger)</f>
        <v>#NAME?</v>
      </c>
    </row>
    <row r="508" spans="16:18" x14ac:dyDescent="0.2">
      <c r="P508" s="391" t="s">
        <v>242</v>
      </c>
      <c r="Q508" s="390" t="e">
        <f ca="1">_xll.qlCalendarAdvance(Calendar,Q507,P508,"f")</f>
        <v>#NAME?</v>
      </c>
      <c r="R508" s="389" t="e">
        <f ca="1">_xll.qlIndexFixing(Index,Q508,,InterestRatesTrigger)</f>
        <v>#NAME?</v>
      </c>
    </row>
    <row r="509" spans="16:18" x14ac:dyDescent="0.2">
      <c r="P509" s="391" t="s">
        <v>242</v>
      </c>
      <c r="Q509" s="390" t="e">
        <f ca="1">_xll.qlCalendarAdvance(Calendar,Q508,P509,"f")</f>
        <v>#NAME?</v>
      </c>
      <c r="R509" s="389" t="e">
        <f ca="1">_xll.qlIndexFixing(Index,Q509,,InterestRatesTrigger)</f>
        <v>#NAME?</v>
      </c>
    </row>
    <row r="510" spans="16:18" x14ac:dyDescent="0.2">
      <c r="P510" s="391" t="s">
        <v>242</v>
      </c>
      <c r="Q510" s="390" t="e">
        <f ca="1">_xll.qlCalendarAdvance(Calendar,Q509,P510,"f")</f>
        <v>#NAME?</v>
      </c>
      <c r="R510" s="389" t="e">
        <f ca="1">_xll.qlIndexFixing(Index,Q510,,InterestRatesTrigger)</f>
        <v>#NAME?</v>
      </c>
    </row>
    <row r="511" spans="16:18" x14ac:dyDescent="0.2">
      <c r="P511" s="391" t="s">
        <v>242</v>
      </c>
      <c r="Q511" s="390" t="e">
        <f ca="1">_xll.qlCalendarAdvance(Calendar,Q510,P511,"f")</f>
        <v>#NAME?</v>
      </c>
      <c r="R511" s="389" t="e">
        <f ca="1">_xll.qlIndexFixing(Index,Q511,,InterestRatesTrigger)</f>
        <v>#NAME?</v>
      </c>
    </row>
    <row r="512" spans="16:18" x14ac:dyDescent="0.2">
      <c r="P512" s="391" t="s">
        <v>242</v>
      </c>
      <c r="Q512" s="390" t="e">
        <f ca="1">_xll.qlCalendarAdvance(Calendar,Q511,P512,"f")</f>
        <v>#NAME?</v>
      </c>
      <c r="R512" s="389" t="e">
        <f ca="1">_xll.qlIndexFixing(Index,Q512,,InterestRatesTrigger)</f>
        <v>#NAME?</v>
      </c>
    </row>
    <row r="513" spans="16:18" x14ac:dyDescent="0.2">
      <c r="P513" s="391" t="s">
        <v>242</v>
      </c>
      <c r="Q513" s="390" t="e">
        <f ca="1">_xll.qlCalendarAdvance(Calendar,Q512,P513,"f")</f>
        <v>#NAME?</v>
      </c>
      <c r="R513" s="389" t="e">
        <f ca="1">_xll.qlIndexFixing(Index,Q513,,InterestRatesTrigger)</f>
        <v>#NAME?</v>
      </c>
    </row>
    <row r="514" spans="16:18" x14ac:dyDescent="0.2">
      <c r="P514" s="391" t="s">
        <v>242</v>
      </c>
      <c r="Q514" s="390" t="e">
        <f ca="1">_xll.qlCalendarAdvance(Calendar,Q513,P514,"f")</f>
        <v>#NAME?</v>
      </c>
      <c r="R514" s="389" t="e">
        <f ca="1">_xll.qlIndexFixing(Index,Q514,,InterestRatesTrigger)</f>
        <v>#NAME?</v>
      </c>
    </row>
    <row r="515" spans="16:18" x14ac:dyDescent="0.2">
      <c r="P515" s="388" t="s">
        <v>242</v>
      </c>
      <c r="Q515" s="387" t="e">
        <f ca="1">_xll.qlCalendarAdvance(Calendar,Q514,P515,"f")</f>
        <v>#NAME?</v>
      </c>
      <c r="R515" s="386"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tabSelected="1" workbookViewId="0"/>
  </sheetViews>
  <sheetFormatPr defaultRowHeight="12.75" x14ac:dyDescent="0.2"/>
  <cols>
    <col min="1" max="1" width="3.140625" style="338" customWidth="1"/>
    <col min="2" max="2" width="2.7109375" style="338" customWidth="1"/>
    <col min="3" max="4" width="27.28515625" style="338" customWidth="1"/>
    <col min="5" max="7" width="2.7109375" style="338" customWidth="1"/>
    <col min="8" max="8" width="26.42578125" style="338" customWidth="1"/>
    <col min="9" max="9" width="28.42578125" style="338" customWidth="1"/>
    <col min="10" max="10" width="2.7109375" style="338" customWidth="1"/>
    <col min="11" max="12" width="9.140625" style="338"/>
    <col min="13" max="13" width="27.5703125" style="338" bestFit="1" customWidth="1"/>
    <col min="14" max="16384" width="9.140625" style="338"/>
  </cols>
  <sheetData>
    <row r="1" spans="2:14" s="30" customFormat="1" ht="11.25" x14ac:dyDescent="0.2">
      <c r="B1" s="30" t="e">
        <f ca="1">_xll.qlxlVersion(TRUE,Trigger)</f>
        <v>#NAME?</v>
      </c>
    </row>
    <row r="2" spans="2:14" s="30" customFormat="1" ht="17.25" customHeight="1" thickBot="1" x14ac:dyDescent="0.25">
      <c r="B2" s="369" t="s">
        <v>241</v>
      </c>
      <c r="C2" s="368"/>
      <c r="D2" s="368"/>
      <c r="E2" s="367"/>
      <c r="G2" s="369" t="s">
        <v>240</v>
      </c>
      <c r="H2" s="368"/>
      <c r="I2" s="368"/>
      <c r="J2" s="367"/>
    </row>
    <row r="3" spans="2:14" s="30" customFormat="1" ht="11.25" customHeight="1" x14ac:dyDescent="0.25">
      <c r="B3" s="112"/>
      <c r="C3" s="110"/>
      <c r="D3" s="110"/>
      <c r="E3" s="36"/>
      <c r="G3" s="112"/>
      <c r="H3" s="110"/>
      <c r="I3" s="110"/>
      <c r="J3" s="36"/>
      <c r="L3" s="1360" t="s">
        <v>529</v>
      </c>
      <c r="M3" s="1362">
        <v>42370.73646990741</v>
      </c>
    </row>
    <row r="4" spans="2:14" s="30" customFormat="1" ht="11.25" customHeight="1" thickBot="1" x14ac:dyDescent="0.3">
      <c r="B4" s="112"/>
      <c r="C4" s="364" t="s">
        <v>239</v>
      </c>
      <c r="D4" s="384">
        <v>42277</v>
      </c>
      <c r="E4" s="370"/>
      <c r="G4" s="112"/>
      <c r="H4" s="364" t="s">
        <v>238</v>
      </c>
      <c r="I4" s="383" t="b">
        <v>0</v>
      </c>
      <c r="J4" s="370"/>
      <c r="L4" s="1361" t="s">
        <v>530</v>
      </c>
      <c r="M4" s="1371" t="e">
        <f ca="1">_xll.cfyql_Trigger(M12:M19)</f>
        <v>#NAME?</v>
      </c>
      <c r="N4" s="1366"/>
    </row>
    <row r="5" spans="2:14" s="30" customFormat="1" ht="11.25" customHeight="1" x14ac:dyDescent="0.2">
      <c r="B5" s="382"/>
      <c r="C5" s="361" t="s">
        <v>237</v>
      </c>
      <c r="D5" s="381" t="e">
        <f ca="1">_xll.cfyql_SettingsSetEvaluationDate(D4,Trigger)</f>
        <v>#NAME?</v>
      </c>
      <c r="E5" s="380"/>
      <c r="G5" s="112"/>
      <c r="H5" s="361" t="s">
        <v>236</v>
      </c>
      <c r="I5" s="379">
        <v>42277.718820949071</v>
      </c>
      <c r="J5" s="370"/>
      <c r="N5" s="1366"/>
    </row>
    <row r="6" spans="2:14" s="30" customFormat="1" ht="11.25" customHeight="1" x14ac:dyDescent="0.2">
      <c r="B6" s="378"/>
      <c r="C6" s="274"/>
      <c r="D6" s="377"/>
      <c r="E6" s="376"/>
      <c r="G6" s="35"/>
      <c r="H6" s="34"/>
      <c r="I6" s="34"/>
      <c r="J6" s="32"/>
    </row>
    <row r="7" spans="2:14" s="30" customFormat="1" ht="11.25" customHeight="1" x14ac:dyDescent="0.2">
      <c r="B7" s="112"/>
      <c r="C7" s="364" t="s">
        <v>235</v>
      </c>
      <c r="D7" s="363" t="e">
        <f ca="1">_xll.ohTrigger(Euribor!J5:J12,Deposits!S2,FRA!X2,OIS!X2,'ECB OIS'!Z2,Futures3M!AD2,BasisSwap1MxM!X2,BasisSwap3M6M!X2,BasisSwapxM12M!X2,Swaps1M_1Y!X2,Swap1M!X2,Swap3M!X2,Swap6M!X2,ForwardSwap6M!S2)</f>
        <v>#NAME?</v>
      </c>
      <c r="E7" s="36"/>
    </row>
    <row r="8" spans="2:14" s="30" customFormat="1" ht="11.25" customHeight="1" x14ac:dyDescent="0.2">
      <c r="B8" s="112"/>
      <c r="C8" s="361" t="s">
        <v>234</v>
      </c>
      <c r="D8" s="360" t="e">
        <f ca="1">_xll.ohTrigger(Euribor!L5:L12)</f>
        <v>#NAME?</v>
      </c>
      <c r="E8" s="36"/>
    </row>
    <row r="9" spans="2:14" s="30" customFormat="1" ht="11.25" customHeight="1" x14ac:dyDescent="0.2">
      <c r="B9" s="35"/>
      <c r="C9" s="172"/>
      <c r="D9" s="172"/>
      <c r="E9" s="32"/>
    </row>
    <row r="10" spans="2:14" s="30" customFormat="1" ht="11.25" customHeight="1" x14ac:dyDescent="0.2"/>
    <row r="11" spans="2:14" s="30" customFormat="1" ht="17.25" customHeight="1" x14ac:dyDescent="0.2">
      <c r="B11" s="369" t="s">
        <v>233</v>
      </c>
      <c r="C11" s="368"/>
      <c r="D11" s="368"/>
      <c r="E11" s="367"/>
      <c r="G11" s="369" t="s">
        <v>232</v>
      </c>
      <c r="H11" s="368"/>
      <c r="I11" s="368"/>
      <c r="J11" s="367"/>
    </row>
    <row r="12" spans="2:14" s="30" customFormat="1" ht="11.25" customHeight="1" x14ac:dyDescent="0.2">
      <c r="B12" s="112"/>
      <c r="C12" s="110"/>
      <c r="D12" s="110"/>
      <c r="E12" s="36"/>
      <c r="G12" s="112"/>
      <c r="H12" s="110"/>
      <c r="I12" s="110"/>
      <c r="J12" s="36"/>
      <c r="M12" s="30" t="e">
        <f ca="1">_xll.cfyql_Trigger(Euribor!Trigger2,EuriborSwapIsdaFixA!Trigger2,Deposits!Trigger2,FRA!Trigger2,OIS!Trigger2)</f>
        <v>#NAME?</v>
      </c>
    </row>
    <row r="13" spans="2:14" s="30" customFormat="1" ht="11.25" customHeight="1" x14ac:dyDescent="0.2">
      <c r="B13" s="112"/>
      <c r="C13" s="364" t="s">
        <v>231</v>
      </c>
      <c r="D13" s="363" t="s">
        <v>230</v>
      </c>
      <c r="E13" s="370"/>
      <c r="G13" s="112"/>
      <c r="H13" s="364" t="s">
        <v>229</v>
      </c>
      <c r="I13" s="363" t="b">
        <v>1</v>
      </c>
      <c r="J13" s="370"/>
      <c r="M13" s="30" t="e">
        <f ca="1">_xll.cfyql_Trigger('ECB OIS'!Trigger2,'IMM OIS'!Trigger2,Futures3M!Trigger2,FuturesHWConvAdj!Trigger2)</f>
        <v>#NAME?</v>
      </c>
    </row>
    <row r="14" spans="2:14" s="30" customFormat="1" ht="11.25" customHeight="1" x14ac:dyDescent="0.2">
      <c r="B14" s="112"/>
      <c r="C14" s="362" t="s">
        <v>228</v>
      </c>
      <c r="D14" s="182" t="str">
        <f>Currency&amp;"ON"</f>
        <v>EURON</v>
      </c>
      <c r="E14" s="370"/>
      <c r="G14" s="112"/>
      <c r="H14" s="362" t="s">
        <v>227</v>
      </c>
      <c r="I14" s="182" t="b">
        <v>0</v>
      </c>
      <c r="J14" s="370"/>
      <c r="M14" s="30" t="e">
        <f ca="1">_xll.cfyql_Trigger(BasisSwapEON3M!Trigger2,BasisSwap1MxM!Trigger2,BasisSwap3M6M!Trigger2)</f>
        <v>#NAME?</v>
      </c>
    </row>
    <row r="15" spans="2:14" s="30" customFormat="1" ht="11.25" customHeight="1" x14ac:dyDescent="0.2">
      <c r="B15" s="112"/>
      <c r="C15" s="362" t="s">
        <v>226</v>
      </c>
      <c r="D15" s="182" t="s">
        <v>225</v>
      </c>
      <c r="E15" s="370"/>
      <c r="G15" s="112"/>
      <c r="H15" s="362" t="s">
        <v>224</v>
      </c>
      <c r="I15" s="182" t="s">
        <v>223</v>
      </c>
      <c r="J15" s="370"/>
      <c r="M15" s="30" t="e">
        <f ca="1">_xll.cfyql_Trigger(BasisSwapxM12M!Trigger2,Swaps1M_1Y!Trigger2,Swap1M!Trigger2,Swap3M!Trigger2,Swap6M!Trigger2)</f>
        <v>#NAME?</v>
      </c>
    </row>
    <row r="16" spans="2:14" s="30" customFormat="1" ht="11.25" customHeight="1" x14ac:dyDescent="0.2">
      <c r="B16" s="112"/>
      <c r="C16" s="362" t="s">
        <v>222</v>
      </c>
      <c r="D16" s="182" t="s">
        <v>221</v>
      </c>
      <c r="E16" s="370"/>
      <c r="G16" s="112"/>
      <c r="H16" s="375" t="s">
        <v>220</v>
      </c>
      <c r="I16" s="374">
        <v>1E-4</v>
      </c>
      <c r="J16" s="370"/>
      <c r="M16" s="30" t="e">
        <f ca="1">_xll.cfyql_Trigger(ForwardSwap6M!Trigger2,SwapsIMMDated!Trigger2,'ImmFra6M '!Trigger2,'ON Basis Swap'!Trigger2)</f>
        <v>#NAME?</v>
      </c>
    </row>
    <row r="17" spans="2:13" s="30" customFormat="1" ht="11.25" customHeight="1" x14ac:dyDescent="0.2">
      <c r="B17" s="112"/>
      <c r="C17" s="362" t="s">
        <v>219</v>
      </c>
      <c r="D17" s="182" t="s">
        <v>218</v>
      </c>
      <c r="E17" s="370"/>
      <c r="G17" s="112"/>
      <c r="H17" s="373" t="s">
        <v>217</v>
      </c>
      <c r="I17" s="360">
        <v>-0.01</v>
      </c>
      <c r="J17" s="370"/>
      <c r="M17" s="30" t="e">
        <f ca="1">_xll.cfyql_Trigger('1M Basis Swap'!Trigger2,'3M Basis Swap'!Trigger2,'6M Basis Swap'!Trigger2)</f>
        <v>#NAME?</v>
      </c>
    </row>
    <row r="18" spans="2:13" s="30" customFormat="1" ht="11.25" customHeight="1" x14ac:dyDescent="0.2">
      <c r="B18" s="112"/>
      <c r="C18" s="361" t="s">
        <v>216</v>
      </c>
      <c r="D18" s="360" t="s">
        <v>215</v>
      </c>
      <c r="E18" s="370"/>
      <c r="G18" s="112"/>
      <c r="H18" s="372" t="s">
        <v>214</v>
      </c>
      <c r="I18" s="371" t="s">
        <v>213</v>
      </c>
      <c r="J18" s="370"/>
      <c r="M18" s="30" t="e">
        <f ca="1">_xll.cfyql_Trigger('1Y Basis Swap'!Trigger2,'Euribor 3M Time Series'!Trigger2)</f>
        <v>#NAME?</v>
      </c>
    </row>
    <row r="19" spans="2:13" s="30" customFormat="1" ht="11.25" customHeight="1" x14ac:dyDescent="0.2">
      <c r="B19" s="35"/>
      <c r="C19" s="34"/>
      <c r="D19" s="34"/>
      <c r="E19" s="32"/>
      <c r="G19" s="35"/>
      <c r="H19" s="34"/>
      <c r="I19" s="34"/>
      <c r="J19" s="32"/>
      <c r="M19" s="30" t="e">
        <f ca="1">_xll.cfyql_Trigger('Euribor 6M Time Series'!Trigger2,EuriborSwapIsdaFixA1Y!Trigger2)</f>
        <v>#NAME?</v>
      </c>
    </row>
    <row r="20" spans="2:13" s="30" customFormat="1" ht="11.25" customHeight="1" x14ac:dyDescent="0.2"/>
    <row r="21" spans="2:13" s="30" customFormat="1" ht="17.25" customHeight="1" x14ac:dyDescent="0.2">
      <c r="B21" s="369" t="s">
        <v>212</v>
      </c>
      <c r="C21" s="368"/>
      <c r="D21" s="368"/>
      <c r="E21" s="367"/>
    </row>
    <row r="22" spans="2:13" s="30" customFormat="1" ht="11.25" x14ac:dyDescent="0.2">
      <c r="B22" s="112"/>
      <c r="C22" s="366"/>
      <c r="D22" s="365"/>
      <c r="E22" s="36"/>
    </row>
    <row r="23" spans="2:13" s="30" customFormat="1" ht="11.25" customHeight="1" x14ac:dyDescent="0.2">
      <c r="B23" s="112"/>
      <c r="C23" s="364" t="s">
        <v>211</v>
      </c>
      <c r="D23" s="363" t="str">
        <f>""</f>
        <v/>
      </c>
      <c r="E23" s="36"/>
    </row>
    <row r="24" spans="2:13" s="30" customFormat="1" ht="11.25" customHeight="1" x14ac:dyDescent="0.2">
      <c r="B24" s="112"/>
      <c r="C24" s="362" t="s">
        <v>199</v>
      </c>
      <c r="D24" s="182" t="s">
        <v>210</v>
      </c>
      <c r="E24" s="36"/>
    </row>
    <row r="25" spans="2:13" s="30" customFormat="1" ht="11.25" customHeight="1" x14ac:dyDescent="0.2">
      <c r="B25" s="112"/>
      <c r="C25" s="362" t="s">
        <v>124</v>
      </c>
      <c r="D25" s="182" t="s">
        <v>124</v>
      </c>
      <c r="E25" s="36"/>
    </row>
    <row r="26" spans="2:13" s="30" customFormat="1" ht="11.25" customHeight="1" x14ac:dyDescent="0.2">
      <c r="B26" s="112"/>
      <c r="C26" s="362" t="s">
        <v>209</v>
      </c>
      <c r="D26" s="182" t="s">
        <v>208</v>
      </c>
      <c r="E26" s="36"/>
    </row>
    <row r="27" spans="2:13" s="30" customFormat="1" ht="11.25" customHeight="1" x14ac:dyDescent="0.2">
      <c r="B27" s="112"/>
      <c r="C27" s="362" t="s">
        <v>207</v>
      </c>
      <c r="D27" s="182" t="s">
        <v>206</v>
      </c>
      <c r="E27" s="36"/>
    </row>
    <row r="28" spans="2:13" s="30" customFormat="1" ht="11.25" customHeight="1" x14ac:dyDescent="0.2">
      <c r="B28" s="112"/>
      <c r="C28" s="362" t="s">
        <v>205</v>
      </c>
      <c r="D28" s="182" t="s">
        <v>204</v>
      </c>
      <c r="E28" s="36"/>
      <c r="G28" s="338"/>
      <c r="H28" s="338"/>
      <c r="I28" s="338"/>
      <c r="J28" s="338"/>
    </row>
    <row r="29" spans="2:13" s="30" customFormat="1" ht="11.25" customHeight="1" x14ac:dyDescent="0.2">
      <c r="B29" s="112"/>
      <c r="C29" s="361" t="s">
        <v>203</v>
      </c>
      <c r="D29" s="360" t="s">
        <v>202</v>
      </c>
      <c r="E29" s="36"/>
      <c r="G29" s="338"/>
      <c r="H29" s="338"/>
      <c r="I29" s="338"/>
      <c r="J29" s="338"/>
    </row>
    <row r="30" spans="2:13" s="30" customFormat="1" ht="11.25" customHeight="1" x14ac:dyDescent="0.2">
      <c r="B30" s="359"/>
      <c r="C30" s="358"/>
      <c r="D30" s="358"/>
      <c r="E30" s="357"/>
      <c r="G30" s="338"/>
      <c r="H30" s="338"/>
      <c r="I30" s="338"/>
      <c r="J30" s="338"/>
    </row>
    <row r="31" spans="2:13" s="30" customFormat="1" ht="11.25" customHeight="1" x14ac:dyDescent="0.2">
      <c r="B31" s="338"/>
      <c r="C31" s="356"/>
      <c r="D31" s="356"/>
      <c r="E31" s="356"/>
      <c r="G31" s="338"/>
      <c r="H31" s="338"/>
      <c r="I31" s="338"/>
      <c r="J31" s="338"/>
    </row>
    <row r="32" spans="2:13" s="30" customFormat="1" x14ac:dyDescent="0.2">
      <c r="B32" s="355"/>
      <c r="C32" s="354"/>
      <c r="D32" s="354"/>
      <c r="E32" s="353"/>
      <c r="G32" s="338"/>
      <c r="H32" s="338"/>
      <c r="I32" s="338"/>
      <c r="J32" s="338"/>
    </row>
    <row r="33" spans="1:16384" s="30" customFormat="1" x14ac:dyDescent="0.2">
      <c r="B33" s="345"/>
      <c r="C33" s="352" t="s">
        <v>201</v>
      </c>
      <c r="D33" s="352" t="s">
        <v>200</v>
      </c>
      <c r="E33" s="349"/>
      <c r="G33" s="338"/>
      <c r="H33" s="338"/>
      <c r="I33" s="338"/>
      <c r="J33" s="338"/>
    </row>
    <row r="34" spans="1:16384" s="30" customFormat="1" x14ac:dyDescent="0.2">
      <c r="B34" s="345"/>
      <c r="C34" s="351" t="s">
        <v>186</v>
      </c>
      <c r="D34" s="350" t="s">
        <v>199</v>
      </c>
      <c r="E34" s="349"/>
      <c r="G34" s="338"/>
      <c r="H34" s="338"/>
      <c r="I34" s="338"/>
      <c r="J34" s="338"/>
    </row>
    <row r="35" spans="1:16384" s="348" customFormat="1" x14ac:dyDescent="0.2">
      <c r="A35" s="30"/>
      <c r="B35" s="345"/>
      <c r="C35" s="347" t="s">
        <v>181</v>
      </c>
      <c r="D35" s="346" t="s">
        <v>124</v>
      </c>
      <c r="E35" s="342"/>
      <c r="F35" s="30"/>
      <c r="G35" s="338"/>
      <c r="H35" s="338"/>
      <c r="I35" s="338"/>
      <c r="J35" s="338"/>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5"/>
      <c r="C36" s="347" t="s">
        <v>135</v>
      </c>
      <c r="D36" s="346" t="s">
        <v>124</v>
      </c>
      <c r="E36" s="342"/>
    </row>
    <row r="37" spans="1:16384" x14ac:dyDescent="0.2">
      <c r="B37" s="345"/>
      <c r="C37" s="347" t="s">
        <v>166</v>
      </c>
      <c r="D37" s="346" t="s">
        <v>124</v>
      </c>
      <c r="E37" s="342"/>
    </row>
    <row r="38" spans="1:16384" x14ac:dyDescent="0.2">
      <c r="B38" s="345"/>
      <c r="C38" s="347" t="s">
        <v>145</v>
      </c>
      <c r="D38" s="346" t="s">
        <v>124</v>
      </c>
      <c r="E38" s="342"/>
    </row>
    <row r="39" spans="1:16384" x14ac:dyDescent="0.2">
      <c r="B39" s="345"/>
      <c r="C39" s="347" t="s">
        <v>113</v>
      </c>
      <c r="D39" s="346" t="s">
        <v>124</v>
      </c>
      <c r="E39" s="342"/>
    </row>
    <row r="40" spans="1:16384" x14ac:dyDescent="0.2">
      <c r="B40" s="345"/>
      <c r="C40" s="347" t="s">
        <v>111</v>
      </c>
      <c r="D40" s="346" t="s">
        <v>124</v>
      </c>
      <c r="E40" s="342"/>
    </row>
    <row r="41" spans="1:16384" x14ac:dyDescent="0.2">
      <c r="B41" s="345"/>
      <c r="C41" s="347" t="s">
        <v>110</v>
      </c>
      <c r="D41" s="346" t="s">
        <v>124</v>
      </c>
      <c r="E41" s="342"/>
    </row>
    <row r="42" spans="1:16384" x14ac:dyDescent="0.2">
      <c r="B42" s="345"/>
      <c r="C42" s="347" t="s">
        <v>108</v>
      </c>
      <c r="D42" s="346" t="s">
        <v>124</v>
      </c>
      <c r="E42" s="342"/>
    </row>
    <row r="43" spans="1:16384" x14ac:dyDescent="0.2">
      <c r="B43" s="345"/>
      <c r="C43" s="347" t="s">
        <v>105</v>
      </c>
      <c r="D43" s="346" t="s">
        <v>124</v>
      </c>
      <c r="E43" s="342"/>
    </row>
    <row r="44" spans="1:16384" x14ac:dyDescent="0.2">
      <c r="B44" s="345"/>
      <c r="C44" s="347" t="s">
        <v>99</v>
      </c>
      <c r="D44" s="346" t="s">
        <v>124</v>
      </c>
      <c r="E44" s="342"/>
    </row>
    <row r="45" spans="1:16384" x14ac:dyDescent="0.2">
      <c r="B45" s="345"/>
      <c r="C45" s="347" t="s">
        <v>94</v>
      </c>
      <c r="D45" s="346" t="s">
        <v>124</v>
      </c>
      <c r="E45" s="342"/>
    </row>
    <row r="46" spans="1:16384" x14ac:dyDescent="0.2">
      <c r="B46" s="345"/>
      <c r="C46" s="347" t="s">
        <v>118</v>
      </c>
      <c r="D46" s="346" t="s">
        <v>124</v>
      </c>
      <c r="E46" s="342"/>
    </row>
    <row r="47" spans="1:16384" x14ac:dyDescent="0.2">
      <c r="B47" s="345"/>
      <c r="C47" s="347" t="s">
        <v>116</v>
      </c>
      <c r="D47" s="346" t="s">
        <v>124</v>
      </c>
      <c r="E47" s="342"/>
    </row>
    <row r="48" spans="1:16384" x14ac:dyDescent="0.2">
      <c r="B48" s="345"/>
      <c r="C48" s="347" t="s">
        <v>115</v>
      </c>
      <c r="D48" s="346" t="s">
        <v>124</v>
      </c>
      <c r="E48" s="342"/>
    </row>
    <row r="49" spans="2:5" x14ac:dyDescent="0.2">
      <c r="B49" s="345"/>
      <c r="C49" s="344" t="s">
        <v>114</v>
      </c>
      <c r="D49" s="343" t="s">
        <v>124</v>
      </c>
      <c r="E49" s="342"/>
    </row>
    <row r="50" spans="2:5" x14ac:dyDescent="0.2">
      <c r="B50" s="341"/>
      <c r="C50" s="340"/>
      <c r="D50" s="340"/>
      <c r="E50" s="339"/>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heetViews>
  <sheetFormatPr defaultRowHeight="11.25" x14ac:dyDescent="0.2"/>
  <cols>
    <col min="1" max="2" width="2.7109375" style="299" customWidth="1"/>
    <col min="3" max="3" width="10.140625" style="299" bestFit="1" customWidth="1"/>
    <col min="4" max="5" width="19.42578125" style="299" customWidth="1"/>
    <col min="6" max="6" width="34.85546875" style="299" bestFit="1" customWidth="1"/>
    <col min="7" max="7" width="2.42578125" style="299" customWidth="1"/>
    <col min="8" max="8" width="14.85546875" style="299" customWidth="1"/>
    <col min="9" max="9" width="15.7109375" style="299" customWidth="1"/>
    <col min="10" max="10" width="10" style="299" customWidth="1"/>
    <col min="11" max="11" width="13.7109375" style="299" customWidth="1"/>
    <col min="12" max="12" width="13.140625" style="299" customWidth="1"/>
    <col min="13" max="13" width="14.140625" style="299" bestFit="1" customWidth="1"/>
    <col min="14" max="14" width="3" style="299" customWidth="1"/>
    <col min="15" max="15" width="2.7109375" style="299" customWidth="1"/>
    <col min="16" max="16" width="12.5703125" style="299" bestFit="1" customWidth="1"/>
    <col min="17" max="21" width="9.140625" style="299"/>
    <col min="22" max="23" width="2.7109375" style="299" customWidth="1"/>
    <col min="24" max="16384" width="9.140625" style="299"/>
  </cols>
  <sheetData>
    <row r="1" spans="2:18" s="300" customFormat="1" x14ac:dyDescent="0.2">
      <c r="H1" s="299"/>
      <c r="I1" s="299"/>
      <c r="J1" s="299"/>
      <c r="K1" s="299"/>
      <c r="L1" s="299"/>
      <c r="M1" s="299"/>
      <c r="N1" s="299"/>
      <c r="O1" s="299"/>
      <c r="P1" s="299"/>
      <c r="Q1" s="299"/>
      <c r="R1" s="299"/>
    </row>
    <row r="2" spans="2:18" s="300" customFormat="1" ht="12" x14ac:dyDescent="0.25">
      <c r="B2" s="126"/>
      <c r="C2" s="122"/>
      <c r="D2" s="337"/>
      <c r="E2" s="335"/>
      <c r="F2" s="335"/>
      <c r="G2" s="335"/>
      <c r="H2" s="336"/>
      <c r="I2" s="335"/>
      <c r="J2" s="335"/>
      <c r="K2" s="335"/>
      <c r="L2" s="335"/>
      <c r="M2" s="335"/>
      <c r="N2" s="334"/>
    </row>
    <row r="3" spans="2:18" s="300" customFormat="1" ht="22.5" customHeight="1" thickBot="1" x14ac:dyDescent="0.25">
      <c r="B3" s="112"/>
      <c r="C3" s="333" t="s">
        <v>107</v>
      </c>
      <c r="D3" s="333" t="s">
        <v>198</v>
      </c>
      <c r="E3" s="333" t="s">
        <v>14</v>
      </c>
      <c r="F3" s="333" t="s">
        <v>197</v>
      </c>
      <c r="G3" s="332"/>
      <c r="H3" s="331" t="e">
        <f ca="1">_xll.RData(H5:H12,I3:J3,,,,I5)</f>
        <v>#NAME?</v>
      </c>
      <c r="I3" s="330" t="s">
        <v>196</v>
      </c>
      <c r="J3" s="330" t="s">
        <v>82</v>
      </c>
      <c r="K3" s="330" t="s">
        <v>195</v>
      </c>
      <c r="L3" s="330" t="s">
        <v>5</v>
      </c>
      <c r="M3" s="330" t="s">
        <v>194</v>
      </c>
      <c r="N3" s="310"/>
    </row>
    <row r="4" spans="2:18" s="300" customFormat="1" ht="15" x14ac:dyDescent="0.25">
      <c r="B4" s="112"/>
      <c r="C4" s="259" t="s">
        <v>185</v>
      </c>
      <c r="D4" s="323" t="e">
        <f ca="1">_xll.cfyql_RelinkableHandleYieldTermStructure(UPPER(Currency)&amp;C4,,Permanent,Trigger,ObjectOverwrite)</f>
        <v>#NAME?</v>
      </c>
      <c r="E4" s="322" t="e">
        <f ca="1">_xll.cfyql_Eonia("Eonia",D4,Permanent,Trigger,ObjectOverwrite)</f>
        <v>#NAME?</v>
      </c>
      <c r="F4" s="322" t="e">
        <f ca="1">_xll.cfyql_LastFixingQuote("Eonia"&amp;$F$3,E4,Permanent,Trigger,ObjectOverwrite)</f>
        <v>#NAME?</v>
      </c>
      <c r="G4" s="315"/>
      <c r="H4" s="329"/>
      <c r="I4" s="329"/>
      <c r="J4" s="329"/>
      <c r="K4" s="329"/>
      <c r="L4" s="329"/>
      <c r="M4" s="329"/>
      <c r="N4" s="310"/>
      <c r="P4" s="1360" t="s">
        <v>529</v>
      </c>
      <c r="Q4" s="1363" t="e">
        <f ca="1">_xll.cfyql_Trigger('General Settings'!Trigger)</f>
        <v>#NAME?</v>
      </c>
    </row>
    <row r="5" spans="2:18" s="300" customFormat="1" ht="15.75" thickBot="1" x14ac:dyDescent="0.3">
      <c r="B5" s="112"/>
      <c r="C5" s="259" t="s">
        <v>178</v>
      </c>
      <c r="D5" s="323"/>
      <c r="E5" s="322" t="e">
        <f ca="1">_xll.cfyql_Euribor(PROPER(Currency)&amp;FamilyName&amp;C5,C5,D5,Permanent,Trigger,ObjectOverwrite)</f>
        <v>#NAME?</v>
      </c>
      <c r="F5" s="322" t="e">
        <f ca="1">_xll.cfyql_LastFixingQuote(PROPER(Currency)&amp;FamilyName&amp;C5&amp;$F$3,E5,Permanent,Trigger,ObjectOverwrite)</f>
        <v>#NAME?</v>
      </c>
      <c r="G5" s="315"/>
      <c r="H5" s="324" t="str">
        <f t="shared" ref="H5:H12" si="0">UPPER(Currency&amp;FamilyName)&amp;C5&amp;"D="</f>
        <v>EURIBORSWD=</v>
      </c>
      <c r="I5" s="327">
        <v>42277</v>
      </c>
      <c r="J5" s="326">
        <v>-0.14499999999999999</v>
      </c>
      <c r="K5" s="326" t="e">
        <f ca="1">IF(AND(ISNUMBER($J5),$J5&lt;&gt;0%,_xll.ohTrigger(Trigger)+1),TRUE,FALSE)</f>
        <v>#NAME?</v>
      </c>
      <c r="L5" s="325" t="e">
        <f ca="1">IF($K5,_xll.qlIndexAddFixings($E5,$I5,$J5/100,TRUE,ISERROR($M5)),NA())</f>
        <v>#NAME?</v>
      </c>
      <c r="M5" s="328" t="e">
        <f ca="1">_xll.qlIndexFixing($E5,$I5,TRUE,$K5)</f>
        <v>#NAME?</v>
      </c>
      <c r="N5" s="310"/>
      <c r="P5" s="1361" t="s">
        <v>530</v>
      </c>
      <c r="Q5" s="1369" t="e">
        <f ca="1">_xll.cfyql_Trigger(E4:F13)</f>
        <v>#NAME?</v>
      </c>
    </row>
    <row r="6" spans="2:18" s="300" customFormat="1" x14ac:dyDescent="0.2">
      <c r="B6" s="112"/>
      <c r="C6" s="259" t="s">
        <v>177</v>
      </c>
      <c r="D6" s="323"/>
      <c r="E6" s="322" t="e">
        <f ca="1">_xll.cfyql_Euribor(PROPER(Currency)&amp;FamilyName&amp;C6,C6,D6,Permanent,Trigger,ObjectOverwrite)</f>
        <v>#NAME?</v>
      </c>
      <c r="F6" s="322" t="e">
        <f ca="1">_xll.cfyql_LastFixingQuote(PROPER(Currency)&amp;FamilyName&amp;C6&amp;$F$3,E6,Permanent,Trigger,ObjectOverwrite)</f>
        <v>#NAME?</v>
      </c>
      <c r="G6" s="315"/>
      <c r="H6" s="324" t="str">
        <f t="shared" si="0"/>
        <v>EURIBOR2WD=</v>
      </c>
      <c r="I6" s="327">
        <v>42277</v>
      </c>
      <c r="J6" s="326">
        <v>-0.14299999999999999</v>
      </c>
      <c r="K6" s="326" t="e">
        <f ca="1">IF(AND(ISNUMBER($J6),$J6&lt;&gt;0%,_xll.ohTrigger(Trigger)+1),TRUE,FALSE)</f>
        <v>#NAME?</v>
      </c>
      <c r="L6" s="325" t="e">
        <f ca="1">IF($K6,_xll.qlIndexAddFixings($E6,$I6,$J6/100,TRUE,ISERROR($M6)),NA())</f>
        <v>#NAME?</v>
      </c>
      <c r="M6" s="324" t="e">
        <f ca="1">_xll.qlIndexFixing($E6,$I6,TRUE,$K6)</f>
        <v>#NAME?</v>
      </c>
      <c r="N6" s="310"/>
    </row>
    <row r="7" spans="2:18" s="300" customFormat="1" x14ac:dyDescent="0.2">
      <c r="B7" s="112"/>
      <c r="C7" s="259" t="s">
        <v>175</v>
      </c>
      <c r="D7" s="323" t="e">
        <f ca="1">_xll.cfyql_RelinkableHandleYieldTermStructure(UPPER(Currency)&amp;C7,,Permanent,Trigger,ObjectOverwrite)</f>
        <v>#NAME?</v>
      </c>
      <c r="E7" s="322" t="e">
        <f ca="1">_xll.cfyql_Euribor(PROPER(Currency)&amp;FamilyName&amp;C7,C7,D7,Permanent,Trigger,ObjectOverwrite)</f>
        <v>#NAME?</v>
      </c>
      <c r="F7" s="322" t="e">
        <f ca="1">_xll.cfyql_LastFixingQuote(PROPER(Currency)&amp;FamilyName&amp;C7&amp;$F$3,E7,Permanent,Trigger,ObjectOverwrite)</f>
        <v>#NAME?</v>
      </c>
      <c r="G7" s="315"/>
      <c r="H7" s="324" t="str">
        <f t="shared" si="0"/>
        <v>EURIBOR1MD=</v>
      </c>
      <c r="I7" s="327">
        <v>42277</v>
      </c>
      <c r="J7" s="326">
        <v>-0.11299999999999999</v>
      </c>
      <c r="K7" s="326" t="e">
        <f ca="1">IF(AND(ISNUMBER($J7),$J7&lt;&gt;0%,_xll.ohTrigger(Trigger)+1),TRUE,FALSE)</f>
        <v>#NAME?</v>
      </c>
      <c r="L7" s="325" t="e">
        <f ca="1">IF($K7,_xll.qlIndexAddFixings($E7,$I7,$J7/100,TRUE,ISERROR($M7)),NA())</f>
        <v>#NAME?</v>
      </c>
      <c r="M7" s="324" t="e">
        <f ca="1">_xll.qlIndexFixing($E7,$I7,TRUE,$K7)</f>
        <v>#NAME?</v>
      </c>
      <c r="N7" s="310"/>
    </row>
    <row r="8" spans="2:18" s="300" customFormat="1" x14ac:dyDescent="0.2">
      <c r="B8" s="112"/>
      <c r="C8" s="259" t="s">
        <v>174</v>
      </c>
      <c r="D8" s="323"/>
      <c r="E8" s="322" t="e">
        <f ca="1">_xll.cfyql_Euribor(PROPER(Currency)&amp;FamilyName&amp;C8,C8,D8,Permanent,Trigger,ObjectOverwrite)</f>
        <v>#NAME?</v>
      </c>
      <c r="F8" s="322" t="e">
        <f ca="1">_xll.cfyql_LastFixingQuote(PROPER(Currency)&amp;FamilyName&amp;C8&amp;$F$3,E8,Permanent,Trigger,ObjectOverwrite)</f>
        <v>#NAME?</v>
      </c>
      <c r="G8" s="315"/>
      <c r="H8" s="324" t="str">
        <f t="shared" si="0"/>
        <v>EURIBOR2MD=</v>
      </c>
      <c r="I8" s="327">
        <v>42277</v>
      </c>
      <c r="J8" s="326">
        <v>-6.9999999999999993E-2</v>
      </c>
      <c r="K8" s="326" t="e">
        <f ca="1">IF(AND(ISNUMBER($J8),$J8&lt;&gt;0%,_xll.ohTrigger(Trigger)+1),TRUE,FALSE)</f>
        <v>#NAME?</v>
      </c>
      <c r="L8" s="325" t="e">
        <f ca="1">IF($K8,_xll.qlIndexAddFixings($E8,$I8,$J8/100,TRUE,ISERROR($M8)),NA())</f>
        <v>#NAME?</v>
      </c>
      <c r="M8" s="324" t="e">
        <f ca="1">_xll.qlIndexFixing($E8,$I8,TRUE,$K8)</f>
        <v>#NAME?</v>
      </c>
      <c r="N8" s="310"/>
    </row>
    <row r="9" spans="2:18" s="300" customFormat="1" x14ac:dyDescent="0.2">
      <c r="B9" s="112"/>
      <c r="C9" s="259" t="s">
        <v>127</v>
      </c>
      <c r="D9" s="323" t="e">
        <f ca="1">_xll.cfyql_RelinkableHandleYieldTermStructure(UPPER(Currency)&amp;C9,,Permanent,Trigger,ObjectOverwrite)</f>
        <v>#NAME?</v>
      </c>
      <c r="E9" s="322" t="e">
        <f ca="1">_xll.cfyql_Euribor(PROPER(Currency)&amp;FamilyName&amp;C9,C9,D9,Permanent,Trigger,ObjectOverwrite)</f>
        <v>#NAME?</v>
      </c>
      <c r="F9" s="322" t="e">
        <f ca="1">_xll.cfyql_LastFixingQuote(PROPER(Currency)&amp;FamilyName&amp;C9&amp;$F$3,E9,Permanent,Trigger,ObjectOverwrite)</f>
        <v>#NAME?</v>
      </c>
      <c r="G9" s="315"/>
      <c r="H9" s="324" t="str">
        <f t="shared" si="0"/>
        <v>EURIBOR3MD=</v>
      </c>
      <c r="I9" s="327">
        <v>42277</v>
      </c>
      <c r="J9" s="326">
        <v>-0.04</v>
      </c>
      <c r="K9" s="326" t="e">
        <f ca="1">IF(AND(ISNUMBER($J9),$J9&lt;&gt;0%,_xll.ohTrigger(Trigger)+1),TRUE,FALSE)</f>
        <v>#NAME?</v>
      </c>
      <c r="L9" s="325" t="e">
        <f ca="1">IF($K9,_xll.qlIndexAddFixings($E9,$I9,$J9/100,TRUE,ISERROR($M9)),NA())</f>
        <v>#NAME?</v>
      </c>
      <c r="M9" s="324" t="e">
        <f ca="1">_xll.qlIndexFixing($E9,$I9,TRUE,$K9)</f>
        <v>#NAME?</v>
      </c>
      <c r="N9" s="310"/>
    </row>
    <row r="10" spans="2:18" s="300" customFormat="1" x14ac:dyDescent="0.2">
      <c r="B10" s="112"/>
      <c r="C10" s="259" t="s">
        <v>92</v>
      </c>
      <c r="D10" s="323" t="e">
        <f ca="1">_xll.cfyql_RelinkableHandleYieldTermStructure(UPPER(Currency)&amp;C10,,Permanent,Trigger,ObjectOverwrite)</f>
        <v>#NAME?</v>
      </c>
      <c r="E10" s="322" t="e">
        <f ca="1">_xll.cfyql_Euribor(PROPER(Currency)&amp;FamilyName&amp;C10,C10,D10,Permanent,Trigger,ObjectOverwrite)</f>
        <v>#NAME?</v>
      </c>
      <c r="F10" s="322" t="e">
        <f ca="1">_xll.cfyql_LastFixingQuote(PROPER(Currency)&amp;FamilyName&amp;C10&amp;$F$3,E10,Permanent,Trigger,ObjectOverwrite)</f>
        <v>#NAME?</v>
      </c>
      <c r="G10" s="315"/>
      <c r="H10" s="324" t="str">
        <f t="shared" si="0"/>
        <v>EURIBOR6MD=</v>
      </c>
      <c r="I10" s="327">
        <v>42277</v>
      </c>
      <c r="J10" s="326">
        <v>2.8999999999999998E-2</v>
      </c>
      <c r="K10" s="326" t="e">
        <f ca="1">IF(AND(ISNUMBER($J10),$J10&lt;&gt;0%,_xll.ohTrigger(Trigger)+1),TRUE,FALSE)</f>
        <v>#NAME?</v>
      </c>
      <c r="L10" s="325" t="e">
        <f ca="1">IF($K10,_xll.qlIndexAddFixings($E10,$I10,$J10/100,TRUE,ISERROR($M10)),NA())</f>
        <v>#NAME?</v>
      </c>
      <c r="M10" s="324" t="e">
        <f ca="1">_xll.qlIndexFixing($E10,$I10,TRUE,$K10)</f>
        <v>#NAME?</v>
      </c>
      <c r="N10" s="310"/>
    </row>
    <row r="11" spans="2:18" s="300" customFormat="1" x14ac:dyDescent="0.2">
      <c r="B11" s="112"/>
      <c r="C11" s="259" t="s">
        <v>169</v>
      </c>
      <c r="D11" s="323"/>
      <c r="E11" s="322" t="e">
        <f ca="1">_xll.cfyql_Euribor(PROPER(Currency)&amp;FamilyName&amp;C11,C11,D11,Permanent,Trigger,ObjectOverwrite)</f>
        <v>#NAME?</v>
      </c>
      <c r="F11" s="322" t="e">
        <f ca="1">_xll.cfyql_LastFixingQuote(PROPER(Currency)&amp;FamilyName&amp;C11&amp;$F$3,E11,Permanent,Trigger,ObjectOverwrite)</f>
        <v>#NAME?</v>
      </c>
      <c r="G11" s="315"/>
      <c r="H11" s="324" t="str">
        <f t="shared" si="0"/>
        <v>EURIBOR9MD=</v>
      </c>
      <c r="I11" s="327">
        <v>42277</v>
      </c>
      <c r="J11" s="326">
        <v>7.8E-2</v>
      </c>
      <c r="K11" s="326" t="e">
        <f ca="1">IF(AND(ISNUMBER($J11),$J11&lt;&gt;0%,_xll.ohTrigger(Trigger)+1),TRUE,FALSE)</f>
        <v>#NAME?</v>
      </c>
      <c r="L11" s="325" t="e">
        <f ca="1">IF($K11,_xll.qlIndexAddFixings($E11,$I11,$J11/100,TRUE,ISERROR($M11)),NA())</f>
        <v>#NAME?</v>
      </c>
      <c r="M11" s="324" t="e">
        <f ca="1">_xll.qlIndexFixing($E11,$I11,TRUE,$K11)</f>
        <v>#NAME?</v>
      </c>
      <c r="N11" s="310"/>
      <c r="Q11" s="1368"/>
    </row>
    <row r="12" spans="2:18" s="300" customFormat="1" x14ac:dyDescent="0.2">
      <c r="B12" s="112"/>
      <c r="C12" s="259" t="s">
        <v>58</v>
      </c>
      <c r="D12" s="323" t="e">
        <f ca="1">_xll.cfyql_RelinkableHandleYieldTermStructure(UPPER(Currency)&amp;C12,,Permanent,Trigger,ObjectOverwrite)</f>
        <v>#NAME?</v>
      </c>
      <c r="E12" s="322" t="e">
        <f ca="1">_xll.cfyql_Euribor(PROPER(Currency)&amp;FamilyName&amp;C12,C12,D12,Permanent,Trigger,ObjectOverwrite)</f>
        <v>#NAME?</v>
      </c>
      <c r="F12" s="322" t="e">
        <f ca="1">_xll.cfyql_LastFixingQuote(PROPER(Currency)&amp;FamilyName&amp;C12&amp;$F$3,E12,Permanent,Trigger,ObjectOverwrite)</f>
        <v>#NAME?</v>
      </c>
      <c r="G12" s="315"/>
      <c r="H12" s="318" t="str">
        <f t="shared" si="0"/>
        <v>EURIBOR1YD=</v>
      </c>
      <c r="I12" s="321">
        <v>42277</v>
      </c>
      <c r="J12" s="320">
        <v>0.14199999999999999</v>
      </c>
      <c r="K12" s="320" t="e">
        <f ca="1">IF(AND(ISNUMBER($J12),$J12&lt;&gt;0%,_xll.ohTrigger(Trigger)+1),TRUE,FALSE)</f>
        <v>#NAME?</v>
      </c>
      <c r="L12" s="319" t="e">
        <f ca="1">IF($K12,_xll.qlIndexAddFixings($E12,$I12,$J12/100,TRUE,ISERROR($M12)),NA())</f>
        <v>#NAME?</v>
      </c>
      <c r="M12" s="318" t="e">
        <f ca="1">_xll.qlIndexFixing($E12,$I12,TRUE,$K12)</f>
        <v>#NAME?</v>
      </c>
      <c r="N12" s="310"/>
    </row>
    <row r="13" spans="2:18" s="300" customFormat="1" x14ac:dyDescent="0.2">
      <c r="B13" s="112"/>
      <c r="C13" s="258" t="s">
        <v>193</v>
      </c>
      <c r="D13" s="317" t="e">
        <f ca="1">_xll.cfyql_RelinkableHandleYieldTermStructure(UPPER(Currency)&amp;C13,,Permanent,Trigger,ObjectOverwrite)</f>
        <v>#NAME?</v>
      </c>
      <c r="E13" s="307"/>
      <c r="F13" s="316"/>
      <c r="G13" s="315"/>
      <c r="H13" s="314"/>
      <c r="I13" s="313"/>
      <c r="J13" s="312"/>
      <c r="K13" s="312"/>
      <c r="L13" s="311"/>
      <c r="M13" s="109"/>
      <c r="N13" s="310"/>
    </row>
    <row r="14" spans="2:18" s="300" customFormat="1" x14ac:dyDescent="0.2">
      <c r="B14" s="35"/>
      <c r="C14" s="34"/>
      <c r="D14" s="34"/>
      <c r="E14" s="34"/>
      <c r="F14" s="34"/>
      <c r="G14" s="34"/>
      <c r="H14" s="34"/>
      <c r="I14" s="34"/>
      <c r="J14" s="34"/>
      <c r="K14" s="34"/>
      <c r="L14" s="34"/>
      <c r="M14" s="34"/>
      <c r="N14" s="32"/>
    </row>
    <row r="15" spans="2:18" s="300" customFormat="1" x14ac:dyDescent="0.2">
      <c r="E15" s="299"/>
      <c r="F15" s="299"/>
      <c r="G15" s="299"/>
      <c r="J15" s="299"/>
    </row>
    <row r="16" spans="2:18" x14ac:dyDescent="0.2">
      <c r="E16" s="308" t="s">
        <v>8</v>
      </c>
      <c r="F16" s="309" t="e">
        <f ca="1">"START:"&amp;_xll.qlSettingsEvaluationDate(Trigger)&amp; " END:"&amp;_xll.qlSettingsEvaluationDate(Trigger)&amp;" INTERVAL:1D"</f>
        <v>#NAME?</v>
      </c>
      <c r="H16" s="306" t="e">
        <f ca="1">_xll.RHistory(I17,$F$18&amp;";"&amp;$F$19,$F$16,,"SORT:"&amp;$F$17&amp;" CH:Fd",J16)</f>
        <v>#NAME?</v>
      </c>
      <c r="I16" s="306"/>
      <c r="J16" s="305" t="s">
        <v>190</v>
      </c>
      <c r="K16" s="304" t="s">
        <v>82</v>
      </c>
      <c r="L16" s="304" t="s">
        <v>5</v>
      </c>
    </row>
    <row r="17" spans="1:25" x14ac:dyDescent="0.2">
      <c r="E17" s="308" t="s">
        <v>4</v>
      </c>
      <c r="F17" s="307" t="s">
        <v>3</v>
      </c>
      <c r="H17" s="303" t="s">
        <v>175</v>
      </c>
      <c r="I17" s="303" t="str">
        <f>Currency&amp;UPPER(FamilyName)&amp;H17&amp;"D="</f>
        <v>EURIBOR1MD=</v>
      </c>
      <c r="J17" s="302">
        <v>42277</v>
      </c>
      <c r="K17" s="301">
        <v>-0.113</v>
      </c>
      <c r="L17" s="151" t="e">
        <f ca="1">_xll.qlIndexAddFixings(PROPER(Currency)&amp;FamilyName&amp;H17,J17,K17/100,TRUE,_xll.ohTrigger(Euribor!E4:E12))</f>
        <v>#NAME?</v>
      </c>
    </row>
    <row r="18" spans="1:25" x14ac:dyDescent="0.2">
      <c r="E18" s="308" t="s">
        <v>2</v>
      </c>
      <c r="F18" s="307" t="s">
        <v>192</v>
      </c>
    </row>
    <row r="19" spans="1:25" x14ac:dyDescent="0.2">
      <c r="F19" s="307" t="s">
        <v>191</v>
      </c>
      <c r="H19" s="306" t="e">
        <f ca="1">_xll.RHistory(I20,$F$18&amp;";"&amp;$F$19,$F$16,,"SORT:"&amp;$F$17&amp;" CH:Fd",J19)</f>
        <v>#NAME?</v>
      </c>
      <c r="I19" s="306"/>
      <c r="J19" s="305" t="s">
        <v>190</v>
      </c>
      <c r="K19" s="304" t="s">
        <v>82</v>
      </c>
      <c r="L19" s="304" t="s">
        <v>5</v>
      </c>
    </row>
    <row r="20" spans="1:25" x14ac:dyDescent="0.2">
      <c r="H20" s="303" t="s">
        <v>58</v>
      </c>
      <c r="I20" s="303" t="str">
        <f>Currency&amp;UPPER(FamilyName)&amp;H20&amp;"D="</f>
        <v>EURIBOR1YD=</v>
      </c>
      <c r="J20" s="302">
        <v>42277</v>
      </c>
      <c r="K20" s="301">
        <v>0.14199999999999999</v>
      </c>
      <c r="L20" s="151" t="e">
        <f ca="1">_xll.qlIndexAddFixings(PROPER(Currency)&amp;FamilyName&amp;H20,J20,K20/100,TRUE,_xll.ohTrigger(Euribor!E4:E12))</f>
        <v>#NAME?</v>
      </c>
    </row>
    <row r="22" spans="1:25" s="300" customFormat="1" x14ac:dyDescent="0.2">
      <c r="A22" s="299"/>
      <c r="B22" s="299"/>
      <c r="C22" s="299"/>
      <c r="D22" s="299"/>
      <c r="E22" s="299"/>
      <c r="F22" s="299"/>
      <c r="G22" s="299"/>
      <c r="H22" s="299"/>
      <c r="I22" s="299"/>
      <c r="J22" s="299"/>
      <c r="K22" s="299"/>
      <c r="L22" s="299"/>
      <c r="M22" s="299"/>
      <c r="N22" s="299"/>
      <c r="O22" s="299"/>
      <c r="P22" s="299"/>
      <c r="Q22" s="299"/>
      <c r="R22" s="299"/>
      <c r="S22" s="299"/>
      <c r="T22" s="299"/>
      <c r="U22" s="299"/>
      <c r="V22" s="299"/>
    </row>
    <row r="23" spans="1:25" s="300" customFormat="1" x14ac:dyDescent="0.2">
      <c r="A23" s="299"/>
      <c r="B23" s="299"/>
      <c r="C23" s="299"/>
      <c r="D23" s="299"/>
      <c r="E23" s="299"/>
      <c r="F23" s="299"/>
      <c r="G23" s="299"/>
      <c r="H23" s="299"/>
      <c r="I23" s="299"/>
      <c r="J23" s="299"/>
      <c r="K23" s="299"/>
      <c r="L23" s="299"/>
      <c r="M23" s="299"/>
      <c r="N23" s="299"/>
      <c r="O23" s="299"/>
      <c r="P23" s="299"/>
      <c r="Q23" s="299"/>
      <c r="R23" s="299"/>
      <c r="S23" s="299"/>
      <c r="T23" s="299"/>
      <c r="U23" s="299"/>
      <c r="V23" s="299"/>
    </row>
    <row r="24" spans="1:25" s="300" customFormat="1" x14ac:dyDescent="0.2">
      <c r="A24" s="299"/>
      <c r="B24" s="299"/>
      <c r="C24" s="299"/>
      <c r="D24" s="299"/>
      <c r="E24" s="299"/>
      <c r="F24" s="299"/>
      <c r="G24" s="299"/>
      <c r="H24" s="299"/>
      <c r="I24" s="299"/>
      <c r="J24" s="299"/>
      <c r="K24" s="299"/>
      <c r="L24" s="299"/>
      <c r="M24" s="299"/>
      <c r="N24" s="299"/>
      <c r="O24" s="299"/>
      <c r="P24" s="299"/>
      <c r="Q24" s="299"/>
      <c r="R24" s="299"/>
      <c r="S24" s="299"/>
      <c r="T24" s="299"/>
      <c r="U24" s="299"/>
      <c r="V24" s="299"/>
    </row>
    <row r="25" spans="1:25" s="300" customFormat="1" x14ac:dyDescent="0.2">
      <c r="A25" s="299"/>
      <c r="B25" s="299"/>
      <c r="C25" s="299"/>
      <c r="D25" s="299"/>
      <c r="E25" s="299"/>
      <c r="F25" s="299"/>
      <c r="G25" s="299"/>
      <c r="H25" s="299"/>
      <c r="I25" s="299"/>
      <c r="J25" s="299"/>
      <c r="K25" s="299"/>
      <c r="L25" s="299"/>
      <c r="M25" s="299"/>
      <c r="N25" s="299"/>
      <c r="O25" s="299"/>
      <c r="P25" s="299"/>
      <c r="Q25" s="299"/>
      <c r="R25" s="299"/>
      <c r="S25" s="299"/>
      <c r="T25" s="299"/>
      <c r="U25" s="299"/>
      <c r="V25" s="299"/>
    </row>
    <row r="26" spans="1:25" s="300" customFormat="1" x14ac:dyDescent="0.2">
      <c r="A26" s="299"/>
      <c r="B26" s="299"/>
      <c r="C26" s="299"/>
      <c r="D26" s="299"/>
      <c r="E26" s="299"/>
      <c r="F26" s="299"/>
      <c r="G26" s="299"/>
      <c r="H26" s="299"/>
      <c r="I26" s="299"/>
      <c r="J26" s="299"/>
      <c r="K26" s="299"/>
      <c r="L26" s="299"/>
      <c r="M26" s="299"/>
      <c r="N26" s="299"/>
      <c r="O26" s="299"/>
      <c r="P26" s="299"/>
      <c r="Q26" s="299"/>
      <c r="R26" s="299"/>
      <c r="S26" s="299"/>
      <c r="T26" s="299"/>
      <c r="U26" s="299"/>
      <c r="V26" s="299"/>
    </row>
    <row r="27" spans="1:25" s="300" customFormat="1" x14ac:dyDescent="0.2">
      <c r="A27" s="299"/>
      <c r="B27" s="299"/>
      <c r="C27" s="299"/>
      <c r="D27" s="299"/>
      <c r="E27" s="299"/>
      <c r="F27" s="299"/>
      <c r="G27" s="299"/>
      <c r="H27" s="299"/>
      <c r="I27" s="299"/>
      <c r="J27" s="299"/>
      <c r="K27" s="299"/>
      <c r="L27" s="299"/>
      <c r="M27" s="299"/>
      <c r="N27" s="299"/>
      <c r="O27" s="299"/>
      <c r="P27" s="299"/>
      <c r="Q27" s="299"/>
      <c r="R27" s="299"/>
      <c r="S27" s="299"/>
      <c r="T27" s="299"/>
      <c r="U27" s="299"/>
      <c r="V27" s="299"/>
    </row>
    <row r="28" spans="1:25" s="300" customFormat="1" x14ac:dyDescent="0.2">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row>
    <row r="29" spans="1:25" s="300" customFormat="1" x14ac:dyDescent="0.2">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row>
    <row r="30" spans="1:25" s="300" customFormat="1" x14ac:dyDescent="0.2">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row>
    <row r="31" spans="1:25" s="300" customFormat="1" x14ac:dyDescent="0.2">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row>
    <row r="32" spans="1:25" s="300" customFormat="1" x14ac:dyDescent="0.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row>
    <row r="33" spans="1:25" s="300" customFormat="1" x14ac:dyDescent="0.2">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row>
    <row r="34" spans="1:25" s="300" customFormat="1" x14ac:dyDescent="0.2">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row>
    <row r="35" spans="1:25" s="300" customFormat="1" x14ac:dyDescent="0.2">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row>
    <row r="36" spans="1:25" s="300" customFormat="1" x14ac:dyDescent="0.2">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row>
    <row r="37" spans="1:25" s="300" customFormat="1" x14ac:dyDescent="0.2">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2"/>
      <c r="C1" s="231"/>
      <c r="D1" s="231"/>
      <c r="E1" s="231"/>
      <c r="F1" s="231"/>
      <c r="G1" s="231"/>
      <c r="H1" s="231"/>
      <c r="I1" s="230"/>
    </row>
    <row r="2" spans="2:12" s="238" customFormat="1" ht="21" customHeight="1" thickBot="1" x14ac:dyDescent="0.3">
      <c r="B2" s="298"/>
      <c r="C2" s="52" t="s">
        <v>107</v>
      </c>
      <c r="D2" s="52" t="s">
        <v>189</v>
      </c>
      <c r="E2" s="51" t="s">
        <v>188</v>
      </c>
      <c r="F2" s="51" t="s">
        <v>187</v>
      </c>
      <c r="G2" s="50" t="s">
        <v>90</v>
      </c>
      <c r="H2" s="52" t="s">
        <v>59</v>
      </c>
      <c r="I2" s="297"/>
    </row>
    <row r="3" spans="2:12" ht="15" x14ac:dyDescent="0.25">
      <c r="B3" s="235"/>
      <c r="C3" s="296" t="s">
        <v>58</v>
      </c>
      <c r="D3" s="296" t="e">
        <f ca="1">Euribor!D9</f>
        <v>#NAME?</v>
      </c>
      <c r="E3" s="296" t="e">
        <f ca="1">Euribor!$D$4</f>
        <v>#NAME?</v>
      </c>
      <c r="F3" s="296" t="str">
        <f t="shared" ref="F3:F16" si="0">PROPER(Currency)&amp;FamilyName&amp;"Swap"&amp;FixingType&amp;C3</f>
        <v>EuriborSwapIsdaFixA1Y</v>
      </c>
      <c r="G3" s="296" t="e">
        <f ca="1">_xll.cfyql_EuriborSwapIsdaFixA(F3,C3,D3,E3,Permanent,Trigger,ObjectOverwrite)</f>
        <v>#NAME?</v>
      </c>
      <c r="H3" s="295" t="e">
        <f ca="1">_xll.ohRangeRetrieveError(G3)</f>
        <v>#NAME?</v>
      </c>
      <c r="I3" s="294"/>
      <c r="K3" s="1360" t="s">
        <v>529</v>
      </c>
      <c r="L3" s="1363" t="e">
        <f ca="1">_xll.cfyql_Trigger('General Settings'!Trigger)</f>
        <v>#NAME?</v>
      </c>
    </row>
    <row r="4" spans="2:12" ht="15.75" thickBot="1" x14ac:dyDescent="0.3">
      <c r="B4" s="235"/>
      <c r="C4" s="85" t="s">
        <v>54</v>
      </c>
      <c r="D4" s="85" t="e">
        <f ca="1">Euribor!$D$10</f>
        <v>#NAME?</v>
      </c>
      <c r="E4" s="85" t="e">
        <f ca="1">Euribor!$D$4</f>
        <v>#NAME?</v>
      </c>
      <c r="F4" s="85" t="str">
        <f t="shared" si="0"/>
        <v>EuriborSwapIsdaFixA2Y</v>
      </c>
      <c r="G4" s="85" t="e">
        <f ca="1">_xll.cfyql_EuriborSwapIsdaFixA(F4,C4,D4,E4,Permanent,Trigger,ObjectOverwrite)</f>
        <v>#NAME?</v>
      </c>
      <c r="H4" s="83" t="e">
        <f ca="1">_xll.ohRangeRetrieveError(G4)</f>
        <v>#NAME?</v>
      </c>
      <c r="I4" s="294"/>
      <c r="K4" s="1361" t="s">
        <v>530</v>
      </c>
      <c r="L4" s="1364" t="e">
        <f ca="1">_xll.cfyql_Trigger(G3:G16)</f>
        <v>#NAME?</v>
      </c>
    </row>
    <row r="5" spans="2:12" x14ac:dyDescent="0.2">
      <c r="B5" s="235"/>
      <c r="C5" s="85" t="s">
        <v>53</v>
      </c>
      <c r="D5" s="85" t="e">
        <f ca="1">Euribor!$D$10</f>
        <v>#NAME?</v>
      </c>
      <c r="E5" s="85" t="e">
        <f ca="1">Euribor!$D$4</f>
        <v>#NAME?</v>
      </c>
      <c r="F5" s="85" t="str">
        <f t="shared" si="0"/>
        <v>EuriborSwapIsdaFixA3Y</v>
      </c>
      <c r="G5" s="85" t="e">
        <f ca="1">_xll.cfyql_EuriborSwapIsdaFixA(F5,C5,D5,E5,Permanent,Trigger,ObjectOverwrite)</f>
        <v>#NAME?</v>
      </c>
      <c r="H5" s="83" t="e">
        <f ca="1">_xll.ohRangeRetrieveError(G5)</f>
        <v>#NAME?</v>
      </c>
      <c r="I5" s="294"/>
    </row>
    <row r="6" spans="2:12" x14ac:dyDescent="0.2">
      <c r="B6" s="235"/>
      <c r="C6" s="85" t="s">
        <v>52</v>
      </c>
      <c r="D6" s="85" t="e">
        <f ca="1">Euribor!$D$10</f>
        <v>#NAME?</v>
      </c>
      <c r="E6" s="85" t="e">
        <f ca="1">Euribor!$D$4</f>
        <v>#NAME?</v>
      </c>
      <c r="F6" s="85" t="str">
        <f t="shared" si="0"/>
        <v>EuriborSwapIsdaFixA4Y</v>
      </c>
      <c r="G6" s="85" t="e">
        <f ca="1">_xll.cfyql_EuriborSwapIsdaFixA(F6,C6,D6,E6,Permanent,Trigger,ObjectOverwrite)</f>
        <v>#NAME?</v>
      </c>
      <c r="H6" s="83" t="e">
        <f ca="1">_xll.ohRangeRetrieveError(G6)</f>
        <v>#NAME?</v>
      </c>
      <c r="I6" s="294"/>
    </row>
    <row r="7" spans="2:12" x14ac:dyDescent="0.2">
      <c r="B7" s="235"/>
      <c r="C7" s="85" t="s">
        <v>51</v>
      </c>
      <c r="D7" s="85" t="e">
        <f ca="1">Euribor!$D$10</f>
        <v>#NAME?</v>
      </c>
      <c r="E7" s="85" t="e">
        <f ca="1">Euribor!$D$4</f>
        <v>#NAME?</v>
      </c>
      <c r="F7" s="85" t="str">
        <f t="shared" si="0"/>
        <v>EuriborSwapIsdaFixA5Y</v>
      </c>
      <c r="G7" s="85" t="e">
        <f ca="1">_xll.cfyql_EuriborSwapIsdaFixA(F7,C7,D7,E7,Permanent,Trigger,ObjectOverwrite)</f>
        <v>#NAME?</v>
      </c>
      <c r="H7" s="83" t="e">
        <f ca="1">_xll.ohRangeRetrieveError(G7)</f>
        <v>#NAME?</v>
      </c>
      <c r="I7" s="294"/>
    </row>
    <row r="8" spans="2:12" x14ac:dyDescent="0.2">
      <c r="B8" s="235"/>
      <c r="C8" s="85" t="s">
        <v>50</v>
      </c>
      <c r="D8" s="85" t="e">
        <f ca="1">Euribor!$D$10</f>
        <v>#NAME?</v>
      </c>
      <c r="E8" s="85" t="e">
        <f ca="1">Euribor!$D$4</f>
        <v>#NAME?</v>
      </c>
      <c r="F8" s="85" t="str">
        <f t="shared" si="0"/>
        <v>EuriborSwapIsdaFixA6Y</v>
      </c>
      <c r="G8" s="85" t="e">
        <f ca="1">_xll.cfyql_EuriborSwapIsdaFixA(F8,C8,D8,E8,Permanent,Trigger,ObjectOverwrite)</f>
        <v>#NAME?</v>
      </c>
      <c r="H8" s="83" t="e">
        <f ca="1">_xll.ohRangeRetrieveError(G8)</f>
        <v>#NAME?</v>
      </c>
      <c r="I8" s="294"/>
    </row>
    <row r="9" spans="2:12" x14ac:dyDescent="0.2">
      <c r="B9" s="235"/>
      <c r="C9" s="85" t="s">
        <v>49</v>
      </c>
      <c r="D9" s="85" t="e">
        <f ca="1">Euribor!$D$10</f>
        <v>#NAME?</v>
      </c>
      <c r="E9" s="85" t="e">
        <f ca="1">Euribor!$D$4</f>
        <v>#NAME?</v>
      </c>
      <c r="F9" s="85" t="str">
        <f t="shared" si="0"/>
        <v>EuriborSwapIsdaFixA7Y</v>
      </c>
      <c r="G9" s="85" t="e">
        <f ca="1">_xll.cfyql_EuriborSwapIsdaFixA(F9,C9,D9,E9,Permanent,Trigger,ObjectOverwrite)</f>
        <v>#NAME?</v>
      </c>
      <c r="H9" s="83" t="e">
        <f ca="1">_xll.ohRangeRetrieveError(G9)</f>
        <v>#NAME?</v>
      </c>
      <c r="I9" s="294"/>
    </row>
    <row r="10" spans="2:12" x14ac:dyDescent="0.2">
      <c r="B10" s="235"/>
      <c r="C10" s="85" t="s">
        <v>48</v>
      </c>
      <c r="D10" s="85" t="e">
        <f ca="1">Euribor!$D$10</f>
        <v>#NAME?</v>
      </c>
      <c r="E10" s="85" t="e">
        <f ca="1">Euribor!$D$4</f>
        <v>#NAME?</v>
      </c>
      <c r="F10" s="85" t="str">
        <f t="shared" si="0"/>
        <v>EuriborSwapIsdaFixA8Y</v>
      </c>
      <c r="G10" s="85" t="e">
        <f ca="1">_xll.cfyql_EuriborSwapIsdaFixA(F10,C10,D10,E10,Permanent,Trigger,ObjectOverwrite)</f>
        <v>#NAME?</v>
      </c>
      <c r="H10" s="83" t="e">
        <f ca="1">_xll.ohRangeRetrieveError(G10)</f>
        <v>#NAME?</v>
      </c>
      <c r="I10" s="294"/>
    </row>
    <row r="11" spans="2:12" x14ac:dyDescent="0.2">
      <c r="B11" s="235"/>
      <c r="C11" s="85" t="s">
        <v>47</v>
      </c>
      <c r="D11" s="85" t="e">
        <f ca="1">Euribor!$D$10</f>
        <v>#NAME?</v>
      </c>
      <c r="E11" s="85" t="e">
        <f ca="1">Euribor!$D$4</f>
        <v>#NAME?</v>
      </c>
      <c r="F11" s="85" t="str">
        <f t="shared" si="0"/>
        <v>EuriborSwapIsdaFixA9Y</v>
      </c>
      <c r="G11" s="85" t="e">
        <f ca="1">_xll.cfyql_EuriborSwapIsdaFixA(F11,C11,D11,E11,Permanent,Trigger,ObjectOverwrite)</f>
        <v>#NAME?</v>
      </c>
      <c r="H11" s="83" t="e">
        <f ca="1">_xll.ohRangeRetrieveError(G11)</f>
        <v>#NAME?</v>
      </c>
      <c r="I11" s="294"/>
    </row>
    <row r="12" spans="2:12" x14ac:dyDescent="0.2">
      <c r="B12" s="235"/>
      <c r="C12" s="85" t="s">
        <v>46</v>
      </c>
      <c r="D12" s="85" t="e">
        <f ca="1">Euribor!$D$10</f>
        <v>#NAME?</v>
      </c>
      <c r="E12" s="85" t="e">
        <f ca="1">Euribor!$D$4</f>
        <v>#NAME?</v>
      </c>
      <c r="F12" s="85" t="str">
        <f t="shared" si="0"/>
        <v>EuriborSwapIsdaFixA10Y</v>
      </c>
      <c r="G12" s="85" t="e">
        <f ca="1">_xll.cfyql_EuriborSwapIsdaFixA(F12,C12,D12,E12,Permanent,Trigger,ObjectOverwrite)</f>
        <v>#NAME?</v>
      </c>
      <c r="H12" s="83" t="e">
        <f ca="1">_xll.ohRangeRetrieveError(G12)</f>
        <v>#NAME?</v>
      </c>
      <c r="I12" s="294"/>
    </row>
    <row r="13" spans="2:12" x14ac:dyDescent="0.2">
      <c r="B13" s="235"/>
      <c r="C13" s="85" t="s">
        <v>44</v>
      </c>
      <c r="D13" s="85" t="e">
        <f ca="1">Euribor!$D$10</f>
        <v>#NAME?</v>
      </c>
      <c r="E13" s="85" t="e">
        <f ca="1">Euribor!$D$4</f>
        <v>#NAME?</v>
      </c>
      <c r="F13" s="85" t="str">
        <f t="shared" si="0"/>
        <v>EuriborSwapIsdaFixA12Y</v>
      </c>
      <c r="G13" s="85" t="e">
        <f ca="1">_xll.cfyql_EuriborSwapIsdaFixA(F13,C13,D13,E13,Permanent,Trigger,ObjectOverwrite)</f>
        <v>#NAME?</v>
      </c>
      <c r="H13" s="83" t="e">
        <f ca="1">_xll.ohRangeRetrieveError(G13)</f>
        <v>#NAME?</v>
      </c>
      <c r="I13" s="294"/>
    </row>
    <row r="14" spans="2:12" x14ac:dyDescent="0.2">
      <c r="B14" s="235"/>
      <c r="C14" s="85" t="s">
        <v>36</v>
      </c>
      <c r="D14" s="85" t="e">
        <f ca="1">Euribor!$D$10</f>
        <v>#NAME?</v>
      </c>
      <c r="E14" s="85" t="e">
        <f ca="1">Euribor!$D$4</f>
        <v>#NAME?</v>
      </c>
      <c r="F14" s="85" t="str">
        <f t="shared" si="0"/>
        <v>EuriborSwapIsdaFixA20Y</v>
      </c>
      <c r="G14" s="85" t="e">
        <f ca="1">_xll.cfyql_EuriborSwapIsdaFixA(F14,C14,D14,E14,Permanent,Trigger,ObjectOverwrite)</f>
        <v>#NAME?</v>
      </c>
      <c r="H14" s="83" t="e">
        <f ca="1">_xll.ohRangeRetrieveError(G14)</f>
        <v>#NAME?</v>
      </c>
      <c r="I14" s="294"/>
    </row>
    <row r="15" spans="2:12" x14ac:dyDescent="0.2">
      <c r="B15" s="235"/>
      <c r="C15" s="85" t="s">
        <v>31</v>
      </c>
      <c r="D15" s="85" t="e">
        <f ca="1">Euribor!$D$10</f>
        <v>#NAME?</v>
      </c>
      <c r="E15" s="85" t="e">
        <f ca="1">Euribor!$D$4</f>
        <v>#NAME?</v>
      </c>
      <c r="F15" s="85" t="str">
        <f t="shared" si="0"/>
        <v>EuriborSwapIsdaFixA25Y</v>
      </c>
      <c r="G15" s="85" t="e">
        <f ca="1">_xll.cfyql_EuriborSwapIsdaFixA(F15,C15,D15,E15,Permanent,Trigger,ObjectOverwrite)</f>
        <v>#NAME?</v>
      </c>
      <c r="H15" s="83" t="e">
        <f ca="1">_xll.ohRangeRetrieveError(G15)</f>
        <v>#NAME?</v>
      </c>
      <c r="I15" s="294"/>
    </row>
    <row r="16" spans="2:12" x14ac:dyDescent="0.2">
      <c r="B16" s="235"/>
      <c r="C16" s="74" t="s">
        <v>26</v>
      </c>
      <c r="D16" s="74" t="e">
        <f ca="1">Euribor!$D$10</f>
        <v>#NAME?</v>
      </c>
      <c r="E16" s="74" t="e">
        <f ca="1">Euribor!$D$4</f>
        <v>#NAME?</v>
      </c>
      <c r="F16" s="74" t="str">
        <f t="shared" si="0"/>
        <v>EuriborSwapIsdaFixA30Y</v>
      </c>
      <c r="G16" s="74" t="e">
        <f ca="1">_xll.cfyql_EuriborSwapIsdaFixA(F16,C16,D16,E16,Permanent,Trigger,ObjectOverwrite)</f>
        <v>#NAME?</v>
      </c>
      <c r="H16" s="72" t="e">
        <f ca="1">_xll.ohRangeRetrieveError(G16)</f>
        <v>#NAME?</v>
      </c>
      <c r="I16" s="294"/>
    </row>
    <row r="17" spans="2:9" x14ac:dyDescent="0.2">
      <c r="B17" s="234"/>
      <c r="C17" s="233"/>
      <c r="D17" s="233"/>
      <c r="E17" s="233"/>
      <c r="F17" s="233"/>
      <c r="G17" s="233"/>
      <c r="H17" s="233"/>
      <c r="I17" s="293"/>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workbookViewId="0"/>
  </sheetViews>
  <sheetFormatPr defaultColWidth="25.42578125" defaultRowHeight="11.25" customHeight="1" outlineLevelCol="1" x14ac:dyDescent="0.2"/>
  <cols>
    <col min="1" max="1" width="3.140625" style="30" customWidth="1" outlineLevel="1"/>
    <col min="2" max="2" width="6" style="30" customWidth="1" outlineLevel="1"/>
    <col min="3" max="3" width="3.140625" style="30" customWidth="1" outlineLevel="1"/>
    <col min="4" max="4" width="2" style="30" customWidth="1" outlineLevel="1"/>
    <col min="5" max="5" width="21.42578125" style="30" customWidth="1" outlineLevel="1"/>
    <col min="6" max="6" width="20.140625" style="30" customWidth="1" outlineLevel="1"/>
    <col min="7" max="7" width="25.42578125" style="30" customWidth="1" outlineLevel="1"/>
    <col min="8" max="8" width="2.7109375" style="30" customWidth="1" outlineLevel="1"/>
    <col min="9" max="9" width="2.5703125" style="30" customWidth="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89"/>
      <c r="B1" s="189"/>
      <c r="C1" s="189"/>
      <c r="D1" s="54"/>
      <c r="E1" s="54"/>
      <c r="F1" s="54"/>
      <c r="G1" s="54"/>
      <c r="H1" s="53"/>
      <c r="J1" s="126" t="s">
        <v>186</v>
      </c>
      <c r="K1" s="122"/>
      <c r="L1" s="122"/>
      <c r="M1" s="122"/>
      <c r="N1" s="122"/>
      <c r="O1" s="122"/>
      <c r="P1" s="122"/>
      <c r="Q1" s="122"/>
      <c r="R1" s="122"/>
      <c r="S1" s="122"/>
      <c r="T1" s="170"/>
    </row>
    <row r="2" spans="1:23" ht="11.25" customHeight="1" x14ac:dyDescent="0.25">
      <c r="A2" s="120"/>
      <c r="B2" s="109"/>
      <c r="C2" s="109"/>
      <c r="D2" s="109"/>
      <c r="E2" s="109"/>
      <c r="F2" s="109"/>
      <c r="G2" s="109"/>
      <c r="H2" s="119"/>
      <c r="J2" s="112"/>
      <c r="K2" s="110"/>
      <c r="L2" s="169"/>
      <c r="M2" s="118" t="str">
        <f>VLOOKUP(J1,AreaTable,2,FALSE)</f>
        <v>KLIEM</v>
      </c>
      <c r="N2" s="111"/>
      <c r="O2" s="111"/>
      <c r="P2" s="111"/>
      <c r="Q2" s="111"/>
      <c r="R2" s="111"/>
      <c r="S2" s="117" t="e">
        <f ca="1">_xll.ohTrigger(S5:S15)</f>
        <v>#NAME?</v>
      </c>
      <c r="T2" s="36"/>
      <c r="V2" s="1360" t="s">
        <v>529</v>
      </c>
      <c r="W2" s="1363" t="e">
        <f ca="1">_xll.cfyql_Trigger('General Settings'!Trigger)</f>
        <v>#NAME?</v>
      </c>
    </row>
    <row r="3" spans="1:23" ht="11.25" customHeight="1" thickBot="1" x14ac:dyDescent="0.3">
      <c r="A3" s="190"/>
      <c r="B3" s="150"/>
      <c r="C3" s="150"/>
      <c r="D3" s="109"/>
      <c r="E3" s="109"/>
      <c r="F3" s="109"/>
      <c r="G3" s="109"/>
      <c r="H3" s="119"/>
      <c r="J3" s="134"/>
      <c r="K3" s="111"/>
      <c r="L3" s="110"/>
      <c r="M3" s="110"/>
      <c r="N3" s="110"/>
      <c r="O3" s="111"/>
      <c r="P3" s="111"/>
      <c r="Q3" s="111"/>
      <c r="R3" s="110"/>
      <c r="S3" s="167"/>
      <c r="T3" s="129"/>
      <c r="V3" s="1361" t="s">
        <v>530</v>
      </c>
      <c r="W3" s="1364" t="e">
        <f ca="1">_xll.cfyql_Trigger(S5:S15)</f>
        <v>#NAME?</v>
      </c>
    </row>
    <row r="4" spans="1:23" ht="21" customHeight="1" x14ac:dyDescent="0.2">
      <c r="A4" s="134"/>
      <c r="B4" s="265" t="s">
        <v>107</v>
      </c>
      <c r="C4" s="52"/>
      <c r="D4" s="50"/>
      <c r="E4" s="52" t="s">
        <v>91</v>
      </c>
      <c r="F4" s="51" t="s">
        <v>90</v>
      </c>
      <c r="G4" s="51" t="e">
        <f ca="1">_xll.ohRangeRetrieveError(F4)</f>
        <v>#NAME?</v>
      </c>
      <c r="H4" s="119"/>
      <c r="J4" s="134"/>
      <c r="K4" s="292"/>
      <c r="L4" s="145" t="s">
        <v>101</v>
      </c>
      <c r="M4" s="147" t="e">
        <f ca="1">_xll.RData(M5:M7,N4:N4,,ReutersRtMode,,N5)</f>
        <v>#NAME?</v>
      </c>
      <c r="N4" s="52" t="s">
        <v>83</v>
      </c>
      <c r="O4" s="111"/>
      <c r="P4" s="146" t="s">
        <v>78</v>
      </c>
      <c r="Q4" s="111"/>
      <c r="R4" s="103" t="s">
        <v>77</v>
      </c>
      <c r="S4" s="291" t="s">
        <v>76</v>
      </c>
      <c r="T4" s="129"/>
    </row>
    <row r="5" spans="1:23" ht="11.25" customHeight="1" x14ac:dyDescent="0.2">
      <c r="A5" s="134"/>
      <c r="B5" s="290" t="str">
        <f t="shared" ref="B5:B15" si="0">K5</f>
        <v>ON</v>
      </c>
      <c r="C5" s="289"/>
      <c r="D5" s="288" t="s">
        <v>182</v>
      </c>
      <c r="E5" s="95" t="str">
        <f t="shared" ref="E5:E15" si="1">Currency&amp;B5&amp;$D5&amp;QuoteSuffix</f>
        <v>EUROND_Quote</v>
      </c>
      <c r="F5" s="95" t="e">
        <f ca="1">_xll.cfyql_SimpleQuote(E5,,RateTickValue,Permanent,Trigger,ObjectOverwrite)</f>
        <v>#NAME?</v>
      </c>
      <c r="G5" s="287" t="e">
        <f ca="1">_xll.ohRangeRetrieveError(F5)</f>
        <v>#NAME?</v>
      </c>
      <c r="H5" s="119"/>
      <c r="J5" s="134"/>
      <c r="K5" s="286" t="s">
        <v>185</v>
      </c>
      <c r="L5" s="162" t="str">
        <f>Currency&amp;K5</f>
        <v>EURON</v>
      </c>
      <c r="M5" s="162" t="str">
        <f>L5&amp;"D="&amp;VLOOKUP(Contributor,ContributorTable,2,FALSE)</f>
        <v>EUROND=CKCC</v>
      </c>
      <c r="N5" s="89">
        <v>-0.11000000000000001</v>
      </c>
      <c r="O5" s="114"/>
      <c r="P5" s="89">
        <v>-0.11000000000000001</v>
      </c>
      <c r="Q5" s="274"/>
      <c r="R5" s="89">
        <f t="array" ref="R5:R15">QuoteStatic</f>
        <v>-0.11000000000000001</v>
      </c>
      <c r="S5" s="285" t="e">
        <f ca="1">_xll.cfyql_SimpleQuoteSetValue(F5,R5/100,Trigger)</f>
        <v>#NAME?</v>
      </c>
      <c r="T5" s="129"/>
    </row>
    <row r="6" spans="1:23" ht="11.25" customHeight="1" x14ac:dyDescent="0.2">
      <c r="A6" s="134"/>
      <c r="B6" s="284" t="str">
        <f t="shared" si="0"/>
        <v>TN</v>
      </c>
      <c r="C6" s="283"/>
      <c r="D6" s="282" t="s">
        <v>182</v>
      </c>
      <c r="E6" s="84" t="str">
        <f t="shared" si="1"/>
        <v>EURTND_Quote</v>
      </c>
      <c r="F6" s="84" t="e">
        <f ca="1">_xll.cfyql_SimpleQuote(E6,,RateTickValue,Permanent,Trigger,ObjectOverwrite)</f>
        <v>#NAME?</v>
      </c>
      <c r="G6" s="281" t="e">
        <f ca="1">_xll.ohRangeRetrieveError(F6)</f>
        <v>#NAME?</v>
      </c>
      <c r="H6" s="119"/>
      <c r="J6" s="134"/>
      <c r="K6" s="280" t="s">
        <v>184</v>
      </c>
      <c r="L6" s="139" t="str">
        <f>Currency&amp;K6</f>
        <v>EURTN</v>
      </c>
      <c r="M6" s="139" t="str">
        <f>L6&amp;"D="&amp;VLOOKUP(Contributor,ContributorTable,2,FALSE)</f>
        <v>EURTND=CKCC</v>
      </c>
      <c r="N6" s="78">
        <v>-0.12</v>
      </c>
      <c r="O6" s="114"/>
      <c r="P6" s="78">
        <v>-0.12</v>
      </c>
      <c r="Q6" s="274"/>
      <c r="R6" s="78">
        <v>-0.12</v>
      </c>
      <c r="S6" s="179" t="e">
        <f ca="1">_xll.cfyql_SimpleQuoteSetValue(F6,R6/100,Trigger)</f>
        <v>#NAME?</v>
      </c>
      <c r="T6" s="129"/>
    </row>
    <row r="7" spans="1:23" ht="11.25" customHeight="1" x14ac:dyDescent="0.2">
      <c r="A7" s="134"/>
      <c r="B7" s="279" t="str">
        <f t="shared" si="0"/>
        <v>SN</v>
      </c>
      <c r="C7" s="278"/>
      <c r="D7" s="277" t="s">
        <v>182</v>
      </c>
      <c r="E7" s="73" t="str">
        <f t="shared" si="1"/>
        <v>EURSND_Quote</v>
      </c>
      <c r="F7" s="73" t="e">
        <f ca="1">_xll.cfyql_SimpleQuote(E7,,RateTickValue,Permanent,Trigger,ObjectOverwrite)</f>
        <v>#NAME?</v>
      </c>
      <c r="G7" s="276" t="e">
        <f ca="1">_xll.ohRangeRetrieveError(F7)</f>
        <v>#NAME?</v>
      </c>
      <c r="H7" s="119"/>
      <c r="J7" s="134"/>
      <c r="K7" s="275" t="s">
        <v>183</v>
      </c>
      <c r="L7" s="132" t="str">
        <f>Currency&amp;K7</f>
        <v>EURSN</v>
      </c>
      <c r="M7" s="132" t="str">
        <f>L7&amp;"D="&amp;VLOOKUP(Contributor,ContributorTable,2,FALSE)</f>
        <v>EURSND=CKCC</v>
      </c>
      <c r="N7" s="65">
        <v>-0.12</v>
      </c>
      <c r="O7" s="114"/>
      <c r="P7" s="65">
        <v>-0.12</v>
      </c>
      <c r="Q7" s="274"/>
      <c r="R7" s="65">
        <v>-0.12</v>
      </c>
      <c r="S7" s="191" t="e">
        <f ca="1">_xll.cfyql_SimpleQuoteSetValue(F7,R7/100,Trigger)</f>
        <v>#NAME?</v>
      </c>
      <c r="T7" s="129"/>
    </row>
    <row r="8" spans="1:23" ht="11.25" customHeight="1" x14ac:dyDescent="0.2">
      <c r="A8" s="134"/>
      <c r="B8" s="284" t="str">
        <f t="shared" si="0"/>
        <v>SW</v>
      </c>
      <c r="C8" s="283"/>
      <c r="D8" s="282" t="s">
        <v>182</v>
      </c>
      <c r="E8" s="84" t="str">
        <f t="shared" si="1"/>
        <v>EURSWD_Quote</v>
      </c>
      <c r="F8" s="84" t="e">
        <f ca="1">_xll.cfyql_SimpleQuote(E8,,RateTickValue,Permanent,Trigger,ObjectOverwrite)</f>
        <v>#NAME?</v>
      </c>
      <c r="G8" s="281" t="e">
        <f ca="1">_xll.ohRangeRetrieveError(F8)</f>
        <v>#NAME?</v>
      </c>
      <c r="H8" s="119"/>
      <c r="J8" s="134"/>
      <c r="K8" s="280" t="s">
        <v>178</v>
      </c>
      <c r="L8" s="139" t="str">
        <f t="shared" ref="L8:L15" si="2">Currency&amp;"IBOR"&amp;K8</f>
        <v>EURIBORSW</v>
      </c>
      <c r="M8" s="139" t="str">
        <f>Euribor!H5</f>
        <v>EURIBORSWD=</v>
      </c>
      <c r="N8" s="78">
        <f>Euribor!J5</f>
        <v>-0.14499999999999999</v>
      </c>
      <c r="O8" s="114"/>
      <c r="P8" s="78">
        <v>-0.14499999999999999</v>
      </c>
      <c r="Q8" s="274"/>
      <c r="R8" s="78">
        <v>-0.14499999999999999</v>
      </c>
      <c r="S8" s="179" t="e">
        <f ca="1">_xll.cfyql_SimpleQuoteSetValue(F8,R8/100,Trigger)</f>
        <v>#NAME?</v>
      </c>
      <c r="T8" s="129"/>
    </row>
    <row r="9" spans="1:23" ht="11.25" customHeight="1" x14ac:dyDescent="0.2">
      <c r="A9" s="134"/>
      <c r="B9" s="284" t="str">
        <f t="shared" si="0"/>
        <v>2W</v>
      </c>
      <c r="C9" s="283"/>
      <c r="D9" s="282" t="s">
        <v>182</v>
      </c>
      <c r="E9" s="84" t="str">
        <f t="shared" si="1"/>
        <v>EUR2WD_Quote</v>
      </c>
      <c r="F9" s="84" t="e">
        <f ca="1">_xll.cfyql_SimpleQuote(E9,,RateTickValue,Permanent,Trigger,ObjectOverwrite)</f>
        <v>#NAME?</v>
      </c>
      <c r="G9" s="281" t="e">
        <f ca="1">_xll.ohRangeRetrieveError(F9)</f>
        <v>#NAME?</v>
      </c>
      <c r="H9" s="129"/>
      <c r="J9" s="134"/>
      <c r="K9" s="280" t="s">
        <v>177</v>
      </c>
      <c r="L9" s="139" t="str">
        <f t="shared" si="2"/>
        <v>EURIBOR2W</v>
      </c>
      <c r="M9" s="139" t="str">
        <f>Euribor!H6</f>
        <v>EURIBOR2WD=</v>
      </c>
      <c r="N9" s="78">
        <f>Euribor!J6</f>
        <v>-0.14299999999999999</v>
      </c>
      <c r="O9" s="114"/>
      <c r="P9" s="78">
        <v>-0.14299999999999999</v>
      </c>
      <c r="Q9" s="274"/>
      <c r="R9" s="78">
        <v>-0.14299999999999999</v>
      </c>
      <c r="S9" s="179" t="e">
        <f ca="1">_xll.cfyql_SimpleQuoteSetValue(F9,R9/100,Trigger)</f>
        <v>#NAME?</v>
      </c>
      <c r="T9" s="129"/>
    </row>
    <row r="10" spans="1:23" ht="11.25" customHeight="1" x14ac:dyDescent="0.2">
      <c r="A10" s="134"/>
      <c r="B10" s="284" t="str">
        <f t="shared" si="0"/>
        <v>1M</v>
      </c>
      <c r="C10" s="283"/>
      <c r="D10" s="282" t="s">
        <v>182</v>
      </c>
      <c r="E10" s="84" t="str">
        <f t="shared" si="1"/>
        <v>EUR1MD_Quote</v>
      </c>
      <c r="F10" s="84" t="e">
        <f ca="1">_xll.cfyql_SimpleQuote(E10,,RateTickValue,Permanent,Trigger,ObjectOverwrite)</f>
        <v>#NAME?</v>
      </c>
      <c r="G10" s="281" t="e">
        <f ca="1">_xll.ohRangeRetrieveError(F10)</f>
        <v>#NAME?</v>
      </c>
      <c r="H10" s="129"/>
      <c r="J10" s="134"/>
      <c r="K10" s="280" t="s">
        <v>175</v>
      </c>
      <c r="L10" s="139" t="str">
        <f t="shared" si="2"/>
        <v>EURIBOR1M</v>
      </c>
      <c r="M10" s="139" t="str">
        <f>Euribor!H7</f>
        <v>EURIBOR1MD=</v>
      </c>
      <c r="N10" s="78">
        <f>Euribor!J7</f>
        <v>-0.11299999999999999</v>
      </c>
      <c r="O10" s="114"/>
      <c r="P10" s="78">
        <v>-0.11299999999999999</v>
      </c>
      <c r="Q10" s="274"/>
      <c r="R10" s="78">
        <v>-0.11299999999999999</v>
      </c>
      <c r="S10" s="179" t="e">
        <f ca="1">_xll.cfyql_SimpleQuoteSetValue(F10,R10/100,Trigger)</f>
        <v>#NAME?</v>
      </c>
      <c r="T10" s="129"/>
    </row>
    <row r="11" spans="1:23" ht="11.25" customHeight="1" x14ac:dyDescent="0.2">
      <c r="A11" s="134"/>
      <c r="B11" s="284" t="str">
        <f t="shared" si="0"/>
        <v>2M</v>
      </c>
      <c r="C11" s="283"/>
      <c r="D11" s="282" t="s">
        <v>182</v>
      </c>
      <c r="E11" s="84" t="str">
        <f t="shared" si="1"/>
        <v>EUR2MD_Quote</v>
      </c>
      <c r="F11" s="84" t="e">
        <f ca="1">_xll.cfyql_SimpleQuote(E11,,RateTickValue,Permanent,Trigger,ObjectOverwrite)</f>
        <v>#NAME?</v>
      </c>
      <c r="G11" s="281" t="e">
        <f ca="1">_xll.ohRangeRetrieveError(F11)</f>
        <v>#NAME?</v>
      </c>
      <c r="H11" s="129"/>
      <c r="J11" s="134"/>
      <c r="K11" s="280" t="s">
        <v>174</v>
      </c>
      <c r="L11" s="139" t="str">
        <f t="shared" si="2"/>
        <v>EURIBOR2M</v>
      </c>
      <c r="M11" s="139" t="str">
        <f>Euribor!H8</f>
        <v>EURIBOR2MD=</v>
      </c>
      <c r="N11" s="78">
        <f>Euribor!J8</f>
        <v>-6.9999999999999993E-2</v>
      </c>
      <c r="O11" s="114"/>
      <c r="P11" s="78">
        <v>-6.9999999999999993E-2</v>
      </c>
      <c r="Q11" s="274"/>
      <c r="R11" s="78">
        <v>-6.9999999999999993E-2</v>
      </c>
      <c r="S11" s="179" t="e">
        <f ca="1">_xll.cfyql_SimpleQuoteSetValue(F11,R11/100,Trigger)</f>
        <v>#NAME?</v>
      </c>
      <c r="T11" s="129"/>
    </row>
    <row r="12" spans="1:23" ht="11.25" customHeight="1" x14ac:dyDescent="0.2">
      <c r="A12" s="134"/>
      <c r="B12" s="284" t="str">
        <f t="shared" si="0"/>
        <v>3M</v>
      </c>
      <c r="C12" s="283"/>
      <c r="D12" s="282" t="s">
        <v>182</v>
      </c>
      <c r="E12" s="84" t="str">
        <f t="shared" si="1"/>
        <v>EUR3MD_Quote</v>
      </c>
      <c r="F12" s="84" t="e">
        <f ca="1">_xll.cfyql_SimpleQuote(E12,,RateTickValue,Permanent,Trigger,ObjectOverwrite)</f>
        <v>#NAME?</v>
      </c>
      <c r="G12" s="281" t="e">
        <f ca="1">_xll.ohRangeRetrieveError(F12)</f>
        <v>#NAME?</v>
      </c>
      <c r="H12" s="129"/>
      <c r="J12" s="134"/>
      <c r="K12" s="280" t="s">
        <v>127</v>
      </c>
      <c r="L12" s="139" t="str">
        <f t="shared" si="2"/>
        <v>EURIBOR3M</v>
      </c>
      <c r="M12" s="139" t="str">
        <f>Euribor!H9</f>
        <v>EURIBOR3MD=</v>
      </c>
      <c r="N12" s="78">
        <f>Euribor!J9</f>
        <v>-0.04</v>
      </c>
      <c r="O12" s="114"/>
      <c r="P12" s="78">
        <v>-0.04</v>
      </c>
      <c r="Q12" s="274"/>
      <c r="R12" s="78">
        <v>-0.04</v>
      </c>
      <c r="S12" s="179" t="e">
        <f ca="1">_xll.cfyql_SimpleQuoteSetValue(F12,R12/100,Trigger)</f>
        <v>#NAME?</v>
      </c>
      <c r="T12" s="129"/>
    </row>
    <row r="13" spans="1:23" ht="11.25" customHeight="1" x14ac:dyDescent="0.2">
      <c r="A13" s="134"/>
      <c r="B13" s="284" t="str">
        <f t="shared" si="0"/>
        <v>6M</v>
      </c>
      <c r="C13" s="283"/>
      <c r="D13" s="282" t="s">
        <v>182</v>
      </c>
      <c r="E13" s="84" t="str">
        <f t="shared" si="1"/>
        <v>EUR6MD_Quote</v>
      </c>
      <c r="F13" s="84" t="e">
        <f ca="1">_xll.cfyql_SimpleQuote(E13,,RateTickValue,Permanent,Trigger,ObjectOverwrite)</f>
        <v>#NAME?</v>
      </c>
      <c r="G13" s="281" t="e">
        <f ca="1">_xll.ohRangeRetrieveError(F13)</f>
        <v>#NAME?</v>
      </c>
      <c r="H13" s="129"/>
      <c r="J13" s="134"/>
      <c r="K13" s="280" t="s">
        <v>92</v>
      </c>
      <c r="L13" s="139" t="str">
        <f t="shared" si="2"/>
        <v>EURIBOR6M</v>
      </c>
      <c r="M13" s="139" t="str">
        <f>Euribor!H10</f>
        <v>EURIBOR6MD=</v>
      </c>
      <c r="N13" s="78">
        <f>Euribor!J10</f>
        <v>2.8999999999999998E-2</v>
      </c>
      <c r="O13" s="114"/>
      <c r="P13" s="78">
        <v>2.8999999999999998E-2</v>
      </c>
      <c r="Q13" s="274"/>
      <c r="R13" s="78">
        <v>2.8999999999999998E-2</v>
      </c>
      <c r="S13" s="179" t="e">
        <f ca="1">_xll.cfyql_SimpleQuoteSetValue(F13,R13/100,Trigger)</f>
        <v>#NAME?</v>
      </c>
      <c r="T13" s="129"/>
    </row>
    <row r="14" spans="1:23" ht="11.25" customHeight="1" x14ac:dyDescent="0.2">
      <c r="A14" s="134"/>
      <c r="B14" s="284" t="str">
        <f t="shared" si="0"/>
        <v>9M</v>
      </c>
      <c r="C14" s="283"/>
      <c r="D14" s="282" t="s">
        <v>182</v>
      </c>
      <c r="E14" s="84" t="str">
        <f t="shared" si="1"/>
        <v>EUR9MD_Quote</v>
      </c>
      <c r="F14" s="84" t="e">
        <f ca="1">_xll.cfyql_SimpleQuote(E14,,RateTickValue,Permanent,Trigger,ObjectOverwrite)</f>
        <v>#NAME?</v>
      </c>
      <c r="G14" s="281" t="e">
        <f ca="1">_xll.ohRangeRetrieveError(F14)</f>
        <v>#NAME?</v>
      </c>
      <c r="H14" s="129"/>
      <c r="J14" s="134"/>
      <c r="K14" s="280" t="s">
        <v>169</v>
      </c>
      <c r="L14" s="139" t="str">
        <f t="shared" si="2"/>
        <v>EURIBOR9M</v>
      </c>
      <c r="M14" s="139" t="str">
        <f>Euribor!H11</f>
        <v>EURIBOR9MD=</v>
      </c>
      <c r="N14" s="78">
        <f>Euribor!J11</f>
        <v>7.8E-2</v>
      </c>
      <c r="O14" s="114"/>
      <c r="P14" s="78">
        <v>7.8E-2</v>
      </c>
      <c r="Q14" s="274"/>
      <c r="R14" s="78">
        <v>7.8E-2</v>
      </c>
      <c r="S14" s="179" t="e">
        <f ca="1">_xll.cfyql_SimpleQuoteSetValue(F14,R14/100,Trigger)</f>
        <v>#NAME?</v>
      </c>
      <c r="T14" s="129"/>
    </row>
    <row r="15" spans="1:23" ht="11.25" customHeight="1" x14ac:dyDescent="0.2">
      <c r="A15" s="134"/>
      <c r="B15" s="279" t="str">
        <f t="shared" si="0"/>
        <v>1Y</v>
      </c>
      <c r="C15" s="278"/>
      <c r="D15" s="277" t="s">
        <v>182</v>
      </c>
      <c r="E15" s="73" t="str">
        <f t="shared" si="1"/>
        <v>EUR1YD_Quote</v>
      </c>
      <c r="F15" s="73" t="e">
        <f ca="1">_xll.cfyql_SimpleQuote(E15,,RateTickValue,Permanent,Trigger,ObjectOverwrite)</f>
        <v>#NAME?</v>
      </c>
      <c r="G15" s="276" t="e">
        <f ca="1">_xll.ohRangeRetrieveError(F15)</f>
        <v>#NAME?</v>
      </c>
      <c r="H15" s="129"/>
      <c r="J15" s="134"/>
      <c r="K15" s="275" t="s">
        <v>58</v>
      </c>
      <c r="L15" s="132" t="str">
        <f t="shared" si="2"/>
        <v>EURIBOR1Y</v>
      </c>
      <c r="M15" s="132" t="str">
        <f>Euribor!H12</f>
        <v>EURIBOR1YD=</v>
      </c>
      <c r="N15" s="65">
        <f>Euribor!J12</f>
        <v>0.14199999999999999</v>
      </c>
      <c r="O15" s="114"/>
      <c r="P15" s="65">
        <v>0.14199999999999999</v>
      </c>
      <c r="Q15" s="274"/>
      <c r="R15" s="65">
        <v>0.14199999999999999</v>
      </c>
      <c r="S15" s="191" t="e">
        <f ca="1">_xll.cfyql_SimpleQuoteSetValue(F15,R15/100,Trigger)</f>
        <v>#NAME?</v>
      </c>
      <c r="T15" s="129"/>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workbookViewId="0"/>
  </sheetViews>
  <sheetFormatPr defaultRowHeight="11.25" outlineLevelCol="1" x14ac:dyDescent="0.2"/>
  <cols>
    <col min="1" max="3" width="2.7109375" style="30" customWidth="1" outlineLevel="1"/>
    <col min="4" max="4" width="5" style="30" customWidth="1" outlineLevel="1"/>
    <col min="5" max="5" width="16.140625" style="30" customWidth="1" outlineLevel="1"/>
    <col min="6" max="6" width="21.42578125" style="30" customWidth="1" outlineLevel="1"/>
    <col min="7" max="7" width="25.7109375" style="31"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3"/>
      <c r="B1" s="271"/>
      <c r="C1" s="271"/>
      <c r="D1" s="271"/>
      <c r="E1" s="271"/>
      <c r="F1" s="272"/>
      <c r="G1" s="271"/>
      <c r="H1" s="270"/>
      <c r="J1" s="177" t="s">
        <v>181</v>
      </c>
      <c r="K1" s="54"/>
      <c r="L1" s="54"/>
      <c r="M1" s="54"/>
      <c r="N1" s="54"/>
      <c r="O1" s="54"/>
      <c r="P1" s="54"/>
      <c r="Q1" s="54"/>
      <c r="R1" s="54"/>
      <c r="S1" s="54"/>
      <c r="T1" s="54"/>
      <c r="U1" s="54"/>
      <c r="V1" s="54"/>
      <c r="W1" s="54"/>
      <c r="X1" s="54"/>
      <c r="Y1" s="53"/>
    </row>
    <row r="2" spans="1:28" ht="15" x14ac:dyDescent="0.25">
      <c r="A2" s="269"/>
      <c r="B2" s="268"/>
      <c r="C2" s="268"/>
      <c r="D2" s="268"/>
      <c r="E2" s="268"/>
      <c r="F2" s="268"/>
      <c r="G2" s="267"/>
      <c r="H2" s="266"/>
      <c r="J2" s="120"/>
      <c r="K2" s="109"/>
      <c r="L2" s="109"/>
      <c r="M2" s="109"/>
      <c r="N2" s="109"/>
      <c r="O2" s="118" t="str">
        <f>VLOOKUP(J1,AreaTable,2,FALSE)</f>
        <v>ICAP</v>
      </c>
      <c r="P2" s="109"/>
      <c r="Q2" s="109"/>
      <c r="R2" s="114"/>
      <c r="S2" s="114"/>
      <c r="T2" s="114"/>
      <c r="U2" s="114"/>
      <c r="V2" s="114"/>
      <c r="W2" s="114"/>
      <c r="X2" s="151" t="e">
        <f ca="1">_xll.ohTrigger(X5:X58)</f>
        <v>#NAME?</v>
      </c>
      <c r="Y2" s="119"/>
      <c r="AA2" s="1360" t="s">
        <v>529</v>
      </c>
      <c r="AB2" s="1363" t="e">
        <f ca="1">_xll.cfyql_Trigger('General Settings'!Trigger)</f>
        <v>#NAME?</v>
      </c>
    </row>
    <row r="3" spans="1:28" ht="15.75" thickBot="1" x14ac:dyDescent="0.3">
      <c r="A3" s="269"/>
      <c r="B3" s="268"/>
      <c r="C3" s="268"/>
      <c r="D3" s="268"/>
      <c r="E3" s="268"/>
      <c r="F3" s="268"/>
      <c r="G3" s="267"/>
      <c r="H3" s="266"/>
      <c r="J3" s="41"/>
      <c r="K3" s="109"/>
      <c r="L3" s="109"/>
      <c r="M3" s="114"/>
      <c r="N3" s="109"/>
      <c r="O3" s="109"/>
      <c r="P3" s="109"/>
      <c r="Q3" s="109"/>
      <c r="R3" s="109"/>
      <c r="S3" s="109"/>
      <c r="T3" s="114"/>
      <c r="U3" s="114"/>
      <c r="V3" s="114"/>
      <c r="W3" s="109"/>
      <c r="X3" s="109"/>
      <c r="Y3" s="254"/>
      <c r="AA3" s="1361" t="s">
        <v>530</v>
      </c>
      <c r="AB3" s="1364" t="e">
        <f ca="1">_xll.cfyql_Trigger(X5:X58)</f>
        <v>#NAME?</v>
      </c>
    </row>
    <row r="4" spans="1:28" ht="21" customHeight="1" x14ac:dyDescent="0.2">
      <c r="A4" s="134"/>
      <c r="B4" s="265"/>
      <c r="C4" s="264"/>
      <c r="D4" s="50"/>
      <c r="E4" s="52" t="s">
        <v>91</v>
      </c>
      <c r="F4" s="51" t="s">
        <v>90</v>
      </c>
      <c r="G4" s="51" t="e">
        <f ca="1">_xll.ohRangeRetrieveError(F4)</f>
        <v>#NAME?</v>
      </c>
      <c r="H4" s="36"/>
      <c r="J4" s="41"/>
      <c r="K4" s="149"/>
      <c r="L4" s="149"/>
      <c r="M4" s="149"/>
      <c r="N4" s="52" t="s">
        <v>101</v>
      </c>
      <c r="O4" s="147" t="e">
        <f ca="1">_xll.RData(O5:O58,P4:Q4,,ReutersRtMode,,P5)</f>
        <v>#NAME?</v>
      </c>
      <c r="P4" s="146" t="s">
        <v>84</v>
      </c>
      <c r="Q4" s="146" t="s">
        <v>83</v>
      </c>
      <c r="R4" s="146" t="s">
        <v>106</v>
      </c>
      <c r="S4" s="146" t="s">
        <v>79</v>
      </c>
      <c r="T4" s="114"/>
      <c r="U4" s="146" t="s">
        <v>78</v>
      </c>
      <c r="V4" s="114"/>
      <c r="W4" s="146" t="s">
        <v>77</v>
      </c>
      <c r="X4" s="146" t="s">
        <v>76</v>
      </c>
      <c r="Y4" s="254"/>
    </row>
    <row r="5" spans="1:28" x14ac:dyDescent="0.2">
      <c r="A5" s="134"/>
      <c r="B5" s="95">
        <f t="shared" ref="B5:B36" si="0">K5</f>
        <v>1</v>
      </c>
      <c r="C5" s="95" t="str">
        <f t="shared" ref="C5:C36" si="1">L5</f>
        <v>x</v>
      </c>
      <c r="D5" s="95" t="str">
        <f t="shared" ref="D5:D36" si="2">M5</f>
        <v>4F</v>
      </c>
      <c r="E5" s="96" t="str">
        <f t="shared" ref="E5:E36" si="3">Currency&amp;$B5&amp;C5&amp;$D5&amp;QuoteSuffix</f>
        <v>EUR1x4F_Quote</v>
      </c>
      <c r="F5" s="95" t="e">
        <f ca="1">_xll.cfyql_SimpleQuote(E5,,RateTickValue,Permanent,Trigger,ObjectOverwrite)</f>
        <v>#NAME?</v>
      </c>
      <c r="G5" s="94" t="e">
        <f ca="1">_xll.ohRangeRetrieveError(F5)</f>
        <v>#NAME?</v>
      </c>
      <c r="H5" s="36"/>
      <c r="J5" s="41"/>
      <c r="K5" s="262">
        <v>1</v>
      </c>
      <c r="L5" s="262" t="s">
        <v>180</v>
      </c>
      <c r="M5" s="262" t="str">
        <f t="shared" ref="M5:M16" si="4">K5+3&amp;"F"</f>
        <v>4F</v>
      </c>
      <c r="N5" s="263" t="str">
        <f t="shared" ref="N5:N36" si="5">Currency&amp;$K5&amp;L5&amp;$M5</f>
        <v>EUR1x4F</v>
      </c>
      <c r="O5" s="225"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4"/>
      <c r="U5" s="89">
        <v>-4.5999999999999999E-2</v>
      </c>
      <c r="V5" s="114"/>
      <c r="W5" s="227">
        <f t="array" ref="W5:W58">QuoteStatic</f>
        <v>-4.5999999999999999E-2</v>
      </c>
      <c r="X5" s="260" t="e">
        <f ca="1">_xll.cfyql_SimpleQuoteSetValue(F5,W5/100,Trigger)</f>
        <v>#NAME?</v>
      </c>
      <c r="Y5" s="254"/>
    </row>
    <row r="6" spans="1:28" x14ac:dyDescent="0.2">
      <c r="A6" s="134"/>
      <c r="B6" s="84">
        <f t="shared" si="0"/>
        <v>2</v>
      </c>
      <c r="C6" s="84" t="str">
        <f t="shared" si="1"/>
        <v>x</v>
      </c>
      <c r="D6" s="84" t="str">
        <f t="shared" si="2"/>
        <v>5F</v>
      </c>
      <c r="E6" s="85" t="str">
        <f t="shared" si="3"/>
        <v>EUR2x5F_Quote</v>
      </c>
      <c r="F6" s="84" t="e">
        <f ca="1">_xll.cfyql_SimpleQuote(E6,,RateTickValue,Permanent,Trigger,ObjectOverwrite)</f>
        <v>#NAME?</v>
      </c>
      <c r="G6" s="83" t="e">
        <f ca="1">_xll.ohRangeRetrieveError(F6)</f>
        <v>#NAME?</v>
      </c>
      <c r="H6" s="36"/>
      <c r="J6" s="41"/>
      <c r="K6" s="257">
        <v>2</v>
      </c>
      <c r="L6" s="257" t="s">
        <v>180</v>
      </c>
      <c r="M6" s="257" t="str">
        <f t="shared" si="4"/>
        <v>5F</v>
      </c>
      <c r="N6" s="255" t="str">
        <f t="shared" si="5"/>
        <v>EUR2x5F</v>
      </c>
      <c r="O6" s="185" t="str">
        <v>EUR2X5F=ICAP</v>
      </c>
      <c r="P6" s="78">
        <v>-7.3999999999999996E-2</v>
      </c>
      <c r="Q6" s="78">
        <v>-2.4E-2</v>
      </c>
      <c r="R6" s="78">
        <f t="shared" si="6"/>
        <v>-4.9000000000000002E-2</v>
      </c>
      <c r="S6" s="78">
        <f t="shared" si="7"/>
        <v>4.9999999999999989E-2</v>
      </c>
      <c r="T6" s="114"/>
      <c r="U6" s="78">
        <v>-4.9000000000000002E-2</v>
      </c>
      <c r="V6" s="114"/>
      <c r="W6" s="218">
        <v>-4.9000000000000002E-2</v>
      </c>
      <c r="X6" s="221" t="e">
        <f ca="1">_xll.cfyql_SimpleQuoteSetValue(F6,W6/100,Trigger)</f>
        <v>#NAME?</v>
      </c>
      <c r="Y6" s="254"/>
    </row>
    <row r="7" spans="1:28" x14ac:dyDescent="0.2">
      <c r="A7" s="134"/>
      <c r="B7" s="84">
        <f t="shared" si="0"/>
        <v>3</v>
      </c>
      <c r="C7" s="84" t="str">
        <f t="shared" si="1"/>
        <v>x</v>
      </c>
      <c r="D7" s="84" t="str">
        <f t="shared" si="2"/>
        <v>6F</v>
      </c>
      <c r="E7" s="85" t="str">
        <f t="shared" si="3"/>
        <v>EUR3x6F_Quote</v>
      </c>
      <c r="F7" s="84" t="e">
        <f ca="1">_xll.cfyql_SimpleQuote(E7,,RateTickValue,Permanent,Trigger,ObjectOverwrite)</f>
        <v>#NAME?</v>
      </c>
      <c r="G7" s="83" t="e">
        <f ca="1">_xll.ohRangeRetrieveError(F7)</f>
        <v>#NAME?</v>
      </c>
      <c r="H7" s="36"/>
      <c r="J7" s="41"/>
      <c r="K7" s="257">
        <v>3</v>
      </c>
      <c r="L7" s="257" t="s">
        <v>180</v>
      </c>
      <c r="M7" s="257" t="str">
        <f t="shared" si="4"/>
        <v>6F</v>
      </c>
      <c r="N7" s="255" t="str">
        <f t="shared" si="5"/>
        <v>EUR3x6F</v>
      </c>
      <c r="O7" s="185" t="str">
        <v>EUR3X6F=ICAP</v>
      </c>
      <c r="P7" s="78">
        <v>-7.8E-2</v>
      </c>
      <c r="Q7" s="78">
        <v>-2.7999999999999997E-2</v>
      </c>
      <c r="R7" s="78">
        <f t="shared" si="6"/>
        <v>-5.2999999999999999E-2</v>
      </c>
      <c r="S7" s="78">
        <f t="shared" si="7"/>
        <v>0.05</v>
      </c>
      <c r="T7" s="114"/>
      <c r="U7" s="78">
        <v>-5.2999999999999999E-2</v>
      </c>
      <c r="V7" s="114"/>
      <c r="W7" s="218">
        <v>-5.2999999999999999E-2</v>
      </c>
      <c r="X7" s="221" t="e">
        <f ca="1">_xll.cfyql_SimpleQuoteSetValue(F7,W7/100,Trigger)</f>
        <v>#NAME?</v>
      </c>
      <c r="Y7" s="254"/>
    </row>
    <row r="8" spans="1:28" x14ac:dyDescent="0.2">
      <c r="A8" s="134"/>
      <c r="B8" s="84">
        <f t="shared" si="0"/>
        <v>4</v>
      </c>
      <c r="C8" s="84" t="str">
        <f t="shared" si="1"/>
        <v>x</v>
      </c>
      <c r="D8" s="84" t="str">
        <f t="shared" si="2"/>
        <v>7F</v>
      </c>
      <c r="E8" s="85" t="str">
        <f t="shared" si="3"/>
        <v>EUR4x7F_Quote</v>
      </c>
      <c r="F8" s="84" t="e">
        <f ca="1">_xll.cfyql_SimpleQuote(E8,,RateTickValue,Permanent,Trigger,ObjectOverwrite)</f>
        <v>#NAME?</v>
      </c>
      <c r="G8" s="83" t="e">
        <f ca="1">_xll.ohRangeRetrieveError(F8)</f>
        <v>#NAME?</v>
      </c>
      <c r="H8" s="36"/>
      <c r="J8" s="41"/>
      <c r="K8" s="257">
        <v>4</v>
      </c>
      <c r="L8" s="257" t="s">
        <v>180</v>
      </c>
      <c r="M8" s="257" t="str">
        <f t="shared" si="4"/>
        <v>7F</v>
      </c>
      <c r="N8" s="255" t="str">
        <f t="shared" si="5"/>
        <v>EUR4x7F</v>
      </c>
      <c r="O8" s="185" t="str">
        <v>EUR4X7F=ICAP</v>
      </c>
      <c r="P8" s="78">
        <v>-0.08</v>
      </c>
      <c r="Q8" s="78">
        <v>-0.03</v>
      </c>
      <c r="R8" s="78">
        <f t="shared" si="6"/>
        <v>-5.5E-2</v>
      </c>
      <c r="S8" s="78">
        <f t="shared" si="7"/>
        <v>0.05</v>
      </c>
      <c r="T8" s="114"/>
      <c r="U8" s="78">
        <v>-5.5E-2</v>
      </c>
      <c r="V8" s="114"/>
      <c r="W8" s="218">
        <v>-5.5E-2</v>
      </c>
      <c r="X8" s="221" t="e">
        <f ca="1">_xll.cfyql_SimpleQuoteSetValue(F8,W8/100,Trigger)</f>
        <v>#NAME?</v>
      </c>
      <c r="Y8" s="254"/>
    </row>
    <row r="9" spans="1:28" x14ac:dyDescent="0.2">
      <c r="A9" s="134"/>
      <c r="B9" s="84">
        <f t="shared" si="0"/>
        <v>5</v>
      </c>
      <c r="C9" s="84" t="str">
        <f t="shared" si="1"/>
        <v>x</v>
      </c>
      <c r="D9" s="84" t="str">
        <f t="shared" si="2"/>
        <v>8F</v>
      </c>
      <c r="E9" s="85" t="str">
        <f t="shared" si="3"/>
        <v>EUR5x8F_Quote</v>
      </c>
      <c r="F9" s="84" t="e">
        <f ca="1">_xll.cfyql_SimpleQuote(E9,,RateTickValue,Permanent,Trigger,ObjectOverwrite)</f>
        <v>#NAME?</v>
      </c>
      <c r="G9" s="83" t="e">
        <f ca="1">_xll.ohRangeRetrieveError(F9)</f>
        <v>#NAME?</v>
      </c>
      <c r="H9" s="36"/>
      <c r="J9" s="41"/>
      <c r="K9" s="257">
        <v>5</v>
      </c>
      <c r="L9" s="257" t="s">
        <v>180</v>
      </c>
      <c r="M9" s="257" t="str">
        <f t="shared" si="4"/>
        <v>8F</v>
      </c>
      <c r="N9" s="255" t="str">
        <f t="shared" si="5"/>
        <v>EUR5x8F</v>
      </c>
      <c r="O9" s="185" t="str">
        <v>EUR5X8F=ICAP</v>
      </c>
      <c r="P9" s="78">
        <v>-8.199999999999999E-2</v>
      </c>
      <c r="Q9" s="78">
        <v>-3.2000000000000001E-2</v>
      </c>
      <c r="R9" s="78">
        <f t="shared" si="6"/>
        <v>-5.6999999999999995E-2</v>
      </c>
      <c r="S9" s="78">
        <f t="shared" si="7"/>
        <v>4.9999999999999989E-2</v>
      </c>
      <c r="T9" s="114"/>
      <c r="U9" s="78">
        <v>-5.6999999999999995E-2</v>
      </c>
      <c r="V9" s="114"/>
      <c r="W9" s="218">
        <v>-5.6999999999999995E-2</v>
      </c>
      <c r="X9" s="221" t="e">
        <f ca="1">_xll.cfyql_SimpleQuoteSetValue(F9,W9/100,Trigger)</f>
        <v>#NAME?</v>
      </c>
      <c r="Y9" s="254"/>
    </row>
    <row r="10" spans="1:28" x14ac:dyDescent="0.2">
      <c r="A10" s="134"/>
      <c r="B10" s="84">
        <f t="shared" si="0"/>
        <v>6</v>
      </c>
      <c r="C10" s="84" t="str">
        <f t="shared" si="1"/>
        <v>x</v>
      </c>
      <c r="D10" s="84" t="str">
        <f t="shared" si="2"/>
        <v>9F</v>
      </c>
      <c r="E10" s="85" t="str">
        <f t="shared" si="3"/>
        <v>EUR6x9F_Quote</v>
      </c>
      <c r="F10" s="84" t="e">
        <f ca="1">_xll.cfyql_SimpleQuote(E10,,RateTickValue,Permanent,Trigger,ObjectOverwrite)</f>
        <v>#NAME?</v>
      </c>
      <c r="G10" s="83" t="e">
        <f ca="1">_xll.ohRangeRetrieveError(F10)</f>
        <v>#NAME?</v>
      </c>
      <c r="H10" s="36"/>
      <c r="J10" s="41"/>
      <c r="K10" s="257">
        <v>6</v>
      </c>
      <c r="L10" s="257" t="s">
        <v>180</v>
      </c>
      <c r="M10" s="257" t="str">
        <f t="shared" si="4"/>
        <v>9F</v>
      </c>
      <c r="N10" s="255" t="str">
        <f t="shared" si="5"/>
        <v>EUR6x9F</v>
      </c>
      <c r="O10" s="185" t="str">
        <v>EUR6X9F=ICAP</v>
      </c>
      <c r="P10" s="78">
        <v>-8.4999999999999992E-2</v>
      </c>
      <c r="Q10" s="78">
        <v>-3.4999999999999996E-2</v>
      </c>
      <c r="R10" s="78">
        <f t="shared" si="6"/>
        <v>-0.06</v>
      </c>
      <c r="S10" s="78">
        <f t="shared" si="7"/>
        <v>4.9999999999999989E-2</v>
      </c>
      <c r="T10" s="114"/>
      <c r="U10" s="78">
        <v>-0.06</v>
      </c>
      <c r="V10" s="114"/>
      <c r="W10" s="218">
        <v>-0.06</v>
      </c>
      <c r="X10" s="221" t="e">
        <f ca="1">_xll.cfyql_SimpleQuoteSetValue(F10,W10/100,Trigger)</f>
        <v>#NAME?</v>
      </c>
      <c r="Y10" s="254"/>
    </row>
    <row r="11" spans="1:28" x14ac:dyDescent="0.2">
      <c r="A11" s="134"/>
      <c r="B11" s="84">
        <f t="shared" si="0"/>
        <v>7</v>
      </c>
      <c r="C11" s="84" t="str">
        <f t="shared" si="1"/>
        <v>x</v>
      </c>
      <c r="D11" s="84" t="str">
        <f t="shared" si="2"/>
        <v>10F</v>
      </c>
      <c r="E11" s="85" t="str">
        <f t="shared" si="3"/>
        <v>EUR7x10F_Quote</v>
      </c>
      <c r="F11" s="84" t="e">
        <f ca="1">_xll.cfyql_SimpleQuote(E11,,RateTickValue,Permanent,Trigger,ObjectOverwrite)</f>
        <v>#NAME?</v>
      </c>
      <c r="G11" s="83" t="e">
        <f ca="1">_xll.ohRangeRetrieveError(F11)</f>
        <v>#NAME?</v>
      </c>
      <c r="H11" s="36"/>
      <c r="J11" s="41"/>
      <c r="K11" s="257">
        <v>7</v>
      </c>
      <c r="L11" s="257" t="s">
        <v>180</v>
      </c>
      <c r="M11" s="257" t="str">
        <f t="shared" si="4"/>
        <v>10F</v>
      </c>
      <c r="N11" s="255" t="str">
        <f t="shared" si="5"/>
        <v>EUR7x10F</v>
      </c>
      <c r="O11" s="185" t="str">
        <v>EUR7X10F=ICAP</v>
      </c>
      <c r="P11" s="78">
        <v>-8.6999999999999994E-2</v>
      </c>
      <c r="Q11" s="78">
        <v>-3.6999999999999998E-2</v>
      </c>
      <c r="R11" s="78">
        <f t="shared" si="6"/>
        <v>-6.2E-2</v>
      </c>
      <c r="S11" s="78">
        <f t="shared" si="7"/>
        <v>4.9999999999999989E-2</v>
      </c>
      <c r="T11" s="114"/>
      <c r="U11" s="78">
        <v>-6.2E-2</v>
      </c>
      <c r="V11" s="114"/>
      <c r="W11" s="218">
        <v>-6.2E-2</v>
      </c>
      <c r="X11" s="221" t="e">
        <f ca="1">_xll.cfyql_SimpleQuoteSetValue(F11,W11/100,Trigger)</f>
        <v>#NAME?</v>
      </c>
      <c r="Y11" s="254"/>
    </row>
    <row r="12" spans="1:28" x14ac:dyDescent="0.2">
      <c r="A12" s="134"/>
      <c r="B12" s="84">
        <f t="shared" si="0"/>
        <v>8</v>
      </c>
      <c r="C12" s="84" t="str">
        <f t="shared" si="1"/>
        <v>x</v>
      </c>
      <c r="D12" s="84" t="str">
        <f t="shared" si="2"/>
        <v>11F</v>
      </c>
      <c r="E12" s="85" t="str">
        <f t="shared" si="3"/>
        <v>EUR8x11F_Quote</v>
      </c>
      <c r="F12" s="84" t="e">
        <f ca="1">_xll.cfyql_SimpleQuote(E12,,RateTickValue,Permanent,Trigger,ObjectOverwrite)</f>
        <v>#NAME?</v>
      </c>
      <c r="G12" s="83" t="e">
        <f ca="1">_xll.ohRangeRetrieveError(F12)</f>
        <v>#NAME?</v>
      </c>
      <c r="H12" s="36"/>
      <c r="J12" s="41"/>
      <c r="K12" s="257">
        <v>8</v>
      </c>
      <c r="L12" s="257" t="s">
        <v>180</v>
      </c>
      <c r="M12" s="257" t="str">
        <f t="shared" si="4"/>
        <v>11F</v>
      </c>
      <c r="N12" s="255" t="str">
        <f t="shared" si="5"/>
        <v>EUR8x11F</v>
      </c>
      <c r="O12" s="185" t="str">
        <v>EUR8X11F=ICAP</v>
      </c>
      <c r="P12" s="78">
        <v>-0.09</v>
      </c>
      <c r="Q12" s="78">
        <v>-0.04</v>
      </c>
      <c r="R12" s="78">
        <f t="shared" si="6"/>
        <v>-6.5000000000000002E-2</v>
      </c>
      <c r="S12" s="78">
        <f t="shared" si="7"/>
        <v>4.9999999999999989E-2</v>
      </c>
      <c r="T12" s="114"/>
      <c r="U12" s="78">
        <v>-6.5000000000000002E-2</v>
      </c>
      <c r="V12" s="114"/>
      <c r="W12" s="218">
        <v>-6.5000000000000002E-2</v>
      </c>
      <c r="X12" s="221" t="e">
        <f ca="1">_xll.cfyql_SimpleQuoteSetValue(F12,W12/100,Trigger)</f>
        <v>#NAME?</v>
      </c>
      <c r="Y12" s="254"/>
    </row>
    <row r="13" spans="1:28" x14ac:dyDescent="0.2">
      <c r="A13" s="134"/>
      <c r="B13" s="84">
        <f t="shared" si="0"/>
        <v>9</v>
      </c>
      <c r="C13" s="84" t="str">
        <f t="shared" si="1"/>
        <v>x</v>
      </c>
      <c r="D13" s="84" t="str">
        <f t="shared" si="2"/>
        <v>12F</v>
      </c>
      <c r="E13" s="85" t="str">
        <f t="shared" si="3"/>
        <v>EUR9x12F_Quote</v>
      </c>
      <c r="F13" s="84" t="e">
        <f ca="1">_xll.cfyql_SimpleQuote(E13,,RateTickValue,Permanent,Trigger,ObjectOverwrite)</f>
        <v>#NAME?</v>
      </c>
      <c r="G13" s="83" t="e">
        <f ca="1">_xll.ohRangeRetrieveError(F13)</f>
        <v>#NAME?</v>
      </c>
      <c r="H13" s="36"/>
      <c r="J13" s="41"/>
      <c r="K13" s="257">
        <v>9</v>
      </c>
      <c r="L13" s="257" t="s">
        <v>180</v>
      </c>
      <c r="M13" s="257" t="str">
        <f t="shared" si="4"/>
        <v>12F</v>
      </c>
      <c r="N13" s="255" t="str">
        <f t="shared" si="5"/>
        <v>EUR9x12F</v>
      </c>
      <c r="O13" s="185" t="str">
        <v>EUR9X12F=ICAP</v>
      </c>
      <c r="P13" s="78">
        <v>-0.09</v>
      </c>
      <c r="Q13" s="78">
        <v>-0.04</v>
      </c>
      <c r="R13" s="78">
        <f t="shared" si="6"/>
        <v>-6.5000000000000002E-2</v>
      </c>
      <c r="S13" s="78">
        <f t="shared" si="7"/>
        <v>4.9999999999999989E-2</v>
      </c>
      <c r="T13" s="114"/>
      <c r="U13" s="78">
        <v>-6.5000000000000002E-2</v>
      </c>
      <c r="V13" s="114"/>
      <c r="W13" s="218">
        <v>-6.5000000000000002E-2</v>
      </c>
      <c r="X13" s="221" t="e">
        <f ca="1">_xll.cfyql_SimpleQuoteSetValue(F13,W13/100,Trigger)</f>
        <v>#NAME?</v>
      </c>
      <c r="Y13" s="254"/>
    </row>
    <row r="14" spans="1:28" x14ac:dyDescent="0.2">
      <c r="A14" s="134"/>
      <c r="B14" s="84">
        <f t="shared" si="0"/>
        <v>10</v>
      </c>
      <c r="C14" s="84" t="str">
        <f t="shared" si="1"/>
        <v>x</v>
      </c>
      <c r="D14" s="84" t="str">
        <f t="shared" si="2"/>
        <v>13F</v>
      </c>
      <c r="E14" s="85" t="str">
        <f t="shared" si="3"/>
        <v>EUR10x13F_Quote</v>
      </c>
      <c r="F14" s="84" t="e">
        <f ca="1">_xll.cfyql_SimpleQuote(E14,,RateTickValue,Permanent,Trigger,ObjectOverwrite)</f>
        <v>#NAME?</v>
      </c>
      <c r="G14" s="83" t="e">
        <f ca="1">_xll.ohRangeRetrieveError(F14)</f>
        <v>#NAME?</v>
      </c>
      <c r="H14" s="36"/>
      <c r="J14" s="41"/>
      <c r="K14" s="257">
        <v>10</v>
      </c>
      <c r="L14" s="257" t="s">
        <v>180</v>
      </c>
      <c r="M14" s="257" t="str">
        <f t="shared" si="4"/>
        <v>13F</v>
      </c>
      <c r="N14" s="255" t="str">
        <f t="shared" si="5"/>
        <v>EUR10x13F</v>
      </c>
      <c r="O14" s="185" t="str">
        <v>EUR10X13F=ICAP</v>
      </c>
      <c r="P14" s="78">
        <v>-0.09</v>
      </c>
      <c r="Q14" s="78">
        <v>-0.04</v>
      </c>
      <c r="R14" s="78">
        <f t="shared" si="6"/>
        <v>-6.5000000000000002E-2</v>
      </c>
      <c r="S14" s="78">
        <f t="shared" si="7"/>
        <v>4.9999999999999989E-2</v>
      </c>
      <c r="T14" s="114"/>
      <c r="U14" s="78">
        <v>-6.5000000000000002E-2</v>
      </c>
      <c r="V14" s="114"/>
      <c r="W14" s="218">
        <v>-6.5000000000000002E-2</v>
      </c>
      <c r="X14" s="221" t="e">
        <f ca="1">_xll.cfyql_SimpleQuoteSetValue(F14,W14/100,Trigger)</f>
        <v>#NAME?</v>
      </c>
      <c r="Y14" s="254"/>
    </row>
    <row r="15" spans="1:28" x14ac:dyDescent="0.2">
      <c r="A15" s="134"/>
      <c r="B15" s="84">
        <f t="shared" si="0"/>
        <v>11</v>
      </c>
      <c r="C15" s="84" t="str">
        <f t="shared" si="1"/>
        <v>x</v>
      </c>
      <c r="D15" s="84" t="str">
        <f t="shared" si="2"/>
        <v>14F</v>
      </c>
      <c r="E15" s="85" t="str">
        <f t="shared" si="3"/>
        <v>EUR11x14F_Quote</v>
      </c>
      <c r="F15" s="84" t="e">
        <f ca="1">_xll.cfyql_SimpleQuote(E15,,RateTickValue,Permanent,Trigger,ObjectOverwrite)</f>
        <v>#NAME?</v>
      </c>
      <c r="G15" s="83" t="e">
        <f ca="1">_xll.ohRangeRetrieveError(F15)</f>
        <v>#NAME?</v>
      </c>
      <c r="H15" s="36"/>
      <c r="J15" s="41"/>
      <c r="K15" s="257">
        <v>11</v>
      </c>
      <c r="L15" s="257" t="s">
        <v>180</v>
      </c>
      <c r="M15" s="257" t="str">
        <f t="shared" si="4"/>
        <v>14F</v>
      </c>
      <c r="N15" s="255" t="str">
        <f t="shared" si="5"/>
        <v>EUR11x14F</v>
      </c>
      <c r="O15" s="185" t="str">
        <v>EUR11X14F=ICAP</v>
      </c>
      <c r="P15" s="78">
        <v>-8.8999999999999996E-2</v>
      </c>
      <c r="Q15" s="78">
        <v>-3.9E-2</v>
      </c>
      <c r="R15" s="78">
        <f t="shared" si="6"/>
        <v>-6.4000000000000001E-2</v>
      </c>
      <c r="S15" s="78">
        <f t="shared" si="7"/>
        <v>4.9999999999999989E-2</v>
      </c>
      <c r="T15" s="114"/>
      <c r="U15" s="78">
        <v>-6.4000000000000001E-2</v>
      </c>
      <c r="V15" s="114"/>
      <c r="W15" s="218">
        <v>-6.4000000000000001E-2</v>
      </c>
      <c r="X15" s="221" t="e">
        <f ca="1">_xll.cfyql_SimpleQuoteSetValue(F15,W15/100,Trigger)</f>
        <v>#NAME?</v>
      </c>
      <c r="Y15" s="254"/>
    </row>
    <row r="16" spans="1:28" x14ac:dyDescent="0.2">
      <c r="A16" s="134"/>
      <c r="B16" s="84">
        <f t="shared" si="0"/>
        <v>12</v>
      </c>
      <c r="C16" s="84" t="str">
        <f t="shared" si="1"/>
        <v>x</v>
      </c>
      <c r="D16" s="84" t="str">
        <f t="shared" si="2"/>
        <v>15F</v>
      </c>
      <c r="E16" s="85" t="str">
        <f t="shared" si="3"/>
        <v>EUR12x15F_Quote</v>
      </c>
      <c r="F16" s="84" t="e">
        <f ca="1">_xll.cfyql_SimpleQuote(E16,,RateTickValue,Permanent,Trigger,ObjectOverwrite)</f>
        <v>#NAME?</v>
      </c>
      <c r="G16" s="83" t="e">
        <f ca="1">_xll.ohRangeRetrieveError(F16)</f>
        <v>#NAME?</v>
      </c>
      <c r="H16" s="36"/>
      <c r="J16" s="41"/>
      <c r="K16" s="257">
        <v>12</v>
      </c>
      <c r="L16" s="257" t="s">
        <v>180</v>
      </c>
      <c r="M16" s="257" t="str">
        <f t="shared" si="4"/>
        <v>15F</v>
      </c>
      <c r="N16" s="255" t="str">
        <f t="shared" si="5"/>
        <v>EUR12x15F</v>
      </c>
      <c r="O16" s="185" t="str">
        <v>EUR12X15F=ICAP</v>
      </c>
      <c r="P16" s="78">
        <v>-8.4000000000000005E-2</v>
      </c>
      <c r="Q16" s="78">
        <v>-3.3999999999999996E-2</v>
      </c>
      <c r="R16" s="78">
        <f t="shared" si="6"/>
        <v>-5.8999999999999997E-2</v>
      </c>
      <c r="S16" s="78">
        <f t="shared" si="7"/>
        <v>5.0000000000000017E-2</v>
      </c>
      <c r="T16" s="114"/>
      <c r="U16" s="78">
        <v>-5.8999999999999997E-2</v>
      </c>
      <c r="V16" s="114"/>
      <c r="W16" s="218">
        <v>-5.8999999999999997E-2</v>
      </c>
      <c r="X16" s="221" t="e">
        <f ca="1">_xll.cfyql_SimpleQuoteSetValue(F16,W16/100,Trigger)</f>
        <v>#NAME?</v>
      </c>
      <c r="Y16" s="254"/>
    </row>
    <row r="17" spans="1:25" x14ac:dyDescent="0.2">
      <c r="A17" s="134"/>
      <c r="B17" s="84">
        <f t="shared" si="0"/>
        <v>1</v>
      </c>
      <c r="C17" s="84" t="str">
        <f t="shared" si="1"/>
        <v>x</v>
      </c>
      <c r="D17" s="84" t="str">
        <f t="shared" si="2"/>
        <v>7F</v>
      </c>
      <c r="E17" s="85" t="str">
        <f t="shared" si="3"/>
        <v>EUR1x7F_Quote</v>
      </c>
      <c r="F17" s="84" t="e">
        <f ca="1">_xll.cfyql_SimpleQuote(E17,,RateTickValue,Permanent,Trigger,ObjectOverwrite)</f>
        <v>#NAME?</v>
      </c>
      <c r="G17" s="83" t="e">
        <f ca="1">_xll.ohRangeRetrieveError(F17)</f>
        <v>#NAME?</v>
      </c>
      <c r="H17" s="36"/>
      <c r="J17" s="41"/>
      <c r="K17" s="262">
        <v>1</v>
      </c>
      <c r="L17" s="262" t="s">
        <v>180</v>
      </c>
      <c r="M17" s="262" t="str">
        <f t="shared" ref="M17:M34" si="8">K17+6&amp;"F"</f>
        <v>7F</v>
      </c>
      <c r="N17" s="261" t="str">
        <f t="shared" si="5"/>
        <v>EUR1x7F</v>
      </c>
      <c r="O17" s="225" t="str">
        <v>EUR1X7F=ICAP</v>
      </c>
      <c r="P17" s="89">
        <v>0</v>
      </c>
      <c r="Q17" s="89">
        <v>0.05</v>
      </c>
      <c r="R17" s="89">
        <f t="shared" si="6"/>
        <v>2.5000000000000001E-2</v>
      </c>
      <c r="S17" s="89">
        <f t="shared" si="7"/>
        <v>0.05</v>
      </c>
      <c r="T17" s="114"/>
      <c r="U17" s="89">
        <v>2.5000000000000001E-2</v>
      </c>
      <c r="V17" s="114"/>
      <c r="W17" s="227">
        <v>2.5000000000000001E-2</v>
      </c>
      <c r="X17" s="260" t="e">
        <f ca="1">_xll.cfyql_SimpleQuoteSetValue(F17,W17/100,Trigger)</f>
        <v>#NAME?</v>
      </c>
      <c r="Y17" s="254"/>
    </row>
    <row r="18" spans="1:25" x14ac:dyDescent="0.2">
      <c r="A18" s="134"/>
      <c r="B18" s="84">
        <f t="shared" si="0"/>
        <v>2</v>
      </c>
      <c r="C18" s="84" t="str">
        <f t="shared" si="1"/>
        <v>x</v>
      </c>
      <c r="D18" s="84" t="str">
        <f t="shared" si="2"/>
        <v>8F</v>
      </c>
      <c r="E18" s="85" t="str">
        <f t="shared" si="3"/>
        <v>EUR2x8F_Quote</v>
      </c>
      <c r="F18" s="84" t="e">
        <f ca="1">_xll.cfyql_SimpleQuote(E18,,RateTickValue,Permanent,Trigger,ObjectOverwrite)</f>
        <v>#NAME?</v>
      </c>
      <c r="G18" s="83" t="e">
        <f ca="1">_xll.ohRangeRetrieveError(F18)</f>
        <v>#NAME?</v>
      </c>
      <c r="H18" s="36"/>
      <c r="J18" s="41"/>
      <c r="K18" s="257">
        <v>2</v>
      </c>
      <c r="L18" s="257" t="s">
        <v>180</v>
      </c>
      <c r="M18" s="257" t="str">
        <f t="shared" si="8"/>
        <v>8F</v>
      </c>
      <c r="N18" s="259" t="str">
        <f t="shared" si="5"/>
        <v>EUR2x8F</v>
      </c>
      <c r="O18" s="185" t="str">
        <v>EUR2X8F=ICAP</v>
      </c>
      <c r="P18" s="78">
        <v>-2E-3</v>
      </c>
      <c r="Q18" s="78">
        <v>4.8000000000000001E-2</v>
      </c>
      <c r="R18" s="78">
        <f t="shared" si="6"/>
        <v>2.3E-2</v>
      </c>
      <c r="S18" s="78">
        <f t="shared" si="7"/>
        <v>0.05</v>
      </c>
      <c r="T18" s="114"/>
      <c r="U18" s="78">
        <v>2.3E-2</v>
      </c>
      <c r="V18" s="114"/>
      <c r="W18" s="218">
        <v>2.3E-2</v>
      </c>
      <c r="X18" s="221" t="e">
        <f ca="1">_xll.cfyql_SimpleQuoteSetValue(F18,W18/100,Trigger)</f>
        <v>#NAME?</v>
      </c>
      <c r="Y18" s="254"/>
    </row>
    <row r="19" spans="1:25" x14ac:dyDescent="0.2">
      <c r="A19" s="134"/>
      <c r="B19" s="84">
        <f t="shared" si="0"/>
        <v>3</v>
      </c>
      <c r="C19" s="84" t="str">
        <f t="shared" si="1"/>
        <v>x</v>
      </c>
      <c r="D19" s="84" t="str">
        <f t="shared" si="2"/>
        <v>9F</v>
      </c>
      <c r="E19" s="85" t="str">
        <f t="shared" si="3"/>
        <v>EUR3x9F_Quote</v>
      </c>
      <c r="F19" s="84" t="e">
        <f ca="1">_xll.cfyql_SimpleQuote(E19,,RateTickValue,Permanent,Trigger,ObjectOverwrite)</f>
        <v>#NAME?</v>
      </c>
      <c r="G19" s="83" t="e">
        <f ca="1">_xll.ohRangeRetrieveError(F19)</f>
        <v>#NAME?</v>
      </c>
      <c r="H19" s="36"/>
      <c r="J19" s="41"/>
      <c r="K19" s="257">
        <v>3</v>
      </c>
      <c r="L19" s="257" t="s">
        <v>180</v>
      </c>
      <c r="M19" s="257" t="str">
        <f t="shared" si="8"/>
        <v>9F</v>
      </c>
      <c r="N19" s="259" t="str">
        <f t="shared" si="5"/>
        <v>EUR3x9F</v>
      </c>
      <c r="O19" s="185" t="str">
        <v>EUR3X9F=ICAP</v>
      </c>
      <c r="P19" s="78">
        <v>-3.0000000000000001E-3</v>
      </c>
      <c r="Q19" s="78">
        <v>4.7E-2</v>
      </c>
      <c r="R19" s="78">
        <f t="shared" si="6"/>
        <v>2.1999999999999999E-2</v>
      </c>
      <c r="S19" s="78">
        <f t="shared" si="7"/>
        <v>4.9999999999999996E-2</v>
      </c>
      <c r="T19" s="114"/>
      <c r="U19" s="78">
        <v>2.1999999999999999E-2</v>
      </c>
      <c r="V19" s="114"/>
      <c r="W19" s="218">
        <v>2.1999999999999999E-2</v>
      </c>
      <c r="X19" s="221" t="e">
        <f ca="1">_xll.cfyql_SimpleQuoteSetValue(F19,W19/100,Trigger)</f>
        <v>#NAME?</v>
      </c>
      <c r="Y19" s="254"/>
    </row>
    <row r="20" spans="1:25" x14ac:dyDescent="0.2">
      <c r="A20" s="134"/>
      <c r="B20" s="84">
        <f t="shared" si="0"/>
        <v>4</v>
      </c>
      <c r="C20" s="84" t="str">
        <f t="shared" si="1"/>
        <v>x</v>
      </c>
      <c r="D20" s="84" t="str">
        <f t="shared" si="2"/>
        <v>10F</v>
      </c>
      <c r="E20" s="85" t="str">
        <f t="shared" si="3"/>
        <v>EUR4x10F_Quote</v>
      </c>
      <c r="F20" s="84" t="e">
        <f ca="1">_xll.cfyql_SimpleQuote(E20,,RateTickValue,Permanent,Trigger,ObjectOverwrite)</f>
        <v>#NAME?</v>
      </c>
      <c r="G20" s="83" t="e">
        <f ca="1">_xll.ohRangeRetrieveError(F20)</f>
        <v>#NAME?</v>
      </c>
      <c r="H20" s="36"/>
      <c r="J20" s="41"/>
      <c r="K20" s="257">
        <v>4</v>
      </c>
      <c r="L20" s="257" t="s">
        <v>180</v>
      </c>
      <c r="M20" s="257" t="str">
        <f t="shared" si="8"/>
        <v>10F</v>
      </c>
      <c r="N20" s="259" t="str">
        <f t="shared" si="5"/>
        <v>EUR4x10F</v>
      </c>
      <c r="O20" s="185" t="str">
        <v>EUR4X10F=ICAP</v>
      </c>
      <c r="P20" s="78">
        <v>-4.0000000000000001E-3</v>
      </c>
      <c r="Q20" s="78">
        <v>4.5999999999999999E-2</v>
      </c>
      <c r="R20" s="78">
        <f t="shared" si="6"/>
        <v>2.0999999999999998E-2</v>
      </c>
      <c r="S20" s="78">
        <f t="shared" si="7"/>
        <v>4.9999999999999996E-2</v>
      </c>
      <c r="T20" s="114"/>
      <c r="U20" s="78">
        <v>2.0999999999999998E-2</v>
      </c>
      <c r="V20" s="114"/>
      <c r="W20" s="218">
        <v>2.0999999999999998E-2</v>
      </c>
      <c r="X20" s="221" t="e">
        <f ca="1">_xll.cfyql_SimpleQuoteSetValue(F20,W20/100,Trigger)</f>
        <v>#NAME?</v>
      </c>
      <c r="Y20" s="254"/>
    </row>
    <row r="21" spans="1:25" x14ac:dyDescent="0.2">
      <c r="A21" s="134"/>
      <c r="B21" s="84">
        <f t="shared" si="0"/>
        <v>5</v>
      </c>
      <c r="C21" s="84" t="str">
        <f t="shared" si="1"/>
        <v>x</v>
      </c>
      <c r="D21" s="84" t="str">
        <f t="shared" si="2"/>
        <v>11F</v>
      </c>
      <c r="E21" s="85" t="str">
        <f t="shared" si="3"/>
        <v>EUR5x11F_Quote</v>
      </c>
      <c r="F21" s="84" t="e">
        <f ca="1">_xll.cfyql_SimpleQuote(E21,,RateTickValue,Permanent,Trigger,ObjectOverwrite)</f>
        <v>#NAME?</v>
      </c>
      <c r="G21" s="83" t="e">
        <f ca="1">_xll.ohRangeRetrieveError(F21)</f>
        <v>#NAME?</v>
      </c>
      <c r="H21" s="36"/>
      <c r="J21" s="41"/>
      <c r="K21" s="257">
        <v>5</v>
      </c>
      <c r="L21" s="257" t="s">
        <v>180</v>
      </c>
      <c r="M21" s="257" t="str">
        <f t="shared" si="8"/>
        <v>11F</v>
      </c>
      <c r="N21" s="259" t="str">
        <f t="shared" si="5"/>
        <v>EUR5x11F</v>
      </c>
      <c r="O21" s="185" t="str">
        <v>EUR5X11F=ICAP</v>
      </c>
      <c r="P21" s="78">
        <v>-5.0000000000000001E-3</v>
      </c>
      <c r="Q21" s="78">
        <v>4.4999999999999998E-2</v>
      </c>
      <c r="R21" s="78">
        <f t="shared" si="6"/>
        <v>0.02</v>
      </c>
      <c r="S21" s="78">
        <f t="shared" si="7"/>
        <v>0.05</v>
      </c>
      <c r="T21" s="114"/>
      <c r="U21" s="78">
        <v>0.02</v>
      </c>
      <c r="V21" s="114"/>
      <c r="W21" s="218">
        <v>0.02</v>
      </c>
      <c r="X21" s="221" t="e">
        <f ca="1">_xll.cfyql_SimpleQuoteSetValue(F21,W21/100,Trigger)</f>
        <v>#NAME?</v>
      </c>
      <c r="Y21" s="254"/>
    </row>
    <row r="22" spans="1:25" x14ac:dyDescent="0.2">
      <c r="A22" s="134"/>
      <c r="B22" s="84">
        <f t="shared" si="0"/>
        <v>6</v>
      </c>
      <c r="C22" s="84" t="str">
        <f t="shared" si="1"/>
        <v>x</v>
      </c>
      <c r="D22" s="84" t="str">
        <f t="shared" si="2"/>
        <v>12F</v>
      </c>
      <c r="E22" s="85" t="str">
        <f t="shared" si="3"/>
        <v>EUR6x12F_Quote</v>
      </c>
      <c r="F22" s="84" t="e">
        <f ca="1">_xll.cfyql_SimpleQuote(E22,,RateTickValue,Permanent,Trigger,ObjectOverwrite)</f>
        <v>#NAME?</v>
      </c>
      <c r="G22" s="83" t="e">
        <f ca="1">_xll.ohRangeRetrieveError(F22)</f>
        <v>#NAME?</v>
      </c>
      <c r="H22" s="36"/>
      <c r="J22" s="41"/>
      <c r="K22" s="257">
        <v>6</v>
      </c>
      <c r="L22" s="257" t="s">
        <v>180</v>
      </c>
      <c r="M22" s="257" t="str">
        <f t="shared" si="8"/>
        <v>12F</v>
      </c>
      <c r="N22" s="259" t="str">
        <f t="shared" si="5"/>
        <v>EUR6x12F</v>
      </c>
      <c r="O22" s="185" t="str">
        <v>EUR6X12F=ICAP</v>
      </c>
      <c r="P22" s="78">
        <v>-5.0000000000000001E-3</v>
      </c>
      <c r="Q22" s="78">
        <v>4.4999999999999998E-2</v>
      </c>
      <c r="R22" s="78">
        <f t="shared" si="6"/>
        <v>0.02</v>
      </c>
      <c r="S22" s="78">
        <f t="shared" si="7"/>
        <v>0.05</v>
      </c>
      <c r="T22" s="114"/>
      <c r="U22" s="78">
        <v>0.02</v>
      </c>
      <c r="V22" s="114"/>
      <c r="W22" s="218">
        <v>0.02</v>
      </c>
      <c r="X22" s="221" t="e">
        <f ca="1">_xll.cfyql_SimpleQuoteSetValue(F22,W22/100,Trigger)</f>
        <v>#NAME?</v>
      </c>
      <c r="Y22" s="254"/>
    </row>
    <row r="23" spans="1:25" x14ac:dyDescent="0.2">
      <c r="A23" s="134"/>
      <c r="B23" s="84">
        <f t="shared" si="0"/>
        <v>7</v>
      </c>
      <c r="C23" s="84" t="str">
        <f t="shared" si="1"/>
        <v>x</v>
      </c>
      <c r="D23" s="84" t="str">
        <f t="shared" si="2"/>
        <v>13F</v>
      </c>
      <c r="E23" s="85" t="str">
        <f t="shared" si="3"/>
        <v>EUR7x13F_Quote</v>
      </c>
      <c r="F23" s="84" t="e">
        <f ca="1">_xll.cfyql_SimpleQuote(E23,,RateTickValue,Permanent,Trigger,ObjectOverwrite)</f>
        <v>#NAME?</v>
      </c>
      <c r="G23" s="83" t="e">
        <f ca="1">_xll.ohRangeRetrieveError(F23)</f>
        <v>#NAME?</v>
      </c>
      <c r="H23" s="36"/>
      <c r="J23" s="41"/>
      <c r="K23" s="257">
        <v>7</v>
      </c>
      <c r="L23" s="257" t="s">
        <v>180</v>
      </c>
      <c r="M23" s="257" t="str">
        <f t="shared" si="8"/>
        <v>13F</v>
      </c>
      <c r="N23" s="259" t="str">
        <f t="shared" si="5"/>
        <v>EUR7x13F</v>
      </c>
      <c r="O23" s="185" t="str">
        <v>EUR7X13F=ICAP</v>
      </c>
      <c r="P23" s="78">
        <v>-4.0000000000000001E-3</v>
      </c>
      <c r="Q23" s="78">
        <v>4.5999999999999999E-2</v>
      </c>
      <c r="R23" s="78">
        <f t="shared" si="6"/>
        <v>2.0999999999999998E-2</v>
      </c>
      <c r="S23" s="78">
        <f t="shared" si="7"/>
        <v>4.9999999999999996E-2</v>
      </c>
      <c r="T23" s="114"/>
      <c r="U23" s="78">
        <v>2.0999999999999998E-2</v>
      </c>
      <c r="V23" s="114"/>
      <c r="W23" s="218">
        <v>2.0999999999999998E-2</v>
      </c>
      <c r="X23" s="221" t="e">
        <f ca="1">_xll.cfyql_SimpleQuoteSetValue(F23,W23/100,Trigger)</f>
        <v>#NAME?</v>
      </c>
      <c r="Y23" s="254"/>
    </row>
    <row r="24" spans="1:25" x14ac:dyDescent="0.2">
      <c r="A24" s="134"/>
      <c r="B24" s="84">
        <f t="shared" si="0"/>
        <v>8</v>
      </c>
      <c r="C24" s="84" t="str">
        <f t="shared" si="1"/>
        <v>x</v>
      </c>
      <c r="D24" s="84" t="str">
        <f t="shared" si="2"/>
        <v>14F</v>
      </c>
      <c r="E24" s="85" t="str">
        <f t="shared" si="3"/>
        <v>EUR8x14F_Quote</v>
      </c>
      <c r="F24" s="84" t="e">
        <f ca="1">_xll.cfyql_SimpleQuote(E24,,RateTickValue,Permanent,Trigger,ObjectOverwrite)</f>
        <v>#NAME?</v>
      </c>
      <c r="G24" s="83" t="e">
        <f ca="1">_xll.ohRangeRetrieveError(F24)</f>
        <v>#NAME?</v>
      </c>
      <c r="H24" s="36"/>
      <c r="J24" s="41"/>
      <c r="K24" s="257">
        <v>8</v>
      </c>
      <c r="L24" s="257" t="s">
        <v>180</v>
      </c>
      <c r="M24" s="257" t="str">
        <f t="shared" si="8"/>
        <v>14F</v>
      </c>
      <c r="N24" s="259" t="str">
        <f t="shared" si="5"/>
        <v>EUR8x14F</v>
      </c>
      <c r="O24" s="185" t="str">
        <v>EUR8X14F=ICAP</v>
      </c>
      <c r="P24" s="78">
        <v>-4.0000000000000001E-3</v>
      </c>
      <c r="Q24" s="78">
        <v>4.5999999999999999E-2</v>
      </c>
      <c r="R24" s="78">
        <f t="shared" si="6"/>
        <v>2.0999999999999998E-2</v>
      </c>
      <c r="S24" s="78">
        <f t="shared" si="7"/>
        <v>4.9999999999999996E-2</v>
      </c>
      <c r="T24" s="114"/>
      <c r="U24" s="78">
        <v>2.0999999999999998E-2</v>
      </c>
      <c r="V24" s="114"/>
      <c r="W24" s="218">
        <v>2.0999999999999998E-2</v>
      </c>
      <c r="X24" s="221" t="e">
        <f ca="1">_xll.cfyql_SimpleQuoteSetValue(F24,W24/100,Trigger)</f>
        <v>#NAME?</v>
      </c>
      <c r="Y24" s="254"/>
    </row>
    <row r="25" spans="1:25" x14ac:dyDescent="0.2">
      <c r="A25" s="134"/>
      <c r="B25" s="84">
        <f t="shared" si="0"/>
        <v>9</v>
      </c>
      <c r="C25" s="84" t="str">
        <f t="shared" si="1"/>
        <v>x</v>
      </c>
      <c r="D25" s="84" t="str">
        <f t="shared" si="2"/>
        <v>15F</v>
      </c>
      <c r="E25" s="85" t="str">
        <f t="shared" si="3"/>
        <v>EUR9x15F_Quote</v>
      </c>
      <c r="F25" s="84" t="e">
        <f ca="1">_xll.cfyql_SimpleQuote(E25,,RateTickValue,Permanent,Trigger,ObjectOverwrite)</f>
        <v>#NAME?</v>
      </c>
      <c r="G25" s="83" t="e">
        <f ca="1">_xll.ohRangeRetrieveError(F25)</f>
        <v>#NAME?</v>
      </c>
      <c r="H25" s="36"/>
      <c r="J25" s="41"/>
      <c r="K25" s="257">
        <v>9</v>
      </c>
      <c r="L25" s="257" t="s">
        <v>180</v>
      </c>
      <c r="M25" s="257" t="str">
        <f t="shared" si="8"/>
        <v>15F</v>
      </c>
      <c r="N25" s="259" t="str">
        <f t="shared" si="5"/>
        <v>EUR9x15F</v>
      </c>
      <c r="O25" s="185" t="str">
        <v>EUR9X15F=ICAP</v>
      </c>
      <c r="P25" s="78">
        <v>0</v>
      </c>
      <c r="Q25" s="78">
        <v>0.05</v>
      </c>
      <c r="R25" s="78">
        <f t="shared" si="6"/>
        <v>2.5000000000000001E-2</v>
      </c>
      <c r="S25" s="78">
        <f t="shared" si="7"/>
        <v>0.05</v>
      </c>
      <c r="T25" s="114"/>
      <c r="U25" s="78">
        <v>2.5000000000000001E-2</v>
      </c>
      <c r="V25" s="114"/>
      <c r="W25" s="218">
        <v>2.5000000000000001E-2</v>
      </c>
      <c r="X25" s="221" t="e">
        <f ca="1">_xll.cfyql_SimpleQuoteSetValue(F25,W25/100,Trigger)</f>
        <v>#NAME?</v>
      </c>
      <c r="Y25" s="254"/>
    </row>
    <row r="26" spans="1:25" x14ac:dyDescent="0.2">
      <c r="A26" s="134"/>
      <c r="B26" s="84">
        <f t="shared" si="0"/>
        <v>10</v>
      </c>
      <c r="C26" s="84" t="str">
        <f t="shared" si="1"/>
        <v>x</v>
      </c>
      <c r="D26" s="84" t="str">
        <f t="shared" si="2"/>
        <v>16F</v>
      </c>
      <c r="E26" s="85" t="str">
        <f t="shared" si="3"/>
        <v>EUR10x16F_Quote</v>
      </c>
      <c r="F26" s="84" t="e">
        <f ca="1">_xll.cfyql_SimpleQuote(E26,,RateTickValue,Permanent,Trigger,ObjectOverwrite)</f>
        <v>#NAME?</v>
      </c>
      <c r="G26" s="83" t="e">
        <f ca="1">_xll.ohRangeRetrieveError(F26)</f>
        <v>#NAME?</v>
      </c>
      <c r="H26" s="36"/>
      <c r="J26" s="41"/>
      <c r="K26" s="257">
        <v>10</v>
      </c>
      <c r="L26" s="257" t="s">
        <v>180</v>
      </c>
      <c r="M26" s="257" t="str">
        <f t="shared" si="8"/>
        <v>16F</v>
      </c>
      <c r="N26" s="259" t="str">
        <f t="shared" si="5"/>
        <v>EUR10x16F</v>
      </c>
      <c r="O26" s="185" t="str">
        <v>EUR10X16F=ICAP</v>
      </c>
      <c r="P26" s="78">
        <v>4.0000000000000001E-3</v>
      </c>
      <c r="Q26" s="78">
        <v>5.4000000000000006E-2</v>
      </c>
      <c r="R26" s="78">
        <f t="shared" si="6"/>
        <v>2.9000000000000005E-2</v>
      </c>
      <c r="S26" s="78">
        <f t="shared" si="7"/>
        <v>5.000000000000001E-2</v>
      </c>
      <c r="T26" s="114"/>
      <c r="U26" s="78">
        <v>2.9000000000000005E-2</v>
      </c>
      <c r="V26" s="114"/>
      <c r="W26" s="218">
        <v>2.9000000000000005E-2</v>
      </c>
      <c r="X26" s="221" t="e">
        <f ca="1">_xll.cfyql_SimpleQuoteSetValue(F26,W26/100,Trigger)</f>
        <v>#NAME?</v>
      </c>
      <c r="Y26" s="254"/>
    </row>
    <row r="27" spans="1:25" x14ac:dyDescent="0.2">
      <c r="A27" s="134"/>
      <c r="B27" s="84">
        <f t="shared" si="0"/>
        <v>11</v>
      </c>
      <c r="C27" s="84" t="str">
        <f t="shared" si="1"/>
        <v>x</v>
      </c>
      <c r="D27" s="84" t="str">
        <f t="shared" si="2"/>
        <v>17F</v>
      </c>
      <c r="E27" s="85" t="str">
        <f t="shared" si="3"/>
        <v>EUR11x17F_Quote</v>
      </c>
      <c r="F27" s="84" t="e">
        <f ca="1">_xll.cfyql_SimpleQuote(E27,,RateTickValue,Permanent,Trigger,ObjectOverwrite)</f>
        <v>#NAME?</v>
      </c>
      <c r="G27" s="83" t="e">
        <f ca="1">_xll.ohRangeRetrieveError(F27)</f>
        <v>#NAME?</v>
      </c>
      <c r="H27" s="36"/>
      <c r="J27" s="41"/>
      <c r="K27" s="257">
        <v>11</v>
      </c>
      <c r="L27" s="257" t="s">
        <v>180</v>
      </c>
      <c r="M27" s="257" t="str">
        <f t="shared" si="8"/>
        <v>17F</v>
      </c>
      <c r="N27" s="259" t="str">
        <f t="shared" si="5"/>
        <v>EUR11x17F</v>
      </c>
      <c r="O27" s="185" t="str">
        <v>EUR11X17F=ICAP</v>
      </c>
      <c r="P27" s="78">
        <v>8.0000000000000002E-3</v>
      </c>
      <c r="Q27" s="78">
        <v>5.7999999999999996E-2</v>
      </c>
      <c r="R27" s="78">
        <f t="shared" si="6"/>
        <v>3.3000000000000002E-2</v>
      </c>
      <c r="S27" s="78">
        <f t="shared" si="7"/>
        <v>0.05</v>
      </c>
      <c r="T27" s="114"/>
      <c r="U27" s="78">
        <v>3.3000000000000002E-2</v>
      </c>
      <c r="V27" s="114"/>
      <c r="W27" s="218">
        <v>3.3000000000000002E-2</v>
      </c>
      <c r="X27" s="221" t="e">
        <f ca="1">_xll.cfyql_SimpleQuoteSetValue(F27,W27/100,Trigger)</f>
        <v>#NAME?</v>
      </c>
      <c r="Y27" s="254"/>
    </row>
    <row r="28" spans="1:25" x14ac:dyDescent="0.2">
      <c r="A28" s="134"/>
      <c r="B28" s="84">
        <f t="shared" si="0"/>
        <v>12</v>
      </c>
      <c r="C28" s="84" t="str">
        <f t="shared" si="1"/>
        <v>x</v>
      </c>
      <c r="D28" s="84" t="str">
        <f t="shared" si="2"/>
        <v>18F</v>
      </c>
      <c r="E28" s="85" t="str">
        <f t="shared" si="3"/>
        <v>EUR12x18F_Quote</v>
      </c>
      <c r="F28" s="84" t="e">
        <f ca="1">_xll.cfyql_SimpleQuote(E28,,RateTickValue,Permanent,Trigger,ObjectOverwrite)</f>
        <v>#NAME?</v>
      </c>
      <c r="G28" s="83" t="e">
        <f ca="1">_xll.ohRangeRetrieveError(F28)</f>
        <v>#NAME?</v>
      </c>
      <c r="H28" s="36"/>
      <c r="J28" s="41"/>
      <c r="K28" s="257">
        <v>12</v>
      </c>
      <c r="L28" s="257" t="s">
        <v>180</v>
      </c>
      <c r="M28" s="257" t="str">
        <f t="shared" si="8"/>
        <v>18F</v>
      </c>
      <c r="N28" s="259" t="str">
        <f t="shared" si="5"/>
        <v>EUR12x18F</v>
      </c>
      <c r="O28" s="185" t="str">
        <v>EUR12X18F=ICAP</v>
      </c>
      <c r="P28" s="78">
        <v>1.3999999999999999E-2</v>
      </c>
      <c r="Q28" s="78">
        <v>6.4000000000000001E-2</v>
      </c>
      <c r="R28" s="78">
        <f t="shared" si="6"/>
        <v>3.9E-2</v>
      </c>
      <c r="S28" s="78">
        <f t="shared" si="7"/>
        <v>0.05</v>
      </c>
      <c r="T28" s="114"/>
      <c r="U28" s="78">
        <v>3.9E-2</v>
      </c>
      <c r="V28" s="114"/>
      <c r="W28" s="218">
        <v>3.9E-2</v>
      </c>
      <c r="X28" s="221" t="e">
        <f ca="1">_xll.cfyql_SimpleQuoteSetValue(F28,W28/100,Trigger)</f>
        <v>#NAME?</v>
      </c>
      <c r="Y28" s="254"/>
    </row>
    <row r="29" spans="1:25" x14ac:dyDescent="0.2">
      <c r="A29" s="134"/>
      <c r="B29" s="84">
        <f t="shared" si="0"/>
        <v>13</v>
      </c>
      <c r="C29" s="84" t="str">
        <f t="shared" si="1"/>
        <v>x</v>
      </c>
      <c r="D29" s="84" t="str">
        <f t="shared" si="2"/>
        <v>19F</v>
      </c>
      <c r="E29" s="85" t="str">
        <f t="shared" si="3"/>
        <v>EUR13x19F_Quote</v>
      </c>
      <c r="F29" s="84" t="e">
        <f ca="1">_xll.cfyql_SimpleQuote(E29,,RateTickValue,Permanent,Trigger,ObjectOverwrite)</f>
        <v>#NAME?</v>
      </c>
      <c r="G29" s="83" t="e">
        <f ca="1">_xll.ohRangeRetrieveError(F29)</f>
        <v>#NAME?</v>
      </c>
      <c r="H29" s="36"/>
      <c r="J29" s="41"/>
      <c r="K29" s="257">
        <v>13</v>
      </c>
      <c r="L29" s="257" t="s">
        <v>180</v>
      </c>
      <c r="M29" s="257" t="str">
        <f t="shared" si="8"/>
        <v>19F</v>
      </c>
      <c r="N29" s="259" t="str">
        <f t="shared" si="5"/>
        <v>EUR13x19F</v>
      </c>
      <c r="O29" s="185" t="str">
        <v>EUR13X19F=ICAP</v>
      </c>
      <c r="P29" s="78">
        <v>2.3E-2</v>
      </c>
      <c r="Q29" s="78">
        <v>7.2999999999999995E-2</v>
      </c>
      <c r="R29" s="78">
        <f t="shared" si="6"/>
        <v>4.8000000000000001E-2</v>
      </c>
      <c r="S29" s="78">
        <f t="shared" si="7"/>
        <v>0.05</v>
      </c>
      <c r="T29" s="114"/>
      <c r="U29" s="78">
        <v>4.8000000000000001E-2</v>
      </c>
      <c r="V29" s="114"/>
      <c r="W29" s="218">
        <v>4.8000000000000001E-2</v>
      </c>
      <c r="X29" s="221" t="e">
        <f ca="1">_xll.cfyql_SimpleQuoteSetValue(F29,W29/100,Trigger)</f>
        <v>#NAME?</v>
      </c>
      <c r="Y29" s="254"/>
    </row>
    <row r="30" spans="1:25" x14ac:dyDescent="0.2">
      <c r="A30" s="134"/>
      <c r="B30" s="84">
        <f t="shared" si="0"/>
        <v>14</v>
      </c>
      <c r="C30" s="84" t="str">
        <f t="shared" si="1"/>
        <v>x</v>
      </c>
      <c r="D30" s="84" t="str">
        <f t="shared" si="2"/>
        <v>20F</v>
      </c>
      <c r="E30" s="85" t="str">
        <f t="shared" si="3"/>
        <v>EUR14x20F_Quote</v>
      </c>
      <c r="F30" s="84" t="e">
        <f ca="1">_xll.cfyql_SimpleQuote(E30,,RateTickValue,Permanent,Trigger,ObjectOverwrite)</f>
        <v>#NAME?</v>
      </c>
      <c r="G30" s="83" t="e">
        <f ca="1">_xll.ohRangeRetrieveError(F30)</f>
        <v>#NAME?</v>
      </c>
      <c r="H30" s="36"/>
      <c r="J30" s="41"/>
      <c r="K30" s="257">
        <v>14</v>
      </c>
      <c r="L30" s="257" t="s">
        <v>180</v>
      </c>
      <c r="M30" s="257" t="str">
        <f t="shared" si="8"/>
        <v>20F</v>
      </c>
      <c r="N30" s="259" t="str">
        <f t="shared" si="5"/>
        <v>EUR14x20F</v>
      </c>
      <c r="O30" s="185" t="str">
        <v>EUR14X20F=ICAP</v>
      </c>
      <c r="P30" s="78">
        <v>3.1E-2</v>
      </c>
      <c r="Q30" s="78">
        <v>8.0999999999999989E-2</v>
      </c>
      <c r="R30" s="78">
        <f t="shared" si="6"/>
        <v>5.5999999999999994E-2</v>
      </c>
      <c r="S30" s="78">
        <f t="shared" si="7"/>
        <v>4.9999999999999989E-2</v>
      </c>
      <c r="T30" s="114"/>
      <c r="U30" s="78">
        <v>5.5999999999999994E-2</v>
      </c>
      <c r="V30" s="114"/>
      <c r="W30" s="218">
        <v>5.5999999999999994E-2</v>
      </c>
      <c r="X30" s="221" t="e">
        <f ca="1">_xll.cfyql_SimpleQuoteSetValue(F30,W30/100,Trigger)</f>
        <v>#NAME?</v>
      </c>
      <c r="Y30" s="254"/>
    </row>
    <row r="31" spans="1:25" x14ac:dyDescent="0.2">
      <c r="A31" s="134"/>
      <c r="B31" s="84">
        <f t="shared" si="0"/>
        <v>15</v>
      </c>
      <c r="C31" s="84" t="str">
        <f t="shared" si="1"/>
        <v>x</v>
      </c>
      <c r="D31" s="84" t="str">
        <f t="shared" si="2"/>
        <v>21F</v>
      </c>
      <c r="E31" s="85" t="str">
        <f t="shared" si="3"/>
        <v>EUR15x21F_Quote</v>
      </c>
      <c r="F31" s="84" t="e">
        <f ca="1">_xll.cfyql_SimpleQuote(E31,,RateTickValue,Permanent,Trigger,ObjectOverwrite)</f>
        <v>#NAME?</v>
      </c>
      <c r="G31" s="83" t="e">
        <f ca="1">_xll.ohRangeRetrieveError(F31)</f>
        <v>#NAME?</v>
      </c>
      <c r="H31" s="36"/>
      <c r="J31" s="41"/>
      <c r="K31" s="257">
        <v>15</v>
      </c>
      <c r="L31" s="257" t="s">
        <v>180</v>
      </c>
      <c r="M31" s="257" t="str">
        <f t="shared" si="8"/>
        <v>21F</v>
      </c>
      <c r="N31" s="259" t="str">
        <f t="shared" si="5"/>
        <v>EUR15x21F</v>
      </c>
      <c r="O31" s="185" t="str">
        <v>EUR15X21F=ICAP</v>
      </c>
      <c r="P31" s="78">
        <v>4.0999999999999995E-2</v>
      </c>
      <c r="Q31" s="78">
        <v>9.0999999999999998E-2</v>
      </c>
      <c r="R31" s="78">
        <f t="shared" si="6"/>
        <v>6.6000000000000003E-2</v>
      </c>
      <c r="S31" s="78">
        <f t="shared" si="7"/>
        <v>5.0000000000000017E-2</v>
      </c>
      <c r="T31" s="114"/>
      <c r="U31" s="78">
        <v>6.6000000000000003E-2</v>
      </c>
      <c r="V31" s="114"/>
      <c r="W31" s="218">
        <v>6.6000000000000003E-2</v>
      </c>
      <c r="X31" s="221" t="e">
        <f ca="1">_xll.cfyql_SimpleQuoteSetValue(F31,W31/100,Trigger)</f>
        <v>#NAME?</v>
      </c>
      <c r="Y31" s="254"/>
    </row>
    <row r="32" spans="1:25" x14ac:dyDescent="0.2">
      <c r="A32" s="134"/>
      <c r="B32" s="84">
        <f t="shared" si="0"/>
        <v>16</v>
      </c>
      <c r="C32" s="84" t="str">
        <f t="shared" si="1"/>
        <v>x</v>
      </c>
      <c r="D32" s="84" t="str">
        <f t="shared" si="2"/>
        <v>22F</v>
      </c>
      <c r="E32" s="85" t="str">
        <f t="shared" si="3"/>
        <v>EUR16x22F_Quote</v>
      </c>
      <c r="F32" s="84" t="e">
        <f ca="1">_xll.cfyql_SimpleQuote(E32,,RateTickValue,Permanent,Trigger,ObjectOverwrite)</f>
        <v>#NAME?</v>
      </c>
      <c r="G32" s="83" t="e">
        <f ca="1">_xll.ohRangeRetrieveError(F32)</f>
        <v>#NAME?</v>
      </c>
      <c r="H32" s="36"/>
      <c r="J32" s="41"/>
      <c r="K32" s="257">
        <v>16</v>
      </c>
      <c r="L32" s="257" t="s">
        <v>180</v>
      </c>
      <c r="M32" s="257" t="str">
        <f t="shared" si="8"/>
        <v>22F</v>
      </c>
      <c r="N32" s="259" t="str">
        <f t="shared" si="5"/>
        <v>EUR16x22F</v>
      </c>
      <c r="O32" s="185" t="str">
        <v>EUR16X22F=ICAP</v>
      </c>
      <c r="P32" s="78">
        <v>5.2000000000000005E-2</v>
      </c>
      <c r="Q32" s="78">
        <v>0.10200000000000001</v>
      </c>
      <c r="R32" s="78">
        <f t="shared" si="6"/>
        <v>7.7000000000000013E-2</v>
      </c>
      <c r="S32" s="78">
        <f t="shared" si="7"/>
        <v>5.0000000000000017E-2</v>
      </c>
      <c r="T32" s="114"/>
      <c r="U32" s="78">
        <v>7.7000000000000013E-2</v>
      </c>
      <c r="V32" s="114"/>
      <c r="W32" s="218">
        <v>7.7000000000000013E-2</v>
      </c>
      <c r="X32" s="221" t="e">
        <f ca="1">_xll.cfyql_SimpleQuoteSetValue(F32,W32/100,Trigger)</f>
        <v>#NAME?</v>
      </c>
      <c r="Y32" s="254"/>
    </row>
    <row r="33" spans="1:25" x14ac:dyDescent="0.2">
      <c r="A33" s="134"/>
      <c r="B33" s="84">
        <f t="shared" si="0"/>
        <v>17</v>
      </c>
      <c r="C33" s="84" t="str">
        <f t="shared" si="1"/>
        <v>x</v>
      </c>
      <c r="D33" s="84" t="str">
        <f t="shared" si="2"/>
        <v>23F</v>
      </c>
      <c r="E33" s="85" t="str">
        <f t="shared" si="3"/>
        <v>EUR17x23F_Quote</v>
      </c>
      <c r="F33" s="84" t="e">
        <f ca="1">_xll.cfyql_SimpleQuote(E33,,RateTickValue,Permanent,Trigger,ObjectOverwrite)</f>
        <v>#NAME?</v>
      </c>
      <c r="G33" s="83" t="e">
        <f ca="1">_xll.ohRangeRetrieveError(F33)</f>
        <v>#NAME?</v>
      </c>
      <c r="H33" s="36"/>
      <c r="J33" s="41"/>
      <c r="K33" s="257">
        <v>17</v>
      </c>
      <c r="L33" s="257" t="s">
        <v>180</v>
      </c>
      <c r="M33" s="257" t="str">
        <f t="shared" si="8"/>
        <v>23F</v>
      </c>
      <c r="N33" s="259" t="str">
        <f t="shared" si="5"/>
        <v>EUR17x23F</v>
      </c>
      <c r="O33" s="185" t="str">
        <v>EUR17X23F=ICAP</v>
      </c>
      <c r="P33" s="78">
        <v>6.3E-2</v>
      </c>
      <c r="Q33" s="78">
        <v>0.11299999999999999</v>
      </c>
      <c r="R33" s="78">
        <f t="shared" si="6"/>
        <v>8.7999999999999995E-2</v>
      </c>
      <c r="S33" s="78">
        <f t="shared" si="7"/>
        <v>4.9999999999999989E-2</v>
      </c>
      <c r="T33" s="114"/>
      <c r="U33" s="78">
        <v>8.7999999999999995E-2</v>
      </c>
      <c r="V33" s="114"/>
      <c r="W33" s="218">
        <v>8.7999999999999995E-2</v>
      </c>
      <c r="X33" s="221" t="e">
        <f ca="1">_xll.cfyql_SimpleQuoteSetValue(F33,W33/100,Trigger)</f>
        <v>#NAME?</v>
      </c>
      <c r="Y33" s="254"/>
    </row>
    <row r="34" spans="1:25" x14ac:dyDescent="0.2">
      <c r="A34" s="134"/>
      <c r="B34" s="84">
        <f t="shared" si="0"/>
        <v>18</v>
      </c>
      <c r="C34" s="84" t="str">
        <f t="shared" si="1"/>
        <v>x</v>
      </c>
      <c r="D34" s="84" t="str">
        <f t="shared" si="2"/>
        <v>24F</v>
      </c>
      <c r="E34" s="85" t="str">
        <f t="shared" si="3"/>
        <v>EUR18x24F_Quote</v>
      </c>
      <c r="F34" s="84" t="e">
        <f ca="1">_xll.cfyql_SimpleQuote(E34,,RateTickValue,Permanent,Trigger,ObjectOverwrite)</f>
        <v>#NAME?</v>
      </c>
      <c r="G34" s="83" t="e">
        <f ca="1">_xll.ohRangeRetrieveError(F34)</f>
        <v>#NAME?</v>
      </c>
      <c r="H34" s="36"/>
      <c r="J34" s="41"/>
      <c r="K34" s="256">
        <v>18</v>
      </c>
      <c r="L34" s="256" t="s">
        <v>180</v>
      </c>
      <c r="M34" s="256" t="str">
        <f t="shared" si="8"/>
        <v>24F</v>
      </c>
      <c r="N34" s="258" t="str">
        <f t="shared" si="5"/>
        <v>EUR18x24F</v>
      </c>
      <c r="O34" s="193" t="str">
        <v>EUR18X24F=ICAP</v>
      </c>
      <c r="P34" s="65">
        <v>7.4999999999999997E-2</v>
      </c>
      <c r="Q34" s="65">
        <v>0.125</v>
      </c>
      <c r="R34" s="65">
        <f t="shared" si="6"/>
        <v>0.1</v>
      </c>
      <c r="S34" s="65">
        <f t="shared" si="7"/>
        <v>5.0000000000000017E-2</v>
      </c>
      <c r="T34" s="114"/>
      <c r="U34" s="65">
        <v>0.1</v>
      </c>
      <c r="V34" s="114"/>
      <c r="W34" s="217">
        <v>0.1</v>
      </c>
      <c r="X34" s="216" t="e">
        <f ca="1">_xll.cfyql_SimpleQuoteSetValue(F34,W34/100,Trigger)</f>
        <v>#NAME?</v>
      </c>
      <c r="Y34" s="254"/>
    </row>
    <row r="35" spans="1:25" x14ac:dyDescent="0.2">
      <c r="A35" s="134"/>
      <c r="B35" s="84">
        <f t="shared" si="0"/>
        <v>1</v>
      </c>
      <c r="C35" s="84" t="str">
        <f t="shared" si="1"/>
        <v>x</v>
      </c>
      <c r="D35" s="84" t="str">
        <f t="shared" si="2"/>
        <v>13F</v>
      </c>
      <c r="E35" s="85" t="str">
        <f t="shared" si="3"/>
        <v>EUR1x13F_Quote</v>
      </c>
      <c r="F35" s="84" t="e">
        <f ca="1">_xll.cfyql_SimpleQuote(E35,,RateTickValue,Permanent,Trigger,ObjectOverwrite)</f>
        <v>#NAME?</v>
      </c>
      <c r="G35" s="83" t="e">
        <f ca="1">_xll.ohRangeRetrieveError(F35)</f>
        <v>#NAME?</v>
      </c>
      <c r="H35" s="36"/>
      <c r="J35" s="41"/>
      <c r="K35" s="257">
        <v>1</v>
      </c>
      <c r="L35" s="257" t="s">
        <v>180</v>
      </c>
      <c r="M35" s="257" t="str">
        <f t="shared" ref="M35:M58" si="9">K35+12&amp;"F"</f>
        <v>13F</v>
      </c>
      <c r="N35" s="255" t="str">
        <f t="shared" si="5"/>
        <v>EUR1x13F</v>
      </c>
      <c r="O35" s="185" t="str">
        <v>EUR1X13F=ICAP</v>
      </c>
      <c r="P35" s="78">
        <v>0.11499999999999999</v>
      </c>
      <c r="Q35" s="78">
        <v>0.16499999999999998</v>
      </c>
      <c r="R35" s="78">
        <f t="shared" si="6"/>
        <v>0.13999999999999999</v>
      </c>
      <c r="S35" s="78">
        <f t="shared" si="7"/>
        <v>4.9999999999999989E-2</v>
      </c>
      <c r="T35" s="114"/>
      <c r="U35" s="78">
        <v>0.13999999999999999</v>
      </c>
      <c r="V35" s="114"/>
      <c r="W35" s="218">
        <v>0.13999999999999999</v>
      </c>
      <c r="X35" s="221" t="e">
        <f ca="1">_xll.cfyql_SimpleQuoteSetValue(F35,W35/100,Trigger)</f>
        <v>#NAME?</v>
      </c>
      <c r="Y35" s="254"/>
    </row>
    <row r="36" spans="1:25" x14ac:dyDescent="0.2">
      <c r="A36" s="134"/>
      <c r="B36" s="84">
        <f t="shared" si="0"/>
        <v>2</v>
      </c>
      <c r="C36" s="84" t="str">
        <f t="shared" si="1"/>
        <v>x</v>
      </c>
      <c r="D36" s="84" t="str">
        <f t="shared" si="2"/>
        <v>14F</v>
      </c>
      <c r="E36" s="85" t="str">
        <f t="shared" si="3"/>
        <v>EUR2x14F_Quote</v>
      </c>
      <c r="F36" s="84" t="e">
        <f ca="1">_xll.cfyql_SimpleQuote(E36,,RateTickValue,Permanent,Trigger,ObjectOverwrite)</f>
        <v>#NAME?</v>
      </c>
      <c r="G36" s="83" t="e">
        <f ca="1">_xll.ohRangeRetrieveError(F36)</f>
        <v>#NAME?</v>
      </c>
      <c r="H36" s="36"/>
      <c r="J36" s="41"/>
      <c r="K36" s="257">
        <v>2</v>
      </c>
      <c r="L36" s="257" t="s">
        <v>180</v>
      </c>
      <c r="M36" s="257" t="str">
        <f t="shared" si="9"/>
        <v>14F</v>
      </c>
      <c r="N36" s="255" t="str">
        <f t="shared" si="5"/>
        <v>EUR2x14F</v>
      </c>
      <c r="O36" s="185" t="str">
        <v>EUR2X14F=ICAP</v>
      </c>
      <c r="P36" s="78">
        <v>0.11499999999999999</v>
      </c>
      <c r="Q36" s="78">
        <v>0.16499999999999998</v>
      </c>
      <c r="R36" s="78">
        <f t="shared" si="6"/>
        <v>0.13999999999999999</v>
      </c>
      <c r="S36" s="78">
        <f t="shared" si="7"/>
        <v>4.9999999999999989E-2</v>
      </c>
      <c r="T36" s="114"/>
      <c r="U36" s="78">
        <v>0.13999999999999999</v>
      </c>
      <c r="V36" s="114"/>
      <c r="W36" s="218">
        <v>0.13999999999999999</v>
      </c>
      <c r="X36" s="221" t="e">
        <f ca="1">_xll.cfyql_SimpleQuoteSetValue(F36,W36/100,Trigger)</f>
        <v>#NAME?</v>
      </c>
      <c r="Y36" s="254"/>
    </row>
    <row r="37" spans="1:25" x14ac:dyDescent="0.2">
      <c r="A37" s="134"/>
      <c r="B37" s="84">
        <f t="shared" ref="B37:B58" si="10">K37</f>
        <v>3</v>
      </c>
      <c r="C37" s="84" t="str">
        <f t="shared" ref="C37:C58" si="11">L37</f>
        <v>x</v>
      </c>
      <c r="D37" s="84" t="str">
        <f t="shared" ref="D37:D58" si="12">M37</f>
        <v>15F</v>
      </c>
      <c r="E37" s="85" t="str">
        <f t="shared" ref="E37:E58" si="13">Currency&amp;$B37&amp;C37&amp;$D37&amp;QuoteSuffix</f>
        <v>EUR3x15F_Quote</v>
      </c>
      <c r="F37" s="84" t="e">
        <f ca="1">_xll.cfyql_SimpleQuote(E37,,RateTickValue,Permanent,Trigger,ObjectOverwrite)</f>
        <v>#NAME?</v>
      </c>
      <c r="G37" s="83" t="e">
        <f ca="1">_xll.ohRangeRetrieveError(F37)</f>
        <v>#NAME?</v>
      </c>
      <c r="H37" s="36"/>
      <c r="J37" s="41"/>
      <c r="K37" s="257">
        <v>3</v>
      </c>
      <c r="L37" s="257" t="s">
        <v>180</v>
      </c>
      <c r="M37" s="257" t="str">
        <f t="shared" si="9"/>
        <v>15F</v>
      </c>
      <c r="N37" s="255" t="str">
        <f t="shared" ref="N37:N58" si="14">Currency&amp;$K37&amp;L37&amp;$M37</f>
        <v>EUR3x15F</v>
      </c>
      <c r="O37" s="185" t="str">
        <v>EUR3X15F=ICAP</v>
      </c>
      <c r="P37" s="78">
        <v>0.11699999999999999</v>
      </c>
      <c r="Q37" s="78">
        <v>0.16699999999999998</v>
      </c>
      <c r="R37" s="78">
        <f t="shared" ref="R37:R58" si="15">IF(ISERROR(AVERAGE(P37,Q37)),#NUM!,AVERAGE(P37,Q37))</f>
        <v>0.14199999999999999</v>
      </c>
      <c r="S37" s="78">
        <f t="shared" ref="S37:S58" si="16">(R37-P37)*2</f>
        <v>4.9999999999999989E-2</v>
      </c>
      <c r="T37" s="114"/>
      <c r="U37" s="78">
        <v>0.14199999999999999</v>
      </c>
      <c r="V37" s="114"/>
      <c r="W37" s="218">
        <v>0.14199999999999999</v>
      </c>
      <c r="X37" s="221" t="e">
        <f ca="1">_xll.cfyql_SimpleQuoteSetValue(F37,W37/100,Trigger)</f>
        <v>#NAME?</v>
      </c>
      <c r="Y37" s="254"/>
    </row>
    <row r="38" spans="1:25" x14ac:dyDescent="0.2">
      <c r="A38" s="134"/>
      <c r="B38" s="84">
        <f t="shared" si="10"/>
        <v>4</v>
      </c>
      <c r="C38" s="84" t="str">
        <f t="shared" si="11"/>
        <v>x</v>
      </c>
      <c r="D38" s="84" t="str">
        <f t="shared" si="12"/>
        <v>16F</v>
      </c>
      <c r="E38" s="85" t="str">
        <f t="shared" si="13"/>
        <v>EUR4x16F_Quote</v>
      </c>
      <c r="F38" s="84" t="e">
        <f ca="1">_xll.cfyql_SimpleQuote(E38,,RateTickValue,Permanent,Trigger,ObjectOverwrite)</f>
        <v>#NAME?</v>
      </c>
      <c r="G38" s="83" t="e">
        <f ca="1">_xll.ohRangeRetrieveError(F38)</f>
        <v>#NAME?</v>
      </c>
      <c r="H38" s="36"/>
      <c r="J38" s="41"/>
      <c r="K38" s="257">
        <v>4</v>
      </c>
      <c r="L38" s="257" t="s">
        <v>180</v>
      </c>
      <c r="M38" s="257" t="str">
        <f t="shared" si="9"/>
        <v>16F</v>
      </c>
      <c r="N38" s="255" t="str">
        <f t="shared" si="14"/>
        <v>EUR4x16F</v>
      </c>
      <c r="O38" s="185" t="str">
        <v>EUR4X16F=ICAP</v>
      </c>
      <c r="P38" s="78">
        <v>0.121</v>
      </c>
      <c r="Q38" s="78">
        <v>0.17099999999999999</v>
      </c>
      <c r="R38" s="78">
        <f t="shared" si="15"/>
        <v>0.14599999999999999</v>
      </c>
      <c r="S38" s="78">
        <f t="shared" si="16"/>
        <v>4.9999999999999989E-2</v>
      </c>
      <c r="T38" s="114"/>
      <c r="U38" s="78">
        <v>0.14599999999999999</v>
      </c>
      <c r="V38" s="114"/>
      <c r="W38" s="218">
        <v>0.14599999999999999</v>
      </c>
      <c r="X38" s="221" t="e">
        <f ca="1">_xll.cfyql_SimpleQuoteSetValue(F38,W38/100,Trigger)</f>
        <v>#NAME?</v>
      </c>
      <c r="Y38" s="254"/>
    </row>
    <row r="39" spans="1:25" x14ac:dyDescent="0.2">
      <c r="A39" s="134"/>
      <c r="B39" s="84">
        <f t="shared" si="10"/>
        <v>5</v>
      </c>
      <c r="C39" s="84" t="str">
        <f t="shared" si="11"/>
        <v>x</v>
      </c>
      <c r="D39" s="84" t="str">
        <f t="shared" si="12"/>
        <v>17F</v>
      </c>
      <c r="E39" s="85" t="str">
        <f t="shared" si="13"/>
        <v>EUR5x17F_Quote</v>
      </c>
      <c r="F39" s="84" t="e">
        <f ca="1">_xll.cfyql_SimpleQuote(E39,,RateTickValue,Permanent,Trigger,ObjectOverwrite)</f>
        <v>#NAME?</v>
      </c>
      <c r="G39" s="83" t="e">
        <f ca="1">_xll.ohRangeRetrieveError(F39)</f>
        <v>#NAME?</v>
      </c>
      <c r="H39" s="36"/>
      <c r="J39" s="41"/>
      <c r="K39" s="257">
        <v>5</v>
      </c>
      <c r="L39" s="257" t="s">
        <v>180</v>
      </c>
      <c r="M39" s="257" t="str">
        <f t="shared" si="9"/>
        <v>17F</v>
      </c>
      <c r="N39" s="255" t="str">
        <f t="shared" si="14"/>
        <v>EUR5x17F</v>
      </c>
      <c r="O39" s="185" t="str">
        <v>EUR5X17F=ICAP</v>
      </c>
      <c r="P39" s="78">
        <v>0.124</v>
      </c>
      <c r="Q39" s="78">
        <v>0.17399999999999999</v>
      </c>
      <c r="R39" s="78">
        <f t="shared" si="15"/>
        <v>0.14899999999999999</v>
      </c>
      <c r="S39" s="78">
        <f t="shared" si="16"/>
        <v>4.9999999999999989E-2</v>
      </c>
      <c r="T39" s="114"/>
      <c r="U39" s="78">
        <v>0.14899999999999999</v>
      </c>
      <c r="V39" s="114"/>
      <c r="W39" s="218">
        <v>0.14899999999999999</v>
      </c>
      <c r="X39" s="221" t="e">
        <f ca="1">_xll.cfyql_SimpleQuoteSetValue(F39,W39/100,Trigger)</f>
        <v>#NAME?</v>
      </c>
      <c r="Y39" s="254"/>
    </row>
    <row r="40" spans="1:25" x14ac:dyDescent="0.2">
      <c r="A40" s="134"/>
      <c r="B40" s="84">
        <f t="shared" si="10"/>
        <v>6</v>
      </c>
      <c r="C40" s="84" t="str">
        <f t="shared" si="11"/>
        <v>x</v>
      </c>
      <c r="D40" s="84" t="str">
        <f t="shared" si="12"/>
        <v>18F</v>
      </c>
      <c r="E40" s="85" t="str">
        <f t="shared" si="13"/>
        <v>EUR6x18F_Quote</v>
      </c>
      <c r="F40" s="84" t="e">
        <f ca="1">_xll.cfyql_SimpleQuote(E40,,RateTickValue,Permanent,Trigger,ObjectOverwrite)</f>
        <v>#NAME?</v>
      </c>
      <c r="G40" s="83" t="e">
        <f ca="1">_xll.ohRangeRetrieveError(F40)</f>
        <v>#NAME?</v>
      </c>
      <c r="H40" s="36"/>
      <c r="J40" s="41"/>
      <c r="K40" s="257">
        <v>6</v>
      </c>
      <c r="L40" s="257" t="s">
        <v>180</v>
      </c>
      <c r="M40" s="257" t="str">
        <f t="shared" si="9"/>
        <v>18F</v>
      </c>
      <c r="N40" s="255" t="str">
        <f t="shared" si="14"/>
        <v>EUR6x18F</v>
      </c>
      <c r="O40" s="185" t="str">
        <v>EUR6X18F=ICAP</v>
      </c>
      <c r="P40" s="78">
        <v>0.13</v>
      </c>
      <c r="Q40" s="78">
        <v>0.18</v>
      </c>
      <c r="R40" s="78">
        <f t="shared" si="15"/>
        <v>0.155</v>
      </c>
      <c r="S40" s="78">
        <f t="shared" si="16"/>
        <v>4.9999999999999989E-2</v>
      </c>
      <c r="T40" s="114"/>
      <c r="U40" s="78">
        <v>0.155</v>
      </c>
      <c r="V40" s="114"/>
      <c r="W40" s="218">
        <v>0.155</v>
      </c>
      <c r="X40" s="221" t="e">
        <f ca="1">_xll.cfyql_SimpleQuoteSetValue(F40,W40/100,Trigger)</f>
        <v>#NAME?</v>
      </c>
      <c r="Y40" s="254"/>
    </row>
    <row r="41" spans="1:25" x14ac:dyDescent="0.2">
      <c r="A41" s="134"/>
      <c r="B41" s="84">
        <f t="shared" si="10"/>
        <v>7</v>
      </c>
      <c r="C41" s="84" t="str">
        <f t="shared" si="11"/>
        <v>x</v>
      </c>
      <c r="D41" s="84" t="str">
        <f t="shared" si="12"/>
        <v>19F</v>
      </c>
      <c r="E41" s="85" t="str">
        <f t="shared" si="13"/>
        <v>EUR7x19F_Quote</v>
      </c>
      <c r="F41" s="84" t="e">
        <f ca="1">_xll.cfyql_SimpleQuote(E41,,RateTickValue,Permanent,Trigger,ObjectOverwrite)</f>
        <v>#NAME?</v>
      </c>
      <c r="G41" s="83" t="e">
        <f ca="1">_xll.ohRangeRetrieveError(F41)</f>
        <v>#NAME?</v>
      </c>
      <c r="H41" s="36"/>
      <c r="J41" s="41"/>
      <c r="K41" s="257">
        <v>7</v>
      </c>
      <c r="L41" s="257" t="s">
        <v>180</v>
      </c>
      <c r="M41" s="257" t="str">
        <f t="shared" si="9"/>
        <v>19F</v>
      </c>
      <c r="N41" s="255" t="str">
        <f t="shared" si="14"/>
        <v>EUR7x19F</v>
      </c>
      <c r="O41" s="185" t="str">
        <v>EUR7X19F=ICAP</v>
      </c>
      <c r="P41" s="78">
        <v>0.13599999999999998</v>
      </c>
      <c r="Q41" s="78">
        <v>0.186</v>
      </c>
      <c r="R41" s="78">
        <f t="shared" si="15"/>
        <v>0.16099999999999998</v>
      </c>
      <c r="S41" s="78">
        <f t="shared" si="16"/>
        <v>4.9999999999999989E-2</v>
      </c>
      <c r="T41" s="114"/>
      <c r="U41" s="78">
        <v>0.16099999999999998</v>
      </c>
      <c r="V41" s="114"/>
      <c r="W41" s="218">
        <v>0.16099999999999998</v>
      </c>
      <c r="X41" s="221" t="e">
        <f ca="1">_xll.cfyql_SimpleQuoteSetValue(F41,W41/100,Trigger)</f>
        <v>#NAME?</v>
      </c>
      <c r="Y41" s="254"/>
    </row>
    <row r="42" spans="1:25" x14ac:dyDescent="0.2">
      <c r="A42" s="134"/>
      <c r="B42" s="84">
        <f t="shared" si="10"/>
        <v>8</v>
      </c>
      <c r="C42" s="84" t="str">
        <f t="shared" si="11"/>
        <v>x</v>
      </c>
      <c r="D42" s="84" t="str">
        <f t="shared" si="12"/>
        <v>20F</v>
      </c>
      <c r="E42" s="85" t="str">
        <f t="shared" si="13"/>
        <v>EUR8x20F_Quote</v>
      </c>
      <c r="F42" s="84" t="e">
        <f ca="1">_xll.cfyql_SimpleQuote(E42,,RateTickValue,Permanent,Trigger,ObjectOverwrite)</f>
        <v>#NAME?</v>
      </c>
      <c r="G42" s="83" t="e">
        <f ca="1">_xll.ohRangeRetrieveError(F42)</f>
        <v>#NAME?</v>
      </c>
      <c r="H42" s="36"/>
      <c r="J42" s="41"/>
      <c r="K42" s="257">
        <v>8</v>
      </c>
      <c r="L42" s="257" t="s">
        <v>180</v>
      </c>
      <c r="M42" s="257" t="str">
        <f t="shared" si="9"/>
        <v>20F</v>
      </c>
      <c r="N42" s="255" t="str">
        <f t="shared" si="14"/>
        <v>EUR8x20F</v>
      </c>
      <c r="O42" s="185" t="str">
        <v>EUR8X20F=ICAP</v>
      </c>
      <c r="P42" s="78">
        <v>0.14199999999999999</v>
      </c>
      <c r="Q42" s="78">
        <v>0.192</v>
      </c>
      <c r="R42" s="78">
        <f t="shared" si="15"/>
        <v>0.16699999999999998</v>
      </c>
      <c r="S42" s="78">
        <f t="shared" si="16"/>
        <v>4.9999999999999989E-2</v>
      </c>
      <c r="T42" s="114"/>
      <c r="U42" s="78">
        <v>0.16699999999999998</v>
      </c>
      <c r="V42" s="114"/>
      <c r="W42" s="218">
        <v>0.16699999999999998</v>
      </c>
      <c r="X42" s="221" t="e">
        <f ca="1">_xll.cfyql_SimpleQuoteSetValue(F42,W42/100,Trigger)</f>
        <v>#NAME?</v>
      </c>
      <c r="Y42" s="254"/>
    </row>
    <row r="43" spans="1:25" x14ac:dyDescent="0.2">
      <c r="A43" s="134"/>
      <c r="B43" s="84">
        <f t="shared" si="10"/>
        <v>9</v>
      </c>
      <c r="C43" s="84" t="str">
        <f t="shared" si="11"/>
        <v>x</v>
      </c>
      <c r="D43" s="84" t="str">
        <f t="shared" si="12"/>
        <v>21F</v>
      </c>
      <c r="E43" s="85" t="str">
        <f t="shared" si="13"/>
        <v>EUR9x21F_Quote</v>
      </c>
      <c r="F43" s="84" t="e">
        <f ca="1">_xll.cfyql_SimpleQuote(E43,,RateTickValue,Permanent,Trigger,ObjectOverwrite)</f>
        <v>#NAME?</v>
      </c>
      <c r="G43" s="83" t="e">
        <f ca="1">_xll.ohRangeRetrieveError(F43)</f>
        <v>#NAME?</v>
      </c>
      <c r="H43" s="36"/>
      <c r="J43" s="41"/>
      <c r="K43" s="257">
        <v>9</v>
      </c>
      <c r="L43" s="257" t="s">
        <v>180</v>
      </c>
      <c r="M43" s="257" t="str">
        <f t="shared" si="9"/>
        <v>21F</v>
      </c>
      <c r="N43" s="255" t="str">
        <f t="shared" si="14"/>
        <v>EUR9x21F</v>
      </c>
      <c r="O43" s="185" t="str">
        <v>EUR9X21F=ICAP</v>
      </c>
      <c r="P43" s="78">
        <v>0.15</v>
      </c>
      <c r="Q43" s="78">
        <v>0.2</v>
      </c>
      <c r="R43" s="78">
        <f t="shared" si="15"/>
        <v>0.17499999999999999</v>
      </c>
      <c r="S43" s="78">
        <f t="shared" si="16"/>
        <v>4.9999999999999989E-2</v>
      </c>
      <c r="T43" s="114"/>
      <c r="U43" s="78">
        <v>0.17499999999999999</v>
      </c>
      <c r="V43" s="114"/>
      <c r="W43" s="218">
        <v>0.17499999999999999</v>
      </c>
      <c r="X43" s="221" t="e">
        <f ca="1">_xll.cfyql_SimpleQuoteSetValue(F43,W43/100,Trigger)</f>
        <v>#NAME?</v>
      </c>
      <c r="Y43" s="254"/>
    </row>
    <row r="44" spans="1:25" x14ac:dyDescent="0.2">
      <c r="A44" s="134"/>
      <c r="B44" s="84">
        <f t="shared" si="10"/>
        <v>10</v>
      </c>
      <c r="C44" s="84" t="str">
        <f t="shared" si="11"/>
        <v>x</v>
      </c>
      <c r="D44" s="84" t="str">
        <f t="shared" si="12"/>
        <v>22F</v>
      </c>
      <c r="E44" s="85" t="str">
        <f t="shared" si="13"/>
        <v>EUR10x22F_Quote</v>
      </c>
      <c r="F44" s="84" t="e">
        <f ca="1">_xll.cfyql_SimpleQuote(E44,,RateTickValue,Permanent,Trigger,ObjectOverwrite)</f>
        <v>#NAME?</v>
      </c>
      <c r="G44" s="83" t="e">
        <f ca="1">_xll.ohRangeRetrieveError(F44)</f>
        <v>#NAME?</v>
      </c>
      <c r="H44" s="36"/>
      <c r="J44" s="41"/>
      <c r="K44" s="257">
        <v>10</v>
      </c>
      <c r="L44" s="257" t="s">
        <v>180</v>
      </c>
      <c r="M44" s="257" t="str">
        <f t="shared" si="9"/>
        <v>22F</v>
      </c>
      <c r="N44" s="255" t="str">
        <f t="shared" si="14"/>
        <v>EUR10x22F</v>
      </c>
      <c r="O44" s="185" t="str">
        <v>EUR10X22F=ICAP</v>
      </c>
      <c r="P44" s="78">
        <v>0.158</v>
      </c>
      <c r="Q44" s="78">
        <v>0.20800000000000002</v>
      </c>
      <c r="R44" s="78">
        <f t="shared" si="15"/>
        <v>0.183</v>
      </c>
      <c r="S44" s="78">
        <f t="shared" si="16"/>
        <v>4.9999999999999989E-2</v>
      </c>
      <c r="T44" s="114"/>
      <c r="U44" s="78">
        <v>0.183</v>
      </c>
      <c r="V44" s="114"/>
      <c r="W44" s="218">
        <v>0.183</v>
      </c>
      <c r="X44" s="221" t="e">
        <f ca="1">_xll.cfyql_SimpleQuoteSetValue(F44,W44/100,Trigger)</f>
        <v>#NAME?</v>
      </c>
      <c r="Y44" s="254"/>
    </row>
    <row r="45" spans="1:25" x14ac:dyDescent="0.2">
      <c r="A45" s="134"/>
      <c r="B45" s="84">
        <f t="shared" si="10"/>
        <v>11</v>
      </c>
      <c r="C45" s="84" t="str">
        <f t="shared" si="11"/>
        <v>x</v>
      </c>
      <c r="D45" s="84" t="str">
        <f t="shared" si="12"/>
        <v>23F</v>
      </c>
      <c r="E45" s="85" t="str">
        <f t="shared" si="13"/>
        <v>EUR11x23F_Quote</v>
      </c>
      <c r="F45" s="84" t="e">
        <f ca="1">_xll.cfyql_SimpleQuote(E45,,RateTickValue,Permanent,Trigger,ObjectOverwrite)</f>
        <v>#NAME?</v>
      </c>
      <c r="G45" s="83" t="e">
        <f ca="1">_xll.ohRangeRetrieveError(F45)</f>
        <v>#NAME?</v>
      </c>
      <c r="H45" s="36"/>
      <c r="J45" s="41"/>
      <c r="K45" s="257">
        <v>11</v>
      </c>
      <c r="L45" s="257" t="s">
        <v>180</v>
      </c>
      <c r="M45" s="257" t="str">
        <f t="shared" si="9"/>
        <v>23F</v>
      </c>
      <c r="N45" s="255" t="str">
        <f t="shared" si="14"/>
        <v>EUR11x23F</v>
      </c>
      <c r="O45" s="185" t="str">
        <v>EUR11X23F=ICAP</v>
      </c>
      <c r="P45" s="78">
        <v>0.16699999999999998</v>
      </c>
      <c r="Q45" s="78">
        <v>0.217</v>
      </c>
      <c r="R45" s="78">
        <f t="shared" si="15"/>
        <v>0.192</v>
      </c>
      <c r="S45" s="78">
        <f t="shared" si="16"/>
        <v>5.0000000000000044E-2</v>
      </c>
      <c r="T45" s="114"/>
      <c r="U45" s="78">
        <v>0.192</v>
      </c>
      <c r="V45" s="114"/>
      <c r="W45" s="218">
        <v>0.192</v>
      </c>
      <c r="X45" s="221" t="e">
        <f ca="1">_xll.cfyql_SimpleQuoteSetValue(F45,W45/100,Trigger)</f>
        <v>#NAME?</v>
      </c>
      <c r="Y45" s="254"/>
    </row>
    <row r="46" spans="1:25" x14ac:dyDescent="0.2">
      <c r="A46" s="134"/>
      <c r="B46" s="84">
        <f t="shared" si="10"/>
        <v>12</v>
      </c>
      <c r="C46" s="84" t="str">
        <f t="shared" si="11"/>
        <v>x</v>
      </c>
      <c r="D46" s="84" t="str">
        <f t="shared" si="12"/>
        <v>24F</v>
      </c>
      <c r="E46" s="85" t="str">
        <f t="shared" si="13"/>
        <v>EUR12x24F_Quote</v>
      </c>
      <c r="F46" s="84" t="e">
        <f ca="1">_xll.cfyql_SimpleQuote(E46,,RateTickValue,Permanent,Trigger,ObjectOverwrite)</f>
        <v>#NAME?</v>
      </c>
      <c r="G46" s="83" t="e">
        <f ca="1">_xll.ohRangeRetrieveError(F46)</f>
        <v>#NAME?</v>
      </c>
      <c r="H46" s="36"/>
      <c r="J46" s="41"/>
      <c r="K46" s="257">
        <v>12</v>
      </c>
      <c r="L46" s="257" t="s">
        <v>180</v>
      </c>
      <c r="M46" s="257" t="str">
        <f t="shared" si="9"/>
        <v>24F</v>
      </c>
      <c r="N46" s="255" t="str">
        <f t="shared" si="14"/>
        <v>EUR12x24F</v>
      </c>
      <c r="O46" s="185" t="str">
        <v>EUR12X24F=ICAP</v>
      </c>
      <c r="P46" s="78">
        <v>0.17799999999999999</v>
      </c>
      <c r="Q46" s="78">
        <v>0.22799999999999998</v>
      </c>
      <c r="R46" s="78">
        <f t="shared" si="15"/>
        <v>0.20299999999999999</v>
      </c>
      <c r="S46" s="78">
        <f t="shared" si="16"/>
        <v>4.9999999999999989E-2</v>
      </c>
      <c r="T46" s="114"/>
      <c r="U46" s="78">
        <v>0.20299999999999999</v>
      </c>
      <c r="V46" s="114"/>
      <c r="W46" s="218">
        <v>0.20299999999999999</v>
      </c>
      <c r="X46" s="221" t="e">
        <f ca="1">_xll.cfyql_SimpleQuoteSetValue(F46,W46/100,Trigger)</f>
        <v>#NAME?</v>
      </c>
      <c r="Y46" s="254"/>
    </row>
    <row r="47" spans="1:25" x14ac:dyDescent="0.2">
      <c r="A47" s="134"/>
      <c r="B47" s="84">
        <f t="shared" si="10"/>
        <v>13</v>
      </c>
      <c r="C47" s="84" t="str">
        <f t="shared" si="11"/>
        <v>x</v>
      </c>
      <c r="D47" s="84" t="str">
        <f t="shared" si="12"/>
        <v>25F</v>
      </c>
      <c r="E47" s="85" t="str">
        <f t="shared" si="13"/>
        <v>EUR13x25F_Quote</v>
      </c>
      <c r="F47" s="84" t="e">
        <f ca="1">_xll.cfyql_SimpleQuote(E47,,RateTickValue,Permanent,Trigger,ObjectOverwrite)</f>
        <v>#NAME?</v>
      </c>
      <c r="G47" s="83" t="e">
        <f ca="1">_xll.ohRangeRetrieveError(F47)</f>
        <v>#NAME?</v>
      </c>
      <c r="H47" s="36"/>
      <c r="J47" s="41"/>
      <c r="K47" s="257">
        <v>13</v>
      </c>
      <c r="L47" s="257" t="s">
        <v>180</v>
      </c>
      <c r="M47" s="257" t="str">
        <f t="shared" si="9"/>
        <v>25F</v>
      </c>
      <c r="N47" s="255" t="str">
        <f t="shared" si="14"/>
        <v>EUR13x25F</v>
      </c>
      <c r="O47" s="185" t="str">
        <v>EUR13X25F=ICAP</v>
      </c>
      <c r="P47" s="78" t="s">
        <v>109</v>
      </c>
      <c r="Q47" s="78" t="s">
        <v>109</v>
      </c>
      <c r="R47" s="78" t="e">
        <f t="shared" si="15"/>
        <v>#NUM!</v>
      </c>
      <c r="S47" s="78" t="e">
        <f t="shared" si="16"/>
        <v>#NUM!</v>
      </c>
      <c r="T47" s="114"/>
      <c r="U47" s="78" t="e">
        <v>#NUM!</v>
      </c>
      <c r="V47" s="114"/>
      <c r="W47" s="218" t="e">
        <v>#NUM!</v>
      </c>
      <c r="X47" s="221" t="e">
        <f ca="1">_xll.cfyql_SimpleQuoteSetValue(F47,W47/100,Trigger)</f>
        <v>#NAME?</v>
      </c>
      <c r="Y47" s="254"/>
    </row>
    <row r="48" spans="1:25" x14ac:dyDescent="0.2">
      <c r="A48" s="134"/>
      <c r="B48" s="84">
        <f t="shared" si="10"/>
        <v>14</v>
      </c>
      <c r="C48" s="84" t="str">
        <f t="shared" si="11"/>
        <v>x</v>
      </c>
      <c r="D48" s="84" t="str">
        <f t="shared" si="12"/>
        <v>26F</v>
      </c>
      <c r="E48" s="85" t="str">
        <f t="shared" si="13"/>
        <v>EUR14x26F_Quote</v>
      </c>
      <c r="F48" s="84" t="e">
        <f ca="1">_xll.cfyql_SimpleQuote(E48,,RateTickValue,Permanent,Trigger,ObjectOverwrite)</f>
        <v>#NAME?</v>
      </c>
      <c r="G48" s="83" t="e">
        <f ca="1">_xll.ohRangeRetrieveError(F48)</f>
        <v>#NAME?</v>
      </c>
      <c r="H48" s="36"/>
      <c r="J48" s="41"/>
      <c r="K48" s="257">
        <v>14</v>
      </c>
      <c r="L48" s="257" t="s">
        <v>180</v>
      </c>
      <c r="M48" s="257" t="str">
        <f t="shared" si="9"/>
        <v>26F</v>
      </c>
      <c r="N48" s="255" t="str">
        <f t="shared" si="14"/>
        <v>EUR14x26F</v>
      </c>
      <c r="O48" s="185" t="str">
        <v>EUR14X26F=ICAP</v>
      </c>
      <c r="P48" s="78" t="s">
        <v>109</v>
      </c>
      <c r="Q48" s="78" t="s">
        <v>109</v>
      </c>
      <c r="R48" s="78" t="e">
        <f t="shared" si="15"/>
        <v>#NUM!</v>
      </c>
      <c r="S48" s="78" t="e">
        <f t="shared" si="16"/>
        <v>#NUM!</v>
      </c>
      <c r="T48" s="114"/>
      <c r="U48" s="78" t="e">
        <v>#NUM!</v>
      </c>
      <c r="V48" s="114"/>
      <c r="W48" s="218" t="e">
        <v>#NUM!</v>
      </c>
      <c r="X48" s="221" t="e">
        <f ca="1">_xll.cfyql_SimpleQuoteSetValue(F48,W48/100,Trigger)</f>
        <v>#NAME?</v>
      </c>
      <c r="Y48" s="254"/>
    </row>
    <row r="49" spans="1:25" x14ac:dyDescent="0.2">
      <c r="A49" s="134"/>
      <c r="B49" s="84">
        <f t="shared" si="10"/>
        <v>15</v>
      </c>
      <c r="C49" s="84" t="str">
        <f t="shared" si="11"/>
        <v>x</v>
      </c>
      <c r="D49" s="84" t="str">
        <f t="shared" si="12"/>
        <v>27F</v>
      </c>
      <c r="E49" s="85" t="str">
        <f t="shared" si="13"/>
        <v>EUR15x27F_Quote</v>
      </c>
      <c r="F49" s="84" t="e">
        <f ca="1">_xll.cfyql_SimpleQuote(E49,,RateTickValue,Permanent,Trigger,ObjectOverwrite)</f>
        <v>#NAME?</v>
      </c>
      <c r="G49" s="83" t="e">
        <f ca="1">_xll.ohRangeRetrieveError(F49)</f>
        <v>#NAME?</v>
      </c>
      <c r="H49" s="36"/>
      <c r="J49" s="41"/>
      <c r="K49" s="257">
        <v>15</v>
      </c>
      <c r="L49" s="257" t="s">
        <v>180</v>
      </c>
      <c r="M49" s="257" t="str">
        <f t="shared" si="9"/>
        <v>27F</v>
      </c>
      <c r="N49" s="255" t="str">
        <f t="shared" si="14"/>
        <v>EUR15x27F</v>
      </c>
      <c r="O49" s="185" t="str">
        <v>EUR15X27F=ICAP</v>
      </c>
      <c r="P49" s="78" t="s">
        <v>109</v>
      </c>
      <c r="Q49" s="78" t="s">
        <v>109</v>
      </c>
      <c r="R49" s="78" t="e">
        <f t="shared" si="15"/>
        <v>#NUM!</v>
      </c>
      <c r="S49" s="78" t="e">
        <f t="shared" si="16"/>
        <v>#NUM!</v>
      </c>
      <c r="T49" s="114"/>
      <c r="U49" s="78" t="e">
        <v>#NUM!</v>
      </c>
      <c r="V49" s="114"/>
      <c r="W49" s="218" t="e">
        <v>#NUM!</v>
      </c>
      <c r="X49" s="221" t="e">
        <f ca="1">_xll.cfyql_SimpleQuoteSetValue(F49,W49/100,Trigger)</f>
        <v>#NAME?</v>
      </c>
      <c r="Y49" s="254"/>
    </row>
    <row r="50" spans="1:25" x14ac:dyDescent="0.2">
      <c r="A50" s="134"/>
      <c r="B50" s="84">
        <f t="shared" si="10"/>
        <v>16</v>
      </c>
      <c r="C50" s="84" t="str">
        <f t="shared" si="11"/>
        <v>x</v>
      </c>
      <c r="D50" s="84" t="str">
        <f t="shared" si="12"/>
        <v>28F</v>
      </c>
      <c r="E50" s="85" t="str">
        <f t="shared" si="13"/>
        <v>EUR16x28F_Quote</v>
      </c>
      <c r="F50" s="84" t="e">
        <f ca="1">_xll.cfyql_SimpleQuote(E50,,RateTickValue,Permanent,Trigger,ObjectOverwrite)</f>
        <v>#NAME?</v>
      </c>
      <c r="G50" s="83" t="e">
        <f ca="1">_xll.ohRangeRetrieveError(F50)</f>
        <v>#NAME?</v>
      </c>
      <c r="H50" s="36"/>
      <c r="J50" s="41"/>
      <c r="K50" s="257">
        <v>16</v>
      </c>
      <c r="L50" s="257" t="s">
        <v>180</v>
      </c>
      <c r="M50" s="257" t="str">
        <f t="shared" si="9"/>
        <v>28F</v>
      </c>
      <c r="N50" s="255" t="str">
        <f t="shared" si="14"/>
        <v>EUR16x28F</v>
      </c>
      <c r="O50" s="185" t="str">
        <v>EUR16X28F=ICAP</v>
      </c>
      <c r="P50" s="78" t="s">
        <v>109</v>
      </c>
      <c r="Q50" s="78" t="s">
        <v>109</v>
      </c>
      <c r="R50" s="78" t="e">
        <f t="shared" si="15"/>
        <v>#NUM!</v>
      </c>
      <c r="S50" s="78" t="e">
        <f t="shared" si="16"/>
        <v>#NUM!</v>
      </c>
      <c r="T50" s="114"/>
      <c r="U50" s="78" t="e">
        <v>#NUM!</v>
      </c>
      <c r="V50" s="114"/>
      <c r="W50" s="218" t="e">
        <v>#NUM!</v>
      </c>
      <c r="X50" s="221" t="e">
        <f ca="1">_xll.cfyql_SimpleQuoteSetValue(F50,W50/100,Trigger)</f>
        <v>#NAME?</v>
      </c>
      <c r="Y50" s="254"/>
    </row>
    <row r="51" spans="1:25" x14ac:dyDescent="0.2">
      <c r="A51" s="134"/>
      <c r="B51" s="84">
        <f t="shared" si="10"/>
        <v>17</v>
      </c>
      <c r="C51" s="84" t="str">
        <f t="shared" si="11"/>
        <v>x</v>
      </c>
      <c r="D51" s="84" t="str">
        <f t="shared" si="12"/>
        <v>29F</v>
      </c>
      <c r="E51" s="85" t="str">
        <f t="shared" si="13"/>
        <v>EUR17x29F_Quote</v>
      </c>
      <c r="F51" s="84" t="e">
        <f ca="1">_xll.cfyql_SimpleQuote(E51,,RateTickValue,Permanent,Trigger,ObjectOverwrite)</f>
        <v>#NAME?</v>
      </c>
      <c r="G51" s="83" t="e">
        <f ca="1">_xll.ohRangeRetrieveError(F51)</f>
        <v>#NAME?</v>
      </c>
      <c r="H51" s="36"/>
      <c r="J51" s="41"/>
      <c r="K51" s="257">
        <v>17</v>
      </c>
      <c r="L51" s="257" t="s">
        <v>180</v>
      </c>
      <c r="M51" s="257" t="str">
        <f t="shared" si="9"/>
        <v>29F</v>
      </c>
      <c r="N51" s="255" t="str">
        <f t="shared" si="14"/>
        <v>EUR17x29F</v>
      </c>
      <c r="O51" s="185" t="str">
        <v>EUR17X29F=ICAP</v>
      </c>
      <c r="P51" s="78" t="s">
        <v>109</v>
      </c>
      <c r="Q51" s="78" t="s">
        <v>109</v>
      </c>
      <c r="R51" s="78" t="e">
        <f t="shared" si="15"/>
        <v>#NUM!</v>
      </c>
      <c r="S51" s="78" t="e">
        <f t="shared" si="16"/>
        <v>#NUM!</v>
      </c>
      <c r="T51" s="114"/>
      <c r="U51" s="78" t="e">
        <v>#NUM!</v>
      </c>
      <c r="V51" s="114"/>
      <c r="W51" s="218" t="e">
        <v>#NUM!</v>
      </c>
      <c r="X51" s="221" t="e">
        <f ca="1">_xll.cfyql_SimpleQuoteSetValue(F51,W51/100,Trigger)</f>
        <v>#NAME?</v>
      </c>
      <c r="Y51" s="254"/>
    </row>
    <row r="52" spans="1:25" x14ac:dyDescent="0.2">
      <c r="A52" s="134"/>
      <c r="B52" s="84">
        <f t="shared" si="10"/>
        <v>18</v>
      </c>
      <c r="C52" s="84" t="str">
        <f t="shared" si="11"/>
        <v>x</v>
      </c>
      <c r="D52" s="84" t="str">
        <f t="shared" si="12"/>
        <v>30F</v>
      </c>
      <c r="E52" s="85" t="str">
        <f t="shared" si="13"/>
        <v>EUR18x30F_Quote</v>
      </c>
      <c r="F52" s="84" t="e">
        <f ca="1">_xll.cfyql_SimpleQuote(E52,,RateTickValue,Permanent,Trigger,ObjectOverwrite)</f>
        <v>#NAME?</v>
      </c>
      <c r="G52" s="83" t="e">
        <f ca="1">_xll.ohRangeRetrieveError(F52)</f>
        <v>#NAME?</v>
      </c>
      <c r="H52" s="36"/>
      <c r="J52" s="41"/>
      <c r="K52" s="257">
        <v>18</v>
      </c>
      <c r="L52" s="257" t="s">
        <v>180</v>
      </c>
      <c r="M52" s="257" t="str">
        <f t="shared" si="9"/>
        <v>30F</v>
      </c>
      <c r="N52" s="255" t="str">
        <f t="shared" si="14"/>
        <v>EUR18x30F</v>
      </c>
      <c r="O52" s="185" t="str">
        <v>EUR18X30F=ICAP</v>
      </c>
      <c r="P52" s="78" t="s">
        <v>109</v>
      </c>
      <c r="Q52" s="78" t="s">
        <v>109</v>
      </c>
      <c r="R52" s="78" t="e">
        <f t="shared" si="15"/>
        <v>#NUM!</v>
      </c>
      <c r="S52" s="78" t="e">
        <f t="shared" si="16"/>
        <v>#NUM!</v>
      </c>
      <c r="T52" s="114"/>
      <c r="U52" s="78" t="e">
        <v>#NUM!</v>
      </c>
      <c r="V52" s="114"/>
      <c r="W52" s="218" t="e">
        <v>#NUM!</v>
      </c>
      <c r="X52" s="221" t="e">
        <f ca="1">_xll.cfyql_SimpleQuoteSetValue(F52,W52/100,Trigger)</f>
        <v>#NAME?</v>
      </c>
      <c r="Y52" s="254"/>
    </row>
    <row r="53" spans="1:25" x14ac:dyDescent="0.2">
      <c r="A53" s="134"/>
      <c r="B53" s="84">
        <f t="shared" si="10"/>
        <v>19</v>
      </c>
      <c r="C53" s="84" t="str">
        <f t="shared" si="11"/>
        <v>x</v>
      </c>
      <c r="D53" s="84" t="str">
        <f t="shared" si="12"/>
        <v>31F</v>
      </c>
      <c r="E53" s="85" t="str">
        <f t="shared" si="13"/>
        <v>EUR19x31F_Quote</v>
      </c>
      <c r="F53" s="84" t="e">
        <f ca="1">_xll.cfyql_SimpleQuote(E53,,RateTickValue,Permanent,Trigger,ObjectOverwrite)</f>
        <v>#NAME?</v>
      </c>
      <c r="G53" s="83" t="e">
        <f ca="1">_xll.ohRangeRetrieveError(F53)</f>
        <v>#NAME?</v>
      </c>
      <c r="H53" s="36"/>
      <c r="J53" s="41"/>
      <c r="K53" s="257">
        <v>19</v>
      </c>
      <c r="L53" s="257" t="s">
        <v>180</v>
      </c>
      <c r="M53" s="257" t="str">
        <f t="shared" si="9"/>
        <v>31F</v>
      </c>
      <c r="N53" s="255" t="str">
        <f t="shared" si="14"/>
        <v>EUR19x31F</v>
      </c>
      <c r="O53" s="185" t="str">
        <v>EUR19X31F=ICAP</v>
      </c>
      <c r="P53" s="78" t="s">
        <v>109</v>
      </c>
      <c r="Q53" s="78" t="s">
        <v>109</v>
      </c>
      <c r="R53" s="78" t="e">
        <f t="shared" si="15"/>
        <v>#NUM!</v>
      </c>
      <c r="S53" s="78" t="e">
        <f t="shared" si="16"/>
        <v>#NUM!</v>
      </c>
      <c r="T53" s="114"/>
      <c r="U53" s="78" t="e">
        <v>#NUM!</v>
      </c>
      <c r="V53" s="114"/>
      <c r="W53" s="218" t="e">
        <v>#NUM!</v>
      </c>
      <c r="X53" s="221" t="e">
        <f ca="1">_xll.cfyql_SimpleQuoteSetValue(F53,W53/100,Trigger)</f>
        <v>#NAME?</v>
      </c>
      <c r="Y53" s="254"/>
    </row>
    <row r="54" spans="1:25" x14ac:dyDescent="0.2">
      <c r="A54" s="134"/>
      <c r="B54" s="84">
        <f t="shared" si="10"/>
        <v>20</v>
      </c>
      <c r="C54" s="84" t="str">
        <f t="shared" si="11"/>
        <v>x</v>
      </c>
      <c r="D54" s="84" t="str">
        <f t="shared" si="12"/>
        <v>32F</v>
      </c>
      <c r="E54" s="85" t="str">
        <f t="shared" si="13"/>
        <v>EUR20x32F_Quote</v>
      </c>
      <c r="F54" s="84" t="e">
        <f ca="1">_xll.cfyql_SimpleQuote(E54,,RateTickValue,Permanent,Trigger,ObjectOverwrite)</f>
        <v>#NAME?</v>
      </c>
      <c r="G54" s="83" t="e">
        <f ca="1">_xll.ohRangeRetrieveError(F54)</f>
        <v>#NAME?</v>
      </c>
      <c r="H54" s="36"/>
      <c r="J54" s="41"/>
      <c r="K54" s="257">
        <v>20</v>
      </c>
      <c r="L54" s="257" t="s">
        <v>180</v>
      </c>
      <c r="M54" s="257" t="str">
        <f t="shared" si="9"/>
        <v>32F</v>
      </c>
      <c r="N54" s="255" t="str">
        <f t="shared" si="14"/>
        <v>EUR20x32F</v>
      </c>
      <c r="O54" s="185" t="str">
        <v>EUR20X32F=ICAP</v>
      </c>
      <c r="P54" s="78" t="s">
        <v>109</v>
      </c>
      <c r="Q54" s="78" t="s">
        <v>109</v>
      </c>
      <c r="R54" s="78" t="e">
        <f t="shared" si="15"/>
        <v>#NUM!</v>
      </c>
      <c r="S54" s="78" t="e">
        <f t="shared" si="16"/>
        <v>#NUM!</v>
      </c>
      <c r="T54" s="114"/>
      <c r="U54" s="78" t="e">
        <v>#NUM!</v>
      </c>
      <c r="V54" s="114"/>
      <c r="W54" s="218" t="e">
        <v>#NUM!</v>
      </c>
      <c r="X54" s="221" t="e">
        <f ca="1">_xll.cfyql_SimpleQuoteSetValue(F54,W54/100,Trigger)</f>
        <v>#NAME?</v>
      </c>
      <c r="Y54" s="254"/>
    </row>
    <row r="55" spans="1:25" x14ac:dyDescent="0.2">
      <c r="A55" s="134"/>
      <c r="B55" s="84">
        <f t="shared" si="10"/>
        <v>21</v>
      </c>
      <c r="C55" s="84" t="str">
        <f t="shared" si="11"/>
        <v>x</v>
      </c>
      <c r="D55" s="84" t="str">
        <f t="shared" si="12"/>
        <v>33F</v>
      </c>
      <c r="E55" s="85" t="str">
        <f t="shared" si="13"/>
        <v>EUR21x33F_Quote</v>
      </c>
      <c r="F55" s="84" t="e">
        <f ca="1">_xll.cfyql_SimpleQuote(E55,,RateTickValue,Permanent,Trigger,ObjectOverwrite)</f>
        <v>#NAME?</v>
      </c>
      <c r="G55" s="83" t="e">
        <f ca="1">_xll.ohRangeRetrieveError(F55)</f>
        <v>#NAME?</v>
      </c>
      <c r="H55" s="36"/>
      <c r="J55" s="41"/>
      <c r="K55" s="257">
        <v>21</v>
      </c>
      <c r="L55" s="257" t="s">
        <v>180</v>
      </c>
      <c r="M55" s="257" t="str">
        <f t="shared" si="9"/>
        <v>33F</v>
      </c>
      <c r="N55" s="255" t="str">
        <f t="shared" si="14"/>
        <v>EUR21x33F</v>
      </c>
      <c r="O55" s="185" t="str">
        <v>EUR21X33F=ICAP</v>
      </c>
      <c r="P55" s="78" t="s">
        <v>109</v>
      </c>
      <c r="Q55" s="78" t="s">
        <v>109</v>
      </c>
      <c r="R55" s="78" t="e">
        <f t="shared" si="15"/>
        <v>#NUM!</v>
      </c>
      <c r="S55" s="78" t="e">
        <f t="shared" si="16"/>
        <v>#NUM!</v>
      </c>
      <c r="T55" s="114"/>
      <c r="U55" s="78" t="e">
        <v>#NUM!</v>
      </c>
      <c r="V55" s="114"/>
      <c r="W55" s="218" t="e">
        <v>#NUM!</v>
      </c>
      <c r="X55" s="221" t="e">
        <f ca="1">_xll.cfyql_SimpleQuoteSetValue(F55,W55/100,Trigger)</f>
        <v>#NAME?</v>
      </c>
      <c r="Y55" s="254"/>
    </row>
    <row r="56" spans="1:25" x14ac:dyDescent="0.2">
      <c r="A56" s="134"/>
      <c r="B56" s="84">
        <f t="shared" si="10"/>
        <v>22</v>
      </c>
      <c r="C56" s="84" t="str">
        <f t="shared" si="11"/>
        <v>x</v>
      </c>
      <c r="D56" s="84" t="str">
        <f t="shared" si="12"/>
        <v>34F</v>
      </c>
      <c r="E56" s="85" t="str">
        <f t="shared" si="13"/>
        <v>EUR22x34F_Quote</v>
      </c>
      <c r="F56" s="84" t="e">
        <f ca="1">_xll.cfyql_SimpleQuote(E56,,RateTickValue,Permanent,Trigger,ObjectOverwrite)</f>
        <v>#NAME?</v>
      </c>
      <c r="G56" s="83" t="e">
        <f ca="1">_xll.ohRangeRetrieveError(F56)</f>
        <v>#NAME?</v>
      </c>
      <c r="H56" s="36"/>
      <c r="J56" s="41"/>
      <c r="K56" s="257">
        <v>22</v>
      </c>
      <c r="L56" s="257" t="s">
        <v>180</v>
      </c>
      <c r="M56" s="257" t="str">
        <f t="shared" si="9"/>
        <v>34F</v>
      </c>
      <c r="N56" s="255" t="str">
        <f t="shared" si="14"/>
        <v>EUR22x34F</v>
      </c>
      <c r="O56" s="185" t="str">
        <v>EUR22X34F=ICAP</v>
      </c>
      <c r="P56" s="78" t="s">
        <v>109</v>
      </c>
      <c r="Q56" s="78" t="s">
        <v>109</v>
      </c>
      <c r="R56" s="78" t="e">
        <f t="shared" si="15"/>
        <v>#NUM!</v>
      </c>
      <c r="S56" s="78" t="e">
        <f t="shared" si="16"/>
        <v>#NUM!</v>
      </c>
      <c r="T56" s="114"/>
      <c r="U56" s="78" t="e">
        <v>#NUM!</v>
      </c>
      <c r="V56" s="114"/>
      <c r="W56" s="218" t="e">
        <v>#NUM!</v>
      </c>
      <c r="X56" s="221" t="e">
        <f ca="1">_xll.cfyql_SimpleQuoteSetValue(F56,W56/100,Trigger)</f>
        <v>#NAME?</v>
      </c>
      <c r="Y56" s="254"/>
    </row>
    <row r="57" spans="1:25" x14ac:dyDescent="0.2">
      <c r="A57" s="134"/>
      <c r="B57" s="84">
        <f t="shared" si="10"/>
        <v>23</v>
      </c>
      <c r="C57" s="84" t="str">
        <f t="shared" si="11"/>
        <v>x</v>
      </c>
      <c r="D57" s="84" t="str">
        <f t="shared" si="12"/>
        <v>35F</v>
      </c>
      <c r="E57" s="85" t="str">
        <f t="shared" si="13"/>
        <v>EUR23x35F_Quote</v>
      </c>
      <c r="F57" s="84" t="e">
        <f ca="1">_xll.cfyql_SimpleQuote(E57,,RateTickValue,Permanent,Trigger,ObjectOverwrite)</f>
        <v>#NAME?</v>
      </c>
      <c r="G57" s="83" t="e">
        <f ca="1">_xll.ohRangeRetrieveError(F57)</f>
        <v>#NAME?</v>
      </c>
      <c r="H57" s="36"/>
      <c r="J57" s="41"/>
      <c r="K57" s="257">
        <v>23</v>
      </c>
      <c r="L57" s="257" t="s">
        <v>180</v>
      </c>
      <c r="M57" s="257" t="str">
        <f t="shared" si="9"/>
        <v>35F</v>
      </c>
      <c r="N57" s="255" t="str">
        <f t="shared" si="14"/>
        <v>EUR23x35F</v>
      </c>
      <c r="O57" s="185" t="str">
        <v>EUR23X35F=ICAP</v>
      </c>
      <c r="P57" s="78" t="s">
        <v>109</v>
      </c>
      <c r="Q57" s="78" t="s">
        <v>109</v>
      </c>
      <c r="R57" s="78" t="e">
        <f t="shared" si="15"/>
        <v>#NUM!</v>
      </c>
      <c r="S57" s="78" t="e">
        <f t="shared" si="16"/>
        <v>#NUM!</v>
      </c>
      <c r="T57" s="114"/>
      <c r="U57" s="78" t="e">
        <v>#NUM!</v>
      </c>
      <c r="V57" s="114"/>
      <c r="W57" s="218" t="e">
        <v>#NUM!</v>
      </c>
      <c r="X57" s="221" t="e">
        <f ca="1">_xll.cfyql_SimpleQuoteSetValue(F57,W57/100,Trigger)</f>
        <v>#NAME?</v>
      </c>
      <c r="Y57" s="254"/>
    </row>
    <row r="58" spans="1:25" x14ac:dyDescent="0.2">
      <c r="A58" s="134"/>
      <c r="B58" s="73">
        <f t="shared" si="10"/>
        <v>24</v>
      </c>
      <c r="C58" s="73" t="str">
        <f t="shared" si="11"/>
        <v>x</v>
      </c>
      <c r="D58" s="73" t="str">
        <f t="shared" si="12"/>
        <v>36F</v>
      </c>
      <c r="E58" s="74" t="str">
        <f t="shared" si="13"/>
        <v>EUR24x36F_Quote</v>
      </c>
      <c r="F58" s="73" t="e">
        <f ca="1">_xll.cfyql_SimpleQuote(E58,,RateTickValue,Permanent,Trigger,ObjectOverwrite)</f>
        <v>#NAME?</v>
      </c>
      <c r="G58" s="72" t="e">
        <f ca="1">_xll.ohRangeRetrieveError(F58)</f>
        <v>#NAME?</v>
      </c>
      <c r="H58" s="36"/>
      <c r="J58" s="41"/>
      <c r="K58" s="256">
        <v>24</v>
      </c>
      <c r="L58" s="256" t="s">
        <v>180</v>
      </c>
      <c r="M58" s="256" t="str">
        <f t="shared" si="9"/>
        <v>36F</v>
      </c>
      <c r="N58" s="255" t="str">
        <f t="shared" si="14"/>
        <v>EUR24x36F</v>
      </c>
      <c r="O58" s="185" t="str">
        <v>EUR24X36F=ICAP</v>
      </c>
      <c r="P58" s="78">
        <v>0.38</v>
      </c>
      <c r="Q58" s="78">
        <v>0.43</v>
      </c>
      <c r="R58" s="78">
        <f t="shared" si="15"/>
        <v>0.40500000000000003</v>
      </c>
      <c r="S58" s="65">
        <f t="shared" si="16"/>
        <v>5.0000000000000044E-2</v>
      </c>
      <c r="T58" s="114"/>
      <c r="U58" s="78">
        <v>0.40500000000000003</v>
      </c>
      <c r="V58" s="114"/>
      <c r="W58" s="218">
        <v>0.40500000000000003</v>
      </c>
      <c r="X58" s="221" t="e">
        <f ca="1">_xll.cfyql_SimpleQuoteSetValue(F58,W58/100,Trigger)</f>
        <v>#NAME?</v>
      </c>
      <c r="Y58" s="254"/>
    </row>
    <row r="59" spans="1:25" x14ac:dyDescent="0.2">
      <c r="A59" s="35"/>
      <c r="B59" s="34"/>
      <c r="C59" s="34"/>
      <c r="D59" s="34"/>
      <c r="E59" s="34"/>
      <c r="F59" s="33"/>
      <c r="G59" s="33"/>
      <c r="H59" s="32"/>
      <c r="J59" s="253"/>
      <c r="K59" s="251"/>
      <c r="L59" s="251"/>
      <c r="M59" s="251"/>
      <c r="N59" s="251"/>
      <c r="O59" s="251"/>
      <c r="P59" s="251"/>
      <c r="Q59" s="251"/>
      <c r="R59" s="251"/>
      <c r="S59" s="252"/>
      <c r="T59" s="252"/>
      <c r="U59" s="251"/>
      <c r="V59" s="252"/>
      <c r="W59" s="251"/>
      <c r="X59" s="251"/>
      <c r="Y59" s="15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6.140625" style="30" customWidth="1" outlineLevel="1"/>
    <col min="6" max="6" width="21.4257812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7"/>
      <c r="B1" s="54"/>
      <c r="C1" s="54"/>
      <c r="D1" s="54"/>
      <c r="E1" s="54"/>
      <c r="F1" s="54"/>
      <c r="G1" s="54"/>
      <c r="H1" s="53"/>
      <c r="J1" s="152" t="s">
        <v>135</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09"/>
      <c r="G2" s="109"/>
      <c r="H2" s="119"/>
      <c r="J2" s="112"/>
      <c r="K2" s="110"/>
      <c r="L2" s="110"/>
      <c r="M2" s="110"/>
      <c r="N2" s="110"/>
      <c r="O2" s="118" t="str">
        <f>VLOOKUP(J1,AreaTable,2,FALSE)</f>
        <v>ICAP</v>
      </c>
      <c r="P2" s="110"/>
      <c r="Q2" s="110"/>
      <c r="R2" s="110"/>
      <c r="S2" s="110"/>
      <c r="T2" s="111"/>
      <c r="U2" s="111"/>
      <c r="V2" s="111"/>
      <c r="W2" s="111"/>
      <c r="X2" s="117" t="e">
        <f ca="1">_xll.ohTrigger(X5:X40)</f>
        <v>#NAME?</v>
      </c>
      <c r="Y2" s="36"/>
      <c r="AA2" s="1360" t="s">
        <v>529</v>
      </c>
      <c r="AB2" s="1363" t="e">
        <f ca="1">_xll.cfyql_Trigger('General Settings'!Trigger)</f>
        <v>#NAME?</v>
      </c>
    </row>
    <row r="3" spans="1:28" ht="11.25" customHeight="1" thickBot="1" x14ac:dyDescent="0.3">
      <c r="A3" s="116"/>
      <c r="B3" s="115"/>
      <c r="C3" s="115"/>
      <c r="D3" s="114"/>
      <c r="E3" s="114"/>
      <c r="F3" s="109"/>
      <c r="G3" s="109"/>
      <c r="H3" s="113"/>
      <c r="J3" s="134"/>
      <c r="K3" s="111"/>
      <c r="L3" s="111"/>
      <c r="M3" s="110"/>
      <c r="N3" s="110"/>
      <c r="O3" s="110"/>
      <c r="P3" s="110"/>
      <c r="Q3" s="110"/>
      <c r="R3" s="110"/>
      <c r="S3" s="110"/>
      <c r="T3" s="111"/>
      <c r="U3" s="111"/>
      <c r="V3" s="111"/>
      <c r="W3" s="110"/>
      <c r="X3" s="109"/>
      <c r="Y3" s="129"/>
      <c r="AA3" s="1361" t="s">
        <v>530</v>
      </c>
      <c r="AB3" s="1364" t="e">
        <f ca="1">_xll.cfyql_Trigger(X5:X40)</f>
        <v>#NAME?</v>
      </c>
    </row>
    <row r="4" spans="1:28" ht="21" customHeight="1" x14ac:dyDescent="0.2">
      <c r="A4" s="112"/>
      <c r="B4" s="52" t="s">
        <v>107</v>
      </c>
      <c r="C4" s="107"/>
      <c r="D4" s="107"/>
      <c r="E4" s="52" t="s">
        <v>91</v>
      </c>
      <c r="F4" s="52" t="s">
        <v>90</v>
      </c>
      <c r="G4" s="52" t="s">
        <v>59</v>
      </c>
      <c r="H4" s="36"/>
      <c r="J4" s="134"/>
      <c r="K4" s="118"/>
      <c r="L4" s="118"/>
      <c r="M4" s="118"/>
      <c r="N4" s="250" t="s">
        <v>101</v>
      </c>
      <c r="O4" s="105" t="e">
        <f ca="1">_xll.RData(O5:O40,P4:Q4,,ReutersRtMode,,P5)</f>
        <v>#NAME?</v>
      </c>
      <c r="P4" s="101" t="s">
        <v>84</v>
      </c>
      <c r="Q4" s="101" t="s">
        <v>83</v>
      </c>
      <c r="R4" s="104" t="s">
        <v>179</v>
      </c>
      <c r="S4" s="103" t="s">
        <v>79</v>
      </c>
      <c r="T4" s="111"/>
      <c r="U4" s="146" t="s">
        <v>78</v>
      </c>
      <c r="V4" s="111"/>
      <c r="W4" s="145" t="s">
        <v>77</v>
      </c>
      <c r="X4" s="145" t="s">
        <v>76</v>
      </c>
      <c r="Y4" s="129"/>
    </row>
    <row r="5" spans="1:28" ht="11.25" customHeight="1" x14ac:dyDescent="0.2">
      <c r="A5" s="71"/>
      <c r="B5" s="97" t="str">
        <f t="shared" ref="B5:B40" si="0">K5</f>
        <v>SW</v>
      </c>
      <c r="C5" s="98" t="s">
        <v>117</v>
      </c>
      <c r="D5" s="97"/>
      <c r="E5" s="96" t="str">
        <f t="shared" ref="E5:E40" si="1">Currency&amp;$C5&amp;$B5&amp;QuoteSuffix</f>
        <v>EUREONSW_Quote</v>
      </c>
      <c r="F5" s="95" t="e">
        <f ca="1">_xll.cfyql_SimpleQuote(Currency&amp;$C5&amp;$B5&amp;QuoteSuffix,,RateTickValue,Permanent,Trigger,ObjectOverwrite)</f>
        <v>#NAME?</v>
      </c>
      <c r="G5" s="94" t="e">
        <f ca="1">_xll.ohRangeRetrieveError(F5)</f>
        <v>#NAME?</v>
      </c>
      <c r="H5" s="36"/>
      <c r="J5" s="134"/>
      <c r="K5" s="249" t="s">
        <v>178</v>
      </c>
      <c r="L5" s="249" t="s">
        <v>135</v>
      </c>
      <c r="M5" s="249" t="s">
        <v>117</v>
      </c>
      <c r="N5" s="202" t="str">
        <f t="shared" ref="N5:N40" si="2">Currency&amp;$M5&amp;$K5</f>
        <v>EUREONSW</v>
      </c>
      <c r="O5" s="202" t="str">
        <f t="shared" ref="O5:O40" si="3">N5&amp;"="&amp;VLOOKUP(Contributor,ContributorTable,2,FALSE)</f>
        <v>EUREONSW=ICAP</v>
      </c>
      <c r="P5" s="247">
        <v>-0.193</v>
      </c>
      <c r="Q5" s="247">
        <v>-9.2999999999999999E-2</v>
      </c>
      <c r="R5" s="247">
        <f t="shared" ref="R5:R40" si="4">IF(ISERROR(AVERAGE(P5,Q5)),#NUM!,AVERAGE(P5,Q5))</f>
        <v>-0.14300000000000002</v>
      </c>
      <c r="S5" s="240">
        <f t="shared" ref="S5:S40" si="5">(R5-P5)*2</f>
        <v>9.9999999999999978E-2</v>
      </c>
      <c r="T5" s="241"/>
      <c r="U5" s="248">
        <v>-0.14300000000000002</v>
      </c>
      <c r="V5" s="241"/>
      <c r="W5" s="247">
        <f t="array" ref="W5:W40">QuoteStatic</f>
        <v>-0.14300000000000002</v>
      </c>
      <c r="X5" s="246" t="e">
        <f ca="1">_xll.cfyql_SimpleQuoteSetValue(F5,W5/100,Trigger)</f>
        <v>#NAME?</v>
      </c>
      <c r="Y5" s="129"/>
    </row>
    <row r="6" spans="1:28" ht="11.25" customHeight="1" x14ac:dyDescent="0.2">
      <c r="A6" s="71"/>
      <c r="B6" s="86" t="str">
        <f t="shared" si="0"/>
        <v>2W</v>
      </c>
      <c r="C6" s="87" t="s">
        <v>117</v>
      </c>
      <c r="D6" s="86"/>
      <c r="E6" s="85" t="str">
        <f t="shared" si="1"/>
        <v>EUREON2W_Quote</v>
      </c>
      <c r="F6" s="84" t="e">
        <f ca="1">_xll.cfyql_SimpleQuote(Currency&amp;$C6&amp;$B6&amp;QuoteSuffix,,RateTickValue,Permanent,Trigger,ObjectOverwrite)</f>
        <v>#NAME?</v>
      </c>
      <c r="G6" s="83" t="e">
        <f ca="1">_xll.ohRangeRetrieveError(F6)</f>
        <v>#NAME?</v>
      </c>
      <c r="H6" s="36"/>
      <c r="J6" s="134"/>
      <c r="K6" s="245" t="s">
        <v>177</v>
      </c>
      <c r="L6" s="245" t="s">
        <v>135</v>
      </c>
      <c r="M6" s="245" t="s">
        <v>117</v>
      </c>
      <c r="N6" s="243" t="str">
        <f t="shared" si="2"/>
        <v>EUREON2W</v>
      </c>
      <c r="O6" s="243" t="str">
        <f t="shared" si="3"/>
        <v>EUREON2W=ICAP</v>
      </c>
      <c r="P6" s="240">
        <v>-0.193</v>
      </c>
      <c r="Q6" s="240">
        <v>-9.2999999999999999E-2</v>
      </c>
      <c r="R6" s="240">
        <f t="shared" si="4"/>
        <v>-0.14300000000000002</v>
      </c>
      <c r="S6" s="240">
        <f t="shared" si="5"/>
        <v>9.9999999999999978E-2</v>
      </c>
      <c r="T6" s="241"/>
      <c r="U6" s="242">
        <v>-0.14300000000000002</v>
      </c>
      <c r="V6" s="241"/>
      <c r="W6" s="240">
        <v>-0.14300000000000002</v>
      </c>
      <c r="X6" s="239" t="e">
        <f ca="1">_xll.cfyql_SimpleQuoteSetValue(F6,W6/100,Trigger)</f>
        <v>#NAME?</v>
      </c>
      <c r="Y6" s="129"/>
    </row>
    <row r="7" spans="1:28" ht="11.25" customHeight="1" x14ac:dyDescent="0.2">
      <c r="A7" s="71"/>
      <c r="B7" s="86" t="str">
        <f t="shared" si="0"/>
        <v>3W</v>
      </c>
      <c r="C7" s="87" t="s">
        <v>117</v>
      </c>
      <c r="D7" s="86"/>
      <c r="E7" s="85" t="str">
        <f t="shared" si="1"/>
        <v>EUREON3W_Quote</v>
      </c>
      <c r="F7" s="84" t="e">
        <f ca="1">_xll.cfyql_SimpleQuote(Currency&amp;$C7&amp;$B7&amp;QuoteSuffix,,RateTickValue,Permanent,Trigger,ObjectOverwrite)</f>
        <v>#NAME?</v>
      </c>
      <c r="G7" s="83" t="e">
        <f ca="1">_xll.ohRangeRetrieveError(F7)</f>
        <v>#NAME?</v>
      </c>
      <c r="H7" s="36"/>
      <c r="J7" s="134"/>
      <c r="K7" s="245" t="s">
        <v>176</v>
      </c>
      <c r="L7" s="245" t="s">
        <v>135</v>
      </c>
      <c r="M7" s="245" t="s">
        <v>117</v>
      </c>
      <c r="N7" s="243" t="str">
        <f t="shared" si="2"/>
        <v>EUREON3W</v>
      </c>
      <c r="O7" s="243" t="str">
        <f t="shared" si="3"/>
        <v>EUREON3W=ICAP</v>
      </c>
      <c r="P7" s="240">
        <v>-0.193</v>
      </c>
      <c r="Q7" s="240">
        <v>-9.2999999999999999E-2</v>
      </c>
      <c r="R7" s="240">
        <f t="shared" si="4"/>
        <v>-0.14300000000000002</v>
      </c>
      <c r="S7" s="240">
        <f t="shared" si="5"/>
        <v>9.9999999999999978E-2</v>
      </c>
      <c r="T7" s="241"/>
      <c r="U7" s="242">
        <v>-0.14300000000000002</v>
      </c>
      <c r="V7" s="241"/>
      <c r="W7" s="240">
        <v>-0.14300000000000002</v>
      </c>
      <c r="X7" s="239" t="e">
        <f ca="1">_xll.cfyql_SimpleQuoteSetValue(F7,W7/100,Trigger)</f>
        <v>#NAME?</v>
      </c>
      <c r="Y7" s="129"/>
    </row>
    <row r="8" spans="1:28" ht="11.25" customHeight="1" x14ac:dyDescent="0.2">
      <c r="A8" s="134"/>
      <c r="B8" s="86" t="str">
        <f t="shared" si="0"/>
        <v>1M</v>
      </c>
      <c r="C8" s="87" t="s">
        <v>117</v>
      </c>
      <c r="D8" s="86"/>
      <c r="E8" s="85" t="str">
        <f t="shared" si="1"/>
        <v>EUREON1M_Quote</v>
      </c>
      <c r="F8" s="84" t="e">
        <f ca="1">_xll.cfyql_SimpleQuote(Currency&amp;$C8&amp;$B8&amp;QuoteSuffix,,RateTickValue,Permanent,Trigger,ObjectOverwrite)</f>
        <v>#NAME?</v>
      </c>
      <c r="G8" s="83" t="e">
        <f ca="1">_xll.ohRangeRetrieveError(F8)</f>
        <v>#NAME?</v>
      </c>
      <c r="H8" s="36"/>
      <c r="J8" s="134"/>
      <c r="K8" s="245" t="s">
        <v>175</v>
      </c>
      <c r="L8" s="245" t="s">
        <v>135</v>
      </c>
      <c r="M8" s="245" t="s">
        <v>117</v>
      </c>
      <c r="N8" s="243" t="str">
        <f t="shared" si="2"/>
        <v>EUREON1M</v>
      </c>
      <c r="O8" s="243" t="str">
        <f t="shared" si="3"/>
        <v>EUREON1M=ICAP</v>
      </c>
      <c r="P8" s="240">
        <v>-0.16499999999999998</v>
      </c>
      <c r="Q8" s="240">
        <v>-0.11499999999999999</v>
      </c>
      <c r="R8" s="240">
        <f t="shared" si="4"/>
        <v>-0.13999999999999999</v>
      </c>
      <c r="S8" s="240">
        <f t="shared" si="5"/>
        <v>4.9999999999999989E-2</v>
      </c>
      <c r="T8" s="241"/>
      <c r="U8" s="242">
        <v>-0.13999999999999999</v>
      </c>
      <c r="V8" s="241"/>
      <c r="W8" s="240">
        <v>-0.13999999999999999</v>
      </c>
      <c r="X8" s="239" t="e">
        <f ca="1">_xll.cfyql_SimpleQuoteSetValue(F8,W8/100,Trigger)</f>
        <v>#NAME?</v>
      </c>
      <c r="Y8" s="129"/>
    </row>
    <row r="9" spans="1:28" ht="11.25" customHeight="1" x14ac:dyDescent="0.2">
      <c r="A9" s="134"/>
      <c r="B9" s="86" t="str">
        <f t="shared" si="0"/>
        <v>2M</v>
      </c>
      <c r="C9" s="87" t="s">
        <v>117</v>
      </c>
      <c r="D9" s="86"/>
      <c r="E9" s="85" t="str">
        <f t="shared" si="1"/>
        <v>EUREON2M_Quote</v>
      </c>
      <c r="F9" s="84" t="e">
        <f ca="1">_xll.cfyql_SimpleQuote(Currency&amp;$C9&amp;$B9&amp;QuoteSuffix,,RateTickValue,Permanent,Trigger,ObjectOverwrite)</f>
        <v>#NAME?</v>
      </c>
      <c r="G9" s="83" t="e">
        <f ca="1">_xll.ohRangeRetrieveError(F9)</f>
        <v>#NAME?</v>
      </c>
      <c r="H9" s="36"/>
      <c r="J9" s="134"/>
      <c r="K9" s="245" t="s">
        <v>174</v>
      </c>
      <c r="L9" s="245" t="s">
        <v>135</v>
      </c>
      <c r="M9" s="245" t="s">
        <v>117</v>
      </c>
      <c r="N9" s="243" t="str">
        <f t="shared" si="2"/>
        <v>EUREON2M</v>
      </c>
      <c r="O9" s="243" t="str">
        <f t="shared" si="3"/>
        <v>EUREON2M=ICAP</v>
      </c>
      <c r="P9" s="240">
        <v>-0.16999999999999998</v>
      </c>
      <c r="Q9" s="240">
        <v>-0.12</v>
      </c>
      <c r="R9" s="240">
        <f t="shared" si="4"/>
        <v>-0.14499999999999999</v>
      </c>
      <c r="S9" s="240">
        <f t="shared" si="5"/>
        <v>4.9999999999999989E-2</v>
      </c>
      <c r="T9" s="241"/>
      <c r="U9" s="242">
        <v>-0.14499999999999999</v>
      </c>
      <c r="V9" s="241"/>
      <c r="W9" s="240">
        <v>-0.14499999999999999</v>
      </c>
      <c r="X9" s="239" t="e">
        <f ca="1">_xll.cfyql_SimpleQuoteSetValue(F9,W9/100,Trigger)</f>
        <v>#NAME?</v>
      </c>
      <c r="Y9" s="129"/>
    </row>
    <row r="10" spans="1:28" ht="11.25" customHeight="1" x14ac:dyDescent="0.2">
      <c r="A10" s="134"/>
      <c r="B10" s="86" t="str">
        <f t="shared" si="0"/>
        <v>3M</v>
      </c>
      <c r="C10" s="87" t="s">
        <v>117</v>
      </c>
      <c r="D10" s="86"/>
      <c r="E10" s="85" t="str">
        <f t="shared" si="1"/>
        <v>EUREON3M_Quote</v>
      </c>
      <c r="F10" s="84" t="e">
        <f ca="1">_xll.cfyql_SimpleQuote(Currency&amp;$C10&amp;$B10&amp;QuoteSuffix,,RateTickValue,Permanent,Trigger,ObjectOverwrite)</f>
        <v>#NAME?</v>
      </c>
      <c r="G10" s="83" t="e">
        <f ca="1">_xll.ohRangeRetrieveError(F10)</f>
        <v>#NAME?</v>
      </c>
      <c r="H10" s="36"/>
      <c r="J10" s="134"/>
      <c r="K10" s="245" t="s">
        <v>127</v>
      </c>
      <c r="L10" s="245" t="s">
        <v>135</v>
      </c>
      <c r="M10" s="245" t="s">
        <v>117</v>
      </c>
      <c r="N10" s="243" t="str">
        <f t="shared" si="2"/>
        <v>EUREON3M</v>
      </c>
      <c r="O10" s="243" t="str">
        <f t="shared" si="3"/>
        <v>EUREON3M=ICAP</v>
      </c>
      <c r="P10" s="240">
        <v>-0.16899999999999998</v>
      </c>
      <c r="Q10" s="240">
        <v>-0.11899999999999999</v>
      </c>
      <c r="R10" s="240">
        <f t="shared" si="4"/>
        <v>-0.14399999999999999</v>
      </c>
      <c r="S10" s="240">
        <f t="shared" si="5"/>
        <v>4.9999999999999989E-2</v>
      </c>
      <c r="T10" s="241"/>
      <c r="U10" s="242">
        <v>-0.14399999999999999</v>
      </c>
      <c r="V10" s="241"/>
      <c r="W10" s="240">
        <v>-0.14399999999999999</v>
      </c>
      <c r="X10" s="239" t="e">
        <f ca="1">_xll.cfyql_SimpleQuoteSetValue(F10,W10/100,Trigger)</f>
        <v>#NAME?</v>
      </c>
      <c r="Y10" s="129"/>
    </row>
    <row r="11" spans="1:28" ht="11.25" customHeight="1" x14ac:dyDescent="0.2">
      <c r="A11" s="134"/>
      <c r="B11" s="86" t="str">
        <f t="shared" si="0"/>
        <v>4M</v>
      </c>
      <c r="C11" s="87" t="s">
        <v>117</v>
      </c>
      <c r="D11" s="86"/>
      <c r="E11" s="85" t="str">
        <f t="shared" si="1"/>
        <v>EUREON4M_Quote</v>
      </c>
      <c r="F11" s="84" t="e">
        <f ca="1">_xll.cfyql_SimpleQuote(Currency&amp;$C11&amp;$B11&amp;QuoteSuffix,,RateTickValue,Permanent,Trigger,ObjectOverwrite)</f>
        <v>#NAME?</v>
      </c>
      <c r="G11" s="83" t="e">
        <f ca="1">_xll.ohRangeRetrieveError(F11)</f>
        <v>#NAME?</v>
      </c>
      <c r="H11" s="36"/>
      <c r="J11" s="134"/>
      <c r="K11" s="245" t="s">
        <v>173</v>
      </c>
      <c r="L11" s="245" t="s">
        <v>135</v>
      </c>
      <c r="M11" s="245" t="s">
        <v>117</v>
      </c>
      <c r="N11" s="243" t="str">
        <f t="shared" si="2"/>
        <v>EUREON4M</v>
      </c>
      <c r="O11" s="243" t="str">
        <f t="shared" si="3"/>
        <v>EUREON4M=ICAP</v>
      </c>
      <c r="P11" s="240">
        <v>-0.17299999999999999</v>
      </c>
      <c r="Q11" s="240">
        <v>-0.123</v>
      </c>
      <c r="R11" s="240">
        <f t="shared" si="4"/>
        <v>-0.14799999999999999</v>
      </c>
      <c r="S11" s="240">
        <f t="shared" si="5"/>
        <v>4.9999999999999989E-2</v>
      </c>
      <c r="T11" s="241"/>
      <c r="U11" s="242">
        <v>-0.14799999999999999</v>
      </c>
      <c r="V11" s="241"/>
      <c r="W11" s="240">
        <v>-0.14799999999999999</v>
      </c>
      <c r="X11" s="239" t="e">
        <f ca="1">_xll.cfyql_SimpleQuoteSetValue(F11,W11/100,Trigger)</f>
        <v>#NAME?</v>
      </c>
      <c r="Y11" s="129"/>
    </row>
    <row r="12" spans="1:28" ht="11.25" customHeight="1" x14ac:dyDescent="0.2">
      <c r="A12" s="134"/>
      <c r="B12" s="86" t="str">
        <f t="shared" si="0"/>
        <v>5M</v>
      </c>
      <c r="C12" s="87" t="s">
        <v>117</v>
      </c>
      <c r="D12" s="86"/>
      <c r="E12" s="85" t="str">
        <f t="shared" si="1"/>
        <v>EUREON5M_Quote</v>
      </c>
      <c r="F12" s="84" t="e">
        <f ca="1">_xll.cfyql_SimpleQuote(Currency&amp;$C12&amp;$B12&amp;QuoteSuffix,,RateTickValue,Permanent,Trigger,ObjectOverwrite)</f>
        <v>#NAME?</v>
      </c>
      <c r="G12" s="83" t="e">
        <f ca="1">_xll.ohRangeRetrieveError(F12)</f>
        <v>#NAME?</v>
      </c>
      <c r="H12" s="36"/>
      <c r="J12" s="134"/>
      <c r="K12" s="245" t="s">
        <v>172</v>
      </c>
      <c r="L12" s="245" t="s">
        <v>135</v>
      </c>
      <c r="M12" s="245" t="s">
        <v>117</v>
      </c>
      <c r="N12" s="243" t="str">
        <f t="shared" si="2"/>
        <v>EUREON5M</v>
      </c>
      <c r="O12" s="243" t="str">
        <f t="shared" si="3"/>
        <v>EUREON5M=ICAP</v>
      </c>
      <c r="P12" s="240">
        <v>-0.17799999999999999</v>
      </c>
      <c r="Q12" s="240">
        <v>-0.128</v>
      </c>
      <c r="R12" s="240">
        <f t="shared" si="4"/>
        <v>-0.153</v>
      </c>
      <c r="S12" s="240">
        <f t="shared" si="5"/>
        <v>4.9999999999999989E-2</v>
      </c>
      <c r="T12" s="241"/>
      <c r="U12" s="242">
        <v>-0.153</v>
      </c>
      <c r="V12" s="241"/>
      <c r="W12" s="240">
        <v>-0.153</v>
      </c>
      <c r="X12" s="239" t="e">
        <f ca="1">_xll.cfyql_SimpleQuoteSetValue(F12,W12/100,Trigger)</f>
        <v>#NAME?</v>
      </c>
      <c r="Y12" s="129"/>
    </row>
    <row r="13" spans="1:28" ht="11.25" customHeight="1" x14ac:dyDescent="0.2">
      <c r="A13" s="134"/>
      <c r="B13" s="86" t="str">
        <f t="shared" si="0"/>
        <v>6M</v>
      </c>
      <c r="C13" s="87" t="s">
        <v>117</v>
      </c>
      <c r="D13" s="86"/>
      <c r="E13" s="85" t="str">
        <f t="shared" si="1"/>
        <v>EUREON6M_Quote</v>
      </c>
      <c r="F13" s="84" t="e">
        <f ca="1">_xll.cfyql_SimpleQuote(Currency&amp;$C13&amp;$B13&amp;QuoteSuffix,,RateTickValue,Permanent,Trigger,ObjectOverwrite)</f>
        <v>#NAME?</v>
      </c>
      <c r="G13" s="83" t="e">
        <f ca="1">_xll.ohRangeRetrieveError(F13)</f>
        <v>#NAME?</v>
      </c>
      <c r="H13" s="36"/>
      <c r="J13" s="134"/>
      <c r="K13" s="245" t="s">
        <v>92</v>
      </c>
      <c r="L13" s="245" t="s">
        <v>135</v>
      </c>
      <c r="M13" s="245" t="s">
        <v>117</v>
      </c>
      <c r="N13" s="243" t="str">
        <f t="shared" si="2"/>
        <v>EUREON6M</v>
      </c>
      <c r="O13" s="243" t="str">
        <f t="shared" si="3"/>
        <v>EUREON6M=ICAP</v>
      </c>
      <c r="P13" s="240">
        <v>-0.18099999999999999</v>
      </c>
      <c r="Q13" s="240">
        <v>-0.13100000000000001</v>
      </c>
      <c r="R13" s="240">
        <f t="shared" si="4"/>
        <v>-0.156</v>
      </c>
      <c r="S13" s="240">
        <f t="shared" si="5"/>
        <v>4.9999999999999989E-2</v>
      </c>
      <c r="T13" s="241"/>
      <c r="U13" s="242">
        <v>-0.156</v>
      </c>
      <c r="V13" s="241"/>
      <c r="W13" s="240">
        <v>-0.156</v>
      </c>
      <c r="X13" s="239" t="e">
        <f ca="1">_xll.cfyql_SimpleQuoteSetValue(F13,W13/100,Trigger)</f>
        <v>#NAME?</v>
      </c>
      <c r="Y13" s="129"/>
    </row>
    <row r="14" spans="1:28" ht="11.25" customHeight="1" x14ac:dyDescent="0.2">
      <c r="A14" s="134"/>
      <c r="B14" s="86" t="str">
        <f t="shared" si="0"/>
        <v>7M</v>
      </c>
      <c r="C14" s="87" t="s">
        <v>117</v>
      </c>
      <c r="D14" s="86"/>
      <c r="E14" s="85" t="str">
        <f t="shared" si="1"/>
        <v>EUREON7M_Quote</v>
      </c>
      <c r="F14" s="84" t="e">
        <f ca="1">_xll.cfyql_SimpleQuote(Currency&amp;$C14&amp;$B14&amp;QuoteSuffix,,RateTickValue,Permanent,Trigger,ObjectOverwrite)</f>
        <v>#NAME?</v>
      </c>
      <c r="G14" s="83" t="e">
        <f ca="1">_xll.ohRangeRetrieveError(F14)</f>
        <v>#NAME?</v>
      </c>
      <c r="H14" s="36"/>
      <c r="J14" s="134"/>
      <c r="K14" s="245" t="s">
        <v>171</v>
      </c>
      <c r="L14" s="245" t="s">
        <v>135</v>
      </c>
      <c r="M14" s="245" t="s">
        <v>117</v>
      </c>
      <c r="N14" s="243" t="str">
        <f t="shared" si="2"/>
        <v>EUREON7M</v>
      </c>
      <c r="O14" s="243" t="str">
        <f t="shared" si="3"/>
        <v>EUREON7M=ICAP</v>
      </c>
      <c r="P14" s="240">
        <v>-0.184</v>
      </c>
      <c r="Q14" s="240">
        <v>-0.13399999999999998</v>
      </c>
      <c r="R14" s="240">
        <f t="shared" si="4"/>
        <v>-0.15899999999999997</v>
      </c>
      <c r="S14" s="240">
        <f t="shared" si="5"/>
        <v>5.0000000000000044E-2</v>
      </c>
      <c r="T14" s="241"/>
      <c r="U14" s="242">
        <v>-0.15899999999999997</v>
      </c>
      <c r="V14" s="241"/>
      <c r="W14" s="240">
        <v>-0.15899999999999997</v>
      </c>
      <c r="X14" s="239" t="e">
        <f ca="1">_xll.cfyql_SimpleQuoteSetValue(F14,W14/100,Trigger)</f>
        <v>#NAME?</v>
      </c>
      <c r="Y14" s="129"/>
    </row>
    <row r="15" spans="1:28" ht="11.25" customHeight="1" x14ac:dyDescent="0.2">
      <c r="A15" s="134"/>
      <c r="B15" s="86" t="str">
        <f t="shared" si="0"/>
        <v>8M</v>
      </c>
      <c r="C15" s="87" t="s">
        <v>117</v>
      </c>
      <c r="D15" s="86"/>
      <c r="E15" s="85" t="str">
        <f t="shared" si="1"/>
        <v>EUREON8M_Quote</v>
      </c>
      <c r="F15" s="84" t="e">
        <f ca="1">_xll.cfyql_SimpleQuote(Currency&amp;$C15&amp;$B15&amp;QuoteSuffix,,RateTickValue,Permanent,Trigger,ObjectOverwrite)</f>
        <v>#NAME?</v>
      </c>
      <c r="G15" s="83" t="e">
        <f ca="1">_xll.ohRangeRetrieveError(F15)</f>
        <v>#NAME?</v>
      </c>
      <c r="H15" s="36"/>
      <c r="J15" s="134"/>
      <c r="K15" s="245" t="s">
        <v>170</v>
      </c>
      <c r="L15" s="245" t="s">
        <v>135</v>
      </c>
      <c r="M15" s="245" t="s">
        <v>117</v>
      </c>
      <c r="N15" s="243" t="str">
        <f t="shared" si="2"/>
        <v>EUREON8M</v>
      </c>
      <c r="O15" s="243" t="str">
        <f t="shared" si="3"/>
        <v>EUREON8M=ICAP</v>
      </c>
      <c r="P15" s="240">
        <v>-0.187</v>
      </c>
      <c r="Q15" s="240">
        <v>-0.13700000000000001</v>
      </c>
      <c r="R15" s="240">
        <f t="shared" si="4"/>
        <v>-0.16200000000000001</v>
      </c>
      <c r="S15" s="240">
        <f t="shared" si="5"/>
        <v>4.9999999999999989E-2</v>
      </c>
      <c r="T15" s="241"/>
      <c r="U15" s="242">
        <v>-0.16200000000000001</v>
      </c>
      <c r="V15" s="241"/>
      <c r="W15" s="240">
        <v>-0.16200000000000001</v>
      </c>
      <c r="X15" s="239" t="e">
        <f ca="1">_xll.cfyql_SimpleQuoteSetValue(F15,W15/100,Trigger)</f>
        <v>#NAME?</v>
      </c>
      <c r="Y15" s="129"/>
    </row>
    <row r="16" spans="1:28" ht="11.25" customHeight="1" x14ac:dyDescent="0.2">
      <c r="A16" s="134"/>
      <c r="B16" s="86" t="str">
        <f t="shared" si="0"/>
        <v>9M</v>
      </c>
      <c r="C16" s="87" t="s">
        <v>117</v>
      </c>
      <c r="D16" s="86"/>
      <c r="E16" s="85" t="str">
        <f t="shared" si="1"/>
        <v>EUREON9M_Quote</v>
      </c>
      <c r="F16" s="84" t="e">
        <f ca="1">_xll.cfyql_SimpleQuote(Currency&amp;$C16&amp;$B16&amp;QuoteSuffix,,RateTickValue,Permanent,Trigger,ObjectOverwrite)</f>
        <v>#NAME?</v>
      </c>
      <c r="G16" s="83" t="e">
        <f ca="1">_xll.ohRangeRetrieveError(F16)</f>
        <v>#NAME?</v>
      </c>
      <c r="H16" s="36"/>
      <c r="J16" s="134"/>
      <c r="K16" s="245" t="s">
        <v>169</v>
      </c>
      <c r="L16" s="245" t="s">
        <v>135</v>
      </c>
      <c r="M16" s="245" t="s">
        <v>117</v>
      </c>
      <c r="N16" s="243" t="str">
        <f t="shared" si="2"/>
        <v>EUREON9M</v>
      </c>
      <c r="O16" s="243" t="str">
        <f t="shared" si="3"/>
        <v>EUREON9M=ICAP</v>
      </c>
      <c r="P16" s="240">
        <v>-0.191</v>
      </c>
      <c r="Q16" s="240">
        <v>-0.14099999999999999</v>
      </c>
      <c r="R16" s="240">
        <f t="shared" si="4"/>
        <v>-0.16599999999999998</v>
      </c>
      <c r="S16" s="240">
        <f t="shared" si="5"/>
        <v>5.0000000000000044E-2</v>
      </c>
      <c r="T16" s="241"/>
      <c r="U16" s="242">
        <v>-0.16599999999999998</v>
      </c>
      <c r="V16" s="241"/>
      <c r="W16" s="240">
        <v>-0.16599999999999998</v>
      </c>
      <c r="X16" s="239" t="e">
        <f ca="1">_xll.cfyql_SimpleQuoteSetValue(F16,W16/100,Trigger)</f>
        <v>#NAME?</v>
      </c>
      <c r="Y16" s="129"/>
    </row>
    <row r="17" spans="1:25" ht="11.25" customHeight="1" x14ac:dyDescent="0.2">
      <c r="A17" s="134"/>
      <c r="B17" s="86" t="str">
        <f t="shared" si="0"/>
        <v>10M</v>
      </c>
      <c r="C17" s="87" t="s">
        <v>117</v>
      </c>
      <c r="D17" s="86"/>
      <c r="E17" s="85" t="str">
        <f t="shared" si="1"/>
        <v>EUREON10M_Quote</v>
      </c>
      <c r="F17" s="84" t="e">
        <f ca="1">_xll.cfyql_SimpleQuote(Currency&amp;$C17&amp;$B17&amp;QuoteSuffix,,RateTickValue,Permanent,Trigger,ObjectOverwrite)</f>
        <v>#NAME?</v>
      </c>
      <c r="G17" s="83" t="e">
        <f ca="1">_xll.ohRangeRetrieveError(F17)</f>
        <v>#NAME?</v>
      </c>
      <c r="H17" s="36"/>
      <c r="J17" s="134"/>
      <c r="K17" s="245" t="s">
        <v>168</v>
      </c>
      <c r="L17" s="245" t="s">
        <v>135</v>
      </c>
      <c r="M17" s="245" t="s">
        <v>117</v>
      </c>
      <c r="N17" s="243" t="str">
        <f t="shared" si="2"/>
        <v>EUREON10M</v>
      </c>
      <c r="O17" s="243" t="str">
        <f t="shared" si="3"/>
        <v>EUREON10M=ICAP</v>
      </c>
      <c r="P17" s="240">
        <v>-0.193</v>
      </c>
      <c r="Q17" s="240">
        <v>-0.14299999999999999</v>
      </c>
      <c r="R17" s="240">
        <f t="shared" si="4"/>
        <v>-0.16799999999999998</v>
      </c>
      <c r="S17" s="240">
        <f t="shared" si="5"/>
        <v>5.0000000000000044E-2</v>
      </c>
      <c r="T17" s="241"/>
      <c r="U17" s="242">
        <v>-0.16799999999999998</v>
      </c>
      <c r="V17" s="241"/>
      <c r="W17" s="240">
        <v>-0.16799999999999998</v>
      </c>
      <c r="X17" s="239" t="e">
        <f ca="1">_xll.cfyql_SimpleQuoteSetValue(F17,W17/100,Trigger)</f>
        <v>#NAME?</v>
      </c>
      <c r="Y17" s="129"/>
    </row>
    <row r="18" spans="1:25" ht="11.25" customHeight="1" x14ac:dyDescent="0.2">
      <c r="A18" s="134"/>
      <c r="B18" s="86" t="str">
        <f t="shared" si="0"/>
        <v>11M</v>
      </c>
      <c r="C18" s="87" t="s">
        <v>117</v>
      </c>
      <c r="D18" s="86"/>
      <c r="E18" s="85" t="str">
        <f t="shared" si="1"/>
        <v>EUREON11M_Quote</v>
      </c>
      <c r="F18" s="84" t="e">
        <f ca="1">_xll.cfyql_SimpleQuote(Currency&amp;$C18&amp;$B18&amp;QuoteSuffix,,RateTickValue,Permanent,Trigger,ObjectOverwrite)</f>
        <v>#NAME?</v>
      </c>
      <c r="G18" s="83" t="e">
        <f ca="1">_xll.ohRangeRetrieveError(F18)</f>
        <v>#NAME?</v>
      </c>
      <c r="H18" s="36"/>
      <c r="J18" s="134"/>
      <c r="K18" s="245" t="s">
        <v>167</v>
      </c>
      <c r="L18" s="245" t="s">
        <v>135</v>
      </c>
      <c r="M18" s="245" t="s">
        <v>117</v>
      </c>
      <c r="N18" s="243" t="str">
        <f t="shared" si="2"/>
        <v>EUREON11M</v>
      </c>
      <c r="O18" s="243" t="str">
        <f t="shared" si="3"/>
        <v>EUREON11M=ICAP</v>
      </c>
      <c r="P18" s="240">
        <v>-0.19600000000000001</v>
      </c>
      <c r="Q18" s="240">
        <v>-0.14599999999999999</v>
      </c>
      <c r="R18" s="240">
        <f t="shared" si="4"/>
        <v>-0.17099999999999999</v>
      </c>
      <c r="S18" s="240">
        <f t="shared" si="5"/>
        <v>5.0000000000000044E-2</v>
      </c>
      <c r="T18" s="241"/>
      <c r="U18" s="242">
        <v>-0.17099999999999999</v>
      </c>
      <c r="V18" s="241"/>
      <c r="W18" s="240">
        <v>-0.17099999999999999</v>
      </c>
      <c r="X18" s="239" t="e">
        <f ca="1">_xll.cfyql_SimpleQuoteSetValue(F18,W18/100,Trigger)</f>
        <v>#NAME?</v>
      </c>
      <c r="Y18" s="129"/>
    </row>
    <row r="19" spans="1:25" ht="11.25" customHeight="1" x14ac:dyDescent="0.2">
      <c r="A19" s="134"/>
      <c r="B19" s="86" t="str">
        <f t="shared" si="0"/>
        <v>1Y</v>
      </c>
      <c r="C19" s="87" t="s">
        <v>117</v>
      </c>
      <c r="D19" s="86"/>
      <c r="E19" s="85" t="str">
        <f t="shared" si="1"/>
        <v>EUREON1Y_Quote</v>
      </c>
      <c r="F19" s="84" t="e">
        <f ca="1">_xll.cfyql_SimpleQuote(Currency&amp;$C19&amp;$B19&amp;QuoteSuffix,,RateTickValue,Permanent,Trigger,ObjectOverwrite)</f>
        <v>#NAME?</v>
      </c>
      <c r="G19" s="83" t="e">
        <f ca="1">_xll.ohRangeRetrieveError(F19)</f>
        <v>#NAME?</v>
      </c>
      <c r="H19" s="36"/>
      <c r="J19" s="134"/>
      <c r="K19" s="245" t="s">
        <v>58</v>
      </c>
      <c r="L19" s="245" t="s">
        <v>135</v>
      </c>
      <c r="M19" s="245" t="s">
        <v>117</v>
      </c>
      <c r="N19" s="243" t="str">
        <f t="shared" si="2"/>
        <v>EUREON1Y</v>
      </c>
      <c r="O19" s="243" t="str">
        <f t="shared" si="3"/>
        <v>EUREON1Y=ICAP</v>
      </c>
      <c r="P19" s="240">
        <v>-0.20699999999999999</v>
      </c>
      <c r="Q19" s="240">
        <v>-0.13700000000000001</v>
      </c>
      <c r="R19" s="240">
        <f t="shared" si="4"/>
        <v>-0.17199999999999999</v>
      </c>
      <c r="S19" s="240">
        <f t="shared" si="5"/>
        <v>7.0000000000000007E-2</v>
      </c>
      <c r="T19" s="241"/>
      <c r="U19" s="242">
        <v>-0.17199999999999999</v>
      </c>
      <c r="V19" s="241"/>
      <c r="W19" s="240">
        <v>-0.17199999999999999</v>
      </c>
      <c r="X19" s="239" t="e">
        <f ca="1">_xll.cfyql_SimpleQuoteSetValue(F19,W19/100,Trigger)</f>
        <v>#NAME?</v>
      </c>
      <c r="Y19" s="129"/>
    </row>
    <row r="20" spans="1:25" ht="11.25" customHeight="1" x14ac:dyDescent="0.2">
      <c r="A20" s="134"/>
      <c r="B20" s="86" t="str">
        <f t="shared" si="0"/>
        <v>15M</v>
      </c>
      <c r="C20" s="87" t="s">
        <v>117</v>
      </c>
      <c r="D20" s="86"/>
      <c r="E20" s="85" t="str">
        <f t="shared" si="1"/>
        <v>EUREON15M_Quote</v>
      </c>
      <c r="F20" s="84" t="e">
        <f ca="1">_xll.cfyql_SimpleQuote(Currency&amp;$C20&amp;$B20&amp;QuoteSuffix,,RateTickValue,Permanent,Trigger,ObjectOverwrite)</f>
        <v>#NAME?</v>
      </c>
      <c r="G20" s="83" t="e">
        <f ca="1">_xll.ohRangeRetrieveError(F20)</f>
        <v>#NAME?</v>
      </c>
      <c r="H20" s="36"/>
      <c r="J20" s="134"/>
      <c r="K20" s="245" t="s">
        <v>57</v>
      </c>
      <c r="L20" s="245" t="s">
        <v>135</v>
      </c>
      <c r="M20" s="245" t="s">
        <v>117</v>
      </c>
      <c r="N20" s="243" t="str">
        <f t="shared" si="2"/>
        <v>EUREON15M</v>
      </c>
      <c r="O20" s="243" t="str">
        <f t="shared" si="3"/>
        <v>EUREON15M=ICAP</v>
      </c>
      <c r="P20" s="240">
        <v>-0.20200000000000001</v>
      </c>
      <c r="Q20" s="240">
        <v>-0.152</v>
      </c>
      <c r="R20" s="240">
        <f t="shared" si="4"/>
        <v>-0.17699999999999999</v>
      </c>
      <c r="S20" s="240">
        <f t="shared" si="5"/>
        <v>5.0000000000000044E-2</v>
      </c>
      <c r="T20" s="241"/>
      <c r="U20" s="242">
        <v>-0.17699999999999999</v>
      </c>
      <c r="V20" s="241"/>
      <c r="W20" s="240">
        <v>-0.17699999999999999</v>
      </c>
      <c r="X20" s="239" t="e">
        <f ca="1">_xll.cfyql_SimpleQuoteSetValue(F20,W20/100,Trigger)</f>
        <v>#NAME?</v>
      </c>
      <c r="Y20" s="129"/>
    </row>
    <row r="21" spans="1:25" ht="11.25" customHeight="1" x14ac:dyDescent="0.2">
      <c r="A21" s="134"/>
      <c r="B21" s="86" t="str">
        <f t="shared" si="0"/>
        <v>18M</v>
      </c>
      <c r="C21" s="87" t="s">
        <v>117</v>
      </c>
      <c r="D21" s="86"/>
      <c r="E21" s="85" t="str">
        <f t="shared" si="1"/>
        <v>EUREON18M_Quote</v>
      </c>
      <c r="F21" s="84" t="e">
        <f ca="1">_xll.cfyql_SimpleQuote(Currency&amp;$C21&amp;$B21&amp;QuoteSuffix,,RateTickValue,Permanent,Trigger,ObjectOverwrite)</f>
        <v>#NAME?</v>
      </c>
      <c r="G21" s="83" t="e">
        <f ca="1">_xll.ohRangeRetrieveError(F21)</f>
        <v>#NAME?</v>
      </c>
      <c r="H21" s="36"/>
      <c r="J21" s="134"/>
      <c r="K21" s="245" t="s">
        <v>56</v>
      </c>
      <c r="L21" s="245" t="s">
        <v>135</v>
      </c>
      <c r="M21" s="245" t="s">
        <v>117</v>
      </c>
      <c r="N21" s="243" t="str">
        <f t="shared" si="2"/>
        <v>EUREON18M</v>
      </c>
      <c r="O21" s="243" t="str">
        <f t="shared" si="3"/>
        <v>EUREON18M=ICAP</v>
      </c>
      <c r="P21" s="240">
        <v>-0.20299999999999999</v>
      </c>
      <c r="Q21" s="240">
        <v>-0.153</v>
      </c>
      <c r="R21" s="240">
        <f t="shared" si="4"/>
        <v>-0.17799999999999999</v>
      </c>
      <c r="S21" s="240">
        <f t="shared" si="5"/>
        <v>4.9999999999999989E-2</v>
      </c>
      <c r="T21" s="241"/>
      <c r="U21" s="242">
        <v>-0.17799999999999999</v>
      </c>
      <c r="V21" s="241"/>
      <c r="W21" s="240">
        <v>-0.17799999999999999</v>
      </c>
      <c r="X21" s="239" t="e">
        <f ca="1">_xll.cfyql_SimpleQuoteSetValue(F21,W21/100,Trigger)</f>
        <v>#NAME?</v>
      </c>
      <c r="Y21" s="129"/>
    </row>
    <row r="22" spans="1:25" ht="11.25" customHeight="1" x14ac:dyDescent="0.2">
      <c r="A22" s="134"/>
      <c r="B22" s="86" t="str">
        <f t="shared" si="0"/>
        <v>21M</v>
      </c>
      <c r="C22" s="87" t="s">
        <v>117</v>
      </c>
      <c r="D22" s="86"/>
      <c r="E22" s="85" t="str">
        <f t="shared" si="1"/>
        <v>EUREON21M_Quote</v>
      </c>
      <c r="F22" s="84" t="e">
        <f ca="1">_xll.cfyql_SimpleQuote(Currency&amp;$C22&amp;$B22&amp;QuoteSuffix,,RateTickValue,Permanent,Trigger,ObjectOverwrite)</f>
        <v>#NAME?</v>
      </c>
      <c r="G22" s="83" t="e">
        <f ca="1">_xll.ohRangeRetrieveError(F22)</f>
        <v>#NAME?</v>
      </c>
      <c r="H22" s="36"/>
      <c r="J22" s="134"/>
      <c r="K22" s="245" t="s">
        <v>55</v>
      </c>
      <c r="L22" s="245" t="s">
        <v>135</v>
      </c>
      <c r="M22" s="245" t="s">
        <v>117</v>
      </c>
      <c r="N22" s="243" t="str">
        <f t="shared" si="2"/>
        <v>EUREON21M</v>
      </c>
      <c r="O22" s="243" t="str">
        <f t="shared" si="3"/>
        <v>EUREON21M=ICAP</v>
      </c>
      <c r="P22" s="240">
        <v>-0.20099999999999998</v>
      </c>
      <c r="Q22" s="240">
        <v>-0.151</v>
      </c>
      <c r="R22" s="240">
        <f t="shared" si="4"/>
        <v>-0.17599999999999999</v>
      </c>
      <c r="S22" s="240">
        <f t="shared" si="5"/>
        <v>4.9999999999999989E-2</v>
      </c>
      <c r="T22" s="241"/>
      <c r="U22" s="242">
        <v>-0.17599999999999999</v>
      </c>
      <c r="V22" s="241"/>
      <c r="W22" s="240">
        <v>-0.17599999999999999</v>
      </c>
      <c r="X22" s="239" t="e">
        <f ca="1">_xll.cfyql_SimpleQuoteSetValue(F22,W22/100,Trigger)</f>
        <v>#NAME?</v>
      </c>
      <c r="Y22" s="129"/>
    </row>
    <row r="23" spans="1:25" ht="11.25" customHeight="1" x14ac:dyDescent="0.2">
      <c r="A23" s="134"/>
      <c r="B23" s="86" t="str">
        <f t="shared" si="0"/>
        <v>2Y</v>
      </c>
      <c r="C23" s="87" t="s">
        <v>117</v>
      </c>
      <c r="D23" s="86"/>
      <c r="E23" s="85" t="str">
        <f t="shared" si="1"/>
        <v>EUREON2Y_Quote</v>
      </c>
      <c r="F23" s="84" t="e">
        <f ca="1">_xll.cfyql_SimpleQuote(Currency&amp;$C23&amp;$B23&amp;QuoteSuffix,,RateTickValue,Permanent,Trigger,ObjectOverwrite)</f>
        <v>#NAME?</v>
      </c>
      <c r="G23" s="83" t="e">
        <f ca="1">_xll.ohRangeRetrieveError(F23)</f>
        <v>#NAME?</v>
      </c>
      <c r="H23" s="36"/>
      <c r="J23" s="134"/>
      <c r="K23" s="245" t="s">
        <v>54</v>
      </c>
      <c r="L23" s="245" t="s">
        <v>135</v>
      </c>
      <c r="M23" s="245" t="s">
        <v>117</v>
      </c>
      <c r="N23" s="243" t="str">
        <f t="shared" si="2"/>
        <v>EUREON2Y</v>
      </c>
      <c r="O23" s="243" t="str">
        <f t="shared" si="3"/>
        <v>EUREON2Y=ICAP</v>
      </c>
      <c r="P23" s="240">
        <v>-0.20600000000000002</v>
      </c>
      <c r="Q23" s="240">
        <v>-0.13599999999999998</v>
      </c>
      <c r="R23" s="240">
        <f t="shared" si="4"/>
        <v>-0.17099999999999999</v>
      </c>
      <c r="S23" s="240">
        <f t="shared" si="5"/>
        <v>7.0000000000000062E-2</v>
      </c>
      <c r="T23" s="241"/>
      <c r="U23" s="242">
        <v>-0.17099999999999999</v>
      </c>
      <c r="V23" s="241"/>
      <c r="W23" s="240">
        <v>-0.17099999999999999</v>
      </c>
      <c r="X23" s="239" t="e">
        <f ca="1">_xll.cfyql_SimpleQuoteSetValue(F23,W23/100,Trigger)</f>
        <v>#NAME?</v>
      </c>
      <c r="Y23" s="129"/>
    </row>
    <row r="24" spans="1:25" ht="11.25" customHeight="1" x14ac:dyDescent="0.2">
      <c r="A24" s="134"/>
      <c r="B24" s="86" t="str">
        <f t="shared" si="0"/>
        <v>3Y</v>
      </c>
      <c r="C24" s="87" t="s">
        <v>117</v>
      </c>
      <c r="D24" s="86"/>
      <c r="E24" s="85" t="str">
        <f t="shared" si="1"/>
        <v>EUREON3Y_Quote</v>
      </c>
      <c r="F24" s="84" t="e">
        <f ca="1">_xll.cfyql_SimpleQuote(Currency&amp;$C24&amp;$B24&amp;QuoteSuffix,,RateTickValue,Permanent,Trigger,ObjectOverwrite)</f>
        <v>#NAME?</v>
      </c>
      <c r="G24" s="83" t="e">
        <f ca="1">_xll.ohRangeRetrieveError(F24)</f>
        <v>#NAME?</v>
      </c>
      <c r="H24" s="36"/>
      <c r="J24" s="134"/>
      <c r="K24" s="245" t="s">
        <v>53</v>
      </c>
      <c r="L24" s="245" t="s">
        <v>135</v>
      </c>
      <c r="M24" s="245" t="s">
        <v>117</v>
      </c>
      <c r="N24" s="243" t="str">
        <f t="shared" si="2"/>
        <v>EUREON3Y</v>
      </c>
      <c r="O24" s="243" t="str">
        <f t="shared" si="3"/>
        <v>EUREON3Y=ICAP</v>
      </c>
      <c r="P24" s="240">
        <v>-0.153</v>
      </c>
      <c r="Q24" s="240">
        <v>-8.3000000000000004E-2</v>
      </c>
      <c r="R24" s="240">
        <f t="shared" si="4"/>
        <v>-0.11799999999999999</v>
      </c>
      <c r="S24" s="240">
        <f t="shared" si="5"/>
        <v>7.0000000000000007E-2</v>
      </c>
      <c r="T24" s="241"/>
      <c r="U24" s="242">
        <v>-0.11799999999999999</v>
      </c>
      <c r="V24" s="241"/>
      <c r="W24" s="240">
        <v>-0.11799999999999999</v>
      </c>
      <c r="X24" s="239" t="e">
        <f ca="1">_xll.cfyql_SimpleQuoteSetValue(F24,W24/100,Trigger)</f>
        <v>#NAME?</v>
      </c>
      <c r="Y24" s="129"/>
    </row>
    <row r="25" spans="1:25" ht="11.25" customHeight="1" x14ac:dyDescent="0.2">
      <c r="A25" s="134"/>
      <c r="B25" s="86" t="str">
        <f t="shared" si="0"/>
        <v>4Y</v>
      </c>
      <c r="C25" s="87" t="s">
        <v>117</v>
      </c>
      <c r="D25" s="86"/>
      <c r="E25" s="85" t="str">
        <f t="shared" si="1"/>
        <v>EUREON4Y_Quote</v>
      </c>
      <c r="F25" s="84" t="e">
        <f ca="1">_xll.cfyql_SimpleQuote(Currency&amp;$C25&amp;$B25&amp;QuoteSuffix,,RateTickValue,Permanent,Trigger,ObjectOverwrite)</f>
        <v>#NAME?</v>
      </c>
      <c r="G25" s="83" t="e">
        <f ca="1">_xll.ohRangeRetrieveError(F25)</f>
        <v>#NAME?</v>
      </c>
      <c r="H25" s="36"/>
      <c r="J25" s="134"/>
      <c r="K25" s="245" t="s">
        <v>52</v>
      </c>
      <c r="L25" s="245" t="s">
        <v>135</v>
      </c>
      <c r="M25" s="245" t="s">
        <v>117</v>
      </c>
      <c r="N25" s="243" t="str">
        <f t="shared" si="2"/>
        <v>EUREON4Y</v>
      </c>
      <c r="O25" s="243" t="str">
        <f t="shared" si="3"/>
        <v>EUREON4Y=ICAP</v>
      </c>
      <c r="P25" s="240">
        <v>-6.3E-2</v>
      </c>
      <c r="Q25" s="240">
        <v>6.9999999999999993E-3</v>
      </c>
      <c r="R25" s="240">
        <f t="shared" si="4"/>
        <v>-2.8000000000000001E-2</v>
      </c>
      <c r="S25" s="240">
        <f t="shared" si="5"/>
        <v>7.0000000000000007E-2</v>
      </c>
      <c r="T25" s="241"/>
      <c r="U25" s="242">
        <v>-2.8000000000000001E-2</v>
      </c>
      <c r="V25" s="241"/>
      <c r="W25" s="240">
        <v>-2.8000000000000001E-2</v>
      </c>
      <c r="X25" s="239" t="e">
        <f ca="1">_xll.cfyql_SimpleQuoteSetValue(F25,W25/100,Trigger)</f>
        <v>#NAME?</v>
      </c>
      <c r="Y25" s="129"/>
    </row>
    <row r="26" spans="1:25" ht="11.25" customHeight="1" x14ac:dyDescent="0.2">
      <c r="A26" s="134"/>
      <c r="B26" s="86" t="str">
        <f t="shared" si="0"/>
        <v>5Y</v>
      </c>
      <c r="C26" s="87" t="s">
        <v>117</v>
      </c>
      <c r="D26" s="86"/>
      <c r="E26" s="85" t="str">
        <f t="shared" si="1"/>
        <v>EUREON5Y_Quote</v>
      </c>
      <c r="F26" s="84" t="e">
        <f ca="1">_xll.cfyql_SimpleQuote(Currency&amp;$C26&amp;$B26&amp;QuoteSuffix,,RateTickValue,Permanent,Trigger,ObjectOverwrite)</f>
        <v>#NAME?</v>
      </c>
      <c r="G26" s="83" t="e">
        <f ca="1">_xll.ohRangeRetrieveError(F26)</f>
        <v>#NAME?</v>
      </c>
      <c r="H26" s="36"/>
      <c r="J26" s="134"/>
      <c r="K26" s="245" t="s">
        <v>51</v>
      </c>
      <c r="L26" s="245" t="s">
        <v>135</v>
      </c>
      <c r="M26" s="245" t="s">
        <v>117</v>
      </c>
      <c r="N26" s="243" t="str">
        <f t="shared" si="2"/>
        <v>EUREON5Y</v>
      </c>
      <c r="O26" s="243" t="str">
        <f t="shared" si="3"/>
        <v>EUREON5Y=ICAP</v>
      </c>
      <c r="P26" s="240">
        <v>4.7E-2</v>
      </c>
      <c r="Q26" s="240">
        <v>0.11699999999999999</v>
      </c>
      <c r="R26" s="240">
        <f t="shared" si="4"/>
        <v>8.199999999999999E-2</v>
      </c>
      <c r="S26" s="240">
        <f t="shared" si="5"/>
        <v>6.9999999999999979E-2</v>
      </c>
      <c r="T26" s="241"/>
      <c r="U26" s="242">
        <v>8.199999999999999E-2</v>
      </c>
      <c r="V26" s="241"/>
      <c r="W26" s="240">
        <v>8.199999999999999E-2</v>
      </c>
      <c r="X26" s="239" t="e">
        <f ca="1">_xll.cfyql_SimpleQuoteSetValue(F26,W26/100,Trigger)</f>
        <v>#NAME?</v>
      </c>
      <c r="Y26" s="129"/>
    </row>
    <row r="27" spans="1:25" ht="11.25" customHeight="1" x14ac:dyDescent="0.2">
      <c r="A27" s="134"/>
      <c r="B27" s="86" t="str">
        <f t="shared" si="0"/>
        <v>6Y</v>
      </c>
      <c r="C27" s="87" t="s">
        <v>117</v>
      </c>
      <c r="D27" s="86"/>
      <c r="E27" s="85" t="str">
        <f t="shared" si="1"/>
        <v>EUREON6Y_Quote</v>
      </c>
      <c r="F27" s="84" t="e">
        <f ca="1">_xll.cfyql_SimpleQuote(Currency&amp;$C27&amp;$B27&amp;QuoteSuffix,,RateTickValue,Permanent,Trigger,ObjectOverwrite)</f>
        <v>#NAME?</v>
      </c>
      <c r="G27" s="83" t="e">
        <f ca="1">_xll.ohRangeRetrieveError(F27)</f>
        <v>#NAME?</v>
      </c>
      <c r="H27" s="36"/>
      <c r="J27" s="134"/>
      <c r="K27" s="245" t="s">
        <v>50</v>
      </c>
      <c r="L27" s="245" t="s">
        <v>135</v>
      </c>
      <c r="M27" s="245" t="s">
        <v>117</v>
      </c>
      <c r="N27" s="243" t="str">
        <f t="shared" si="2"/>
        <v>EUREON6Y</v>
      </c>
      <c r="O27" s="243" t="str">
        <f t="shared" si="3"/>
        <v>EUREON6Y=ICAP</v>
      </c>
      <c r="P27" s="240">
        <v>0.17799999999999999</v>
      </c>
      <c r="Q27" s="240">
        <v>0.248</v>
      </c>
      <c r="R27" s="240">
        <f t="shared" si="4"/>
        <v>0.21299999999999999</v>
      </c>
      <c r="S27" s="240">
        <f t="shared" si="5"/>
        <v>7.0000000000000007E-2</v>
      </c>
      <c r="T27" s="241"/>
      <c r="U27" s="242">
        <v>0.21299999999999999</v>
      </c>
      <c r="V27" s="241"/>
      <c r="W27" s="240">
        <v>0.21299999999999999</v>
      </c>
      <c r="X27" s="239" t="e">
        <f ca="1">_xll.cfyql_SimpleQuoteSetValue(F27,W27/100,Trigger)</f>
        <v>#NAME?</v>
      </c>
      <c r="Y27" s="129"/>
    </row>
    <row r="28" spans="1:25" ht="11.25" customHeight="1" x14ac:dyDescent="0.2">
      <c r="A28" s="134"/>
      <c r="B28" s="86" t="str">
        <f t="shared" si="0"/>
        <v>7Y</v>
      </c>
      <c r="C28" s="87" t="s">
        <v>117</v>
      </c>
      <c r="D28" s="86"/>
      <c r="E28" s="85" t="str">
        <f t="shared" si="1"/>
        <v>EUREON7Y_Quote</v>
      </c>
      <c r="F28" s="84" t="e">
        <f ca="1">_xll.cfyql_SimpleQuote(Currency&amp;$C28&amp;$B28&amp;QuoteSuffix,,RateTickValue,Permanent,Trigger,ObjectOverwrite)</f>
        <v>#NAME?</v>
      </c>
      <c r="G28" s="83" t="e">
        <f ca="1">_xll.ohRangeRetrieveError(F28)</f>
        <v>#NAME?</v>
      </c>
      <c r="H28" s="36"/>
      <c r="J28" s="134"/>
      <c r="K28" s="245" t="s">
        <v>49</v>
      </c>
      <c r="L28" s="245" t="s">
        <v>135</v>
      </c>
      <c r="M28" s="245" t="s">
        <v>117</v>
      </c>
      <c r="N28" s="243" t="str">
        <f t="shared" si="2"/>
        <v>EUREON7Y</v>
      </c>
      <c r="O28" s="243" t="str">
        <f t="shared" si="3"/>
        <v>EUREON7Y=ICAP</v>
      </c>
      <c r="P28" s="240">
        <v>0.312</v>
      </c>
      <c r="Q28" s="240">
        <v>0.38200000000000001</v>
      </c>
      <c r="R28" s="240">
        <f t="shared" si="4"/>
        <v>0.34699999999999998</v>
      </c>
      <c r="S28" s="240">
        <f t="shared" si="5"/>
        <v>6.9999999999999951E-2</v>
      </c>
      <c r="T28" s="241"/>
      <c r="U28" s="242">
        <v>0.34699999999999998</v>
      </c>
      <c r="V28" s="241"/>
      <c r="W28" s="240">
        <v>0.34699999999999998</v>
      </c>
      <c r="X28" s="239" t="e">
        <f ca="1">_xll.cfyql_SimpleQuoteSetValue(F28,W28/100,Trigger)</f>
        <v>#NAME?</v>
      </c>
      <c r="Y28" s="129"/>
    </row>
    <row r="29" spans="1:25" ht="11.25" customHeight="1" x14ac:dyDescent="0.2">
      <c r="A29" s="134"/>
      <c r="B29" s="86" t="str">
        <f t="shared" si="0"/>
        <v>8Y</v>
      </c>
      <c r="C29" s="87" t="s">
        <v>117</v>
      </c>
      <c r="D29" s="86"/>
      <c r="E29" s="85" t="str">
        <f t="shared" si="1"/>
        <v>EUREON8Y_Quote</v>
      </c>
      <c r="F29" s="84" t="e">
        <f ca="1">_xll.cfyql_SimpleQuote(Currency&amp;$C29&amp;$B29&amp;QuoteSuffix,,RateTickValue,Permanent,Trigger,ObjectOverwrite)</f>
        <v>#NAME?</v>
      </c>
      <c r="G29" s="83" t="e">
        <f ca="1">_xll.ohRangeRetrieveError(F29)</f>
        <v>#NAME?</v>
      </c>
      <c r="H29" s="36"/>
      <c r="J29" s="134"/>
      <c r="K29" s="245" t="s">
        <v>48</v>
      </c>
      <c r="L29" s="245" t="s">
        <v>135</v>
      </c>
      <c r="M29" s="245" t="s">
        <v>117</v>
      </c>
      <c r="N29" s="243" t="str">
        <f t="shared" si="2"/>
        <v>EUREON8Y</v>
      </c>
      <c r="O29" s="243" t="str">
        <f t="shared" si="3"/>
        <v>EUREON8Y=ICAP</v>
      </c>
      <c r="P29" s="240">
        <v>0.441</v>
      </c>
      <c r="Q29" s="240">
        <v>0.51100000000000001</v>
      </c>
      <c r="R29" s="240">
        <f t="shared" si="4"/>
        <v>0.47599999999999998</v>
      </c>
      <c r="S29" s="240">
        <f t="shared" si="5"/>
        <v>6.9999999999999951E-2</v>
      </c>
      <c r="T29" s="241"/>
      <c r="U29" s="242">
        <v>0.47599999999999998</v>
      </c>
      <c r="V29" s="241"/>
      <c r="W29" s="240">
        <v>0.47599999999999998</v>
      </c>
      <c r="X29" s="239" t="e">
        <f ca="1">_xll.cfyql_SimpleQuoteSetValue(F29,W29/100,Trigger)</f>
        <v>#NAME?</v>
      </c>
      <c r="Y29" s="129"/>
    </row>
    <row r="30" spans="1:25" ht="11.25" customHeight="1" x14ac:dyDescent="0.2">
      <c r="A30" s="134"/>
      <c r="B30" s="86" t="str">
        <f t="shared" si="0"/>
        <v>9Y</v>
      </c>
      <c r="C30" s="87" t="s">
        <v>117</v>
      </c>
      <c r="D30" s="86"/>
      <c r="E30" s="85" t="str">
        <f t="shared" si="1"/>
        <v>EUREON9Y_Quote</v>
      </c>
      <c r="F30" s="84" t="e">
        <f ca="1">_xll.cfyql_SimpleQuote(Currency&amp;$C30&amp;$B30&amp;QuoteSuffix,,RateTickValue,Permanent,Trigger,ObjectOverwrite)</f>
        <v>#NAME?</v>
      </c>
      <c r="G30" s="83" t="e">
        <f ca="1">_xll.ohRangeRetrieveError(F30)</f>
        <v>#NAME?</v>
      </c>
      <c r="H30" s="36"/>
      <c r="J30" s="134"/>
      <c r="K30" s="245" t="s">
        <v>47</v>
      </c>
      <c r="L30" s="245" t="s">
        <v>135</v>
      </c>
      <c r="M30" s="245" t="s">
        <v>117</v>
      </c>
      <c r="N30" s="243" t="str">
        <f t="shared" si="2"/>
        <v>EUREON9Y</v>
      </c>
      <c r="O30" s="243" t="str">
        <f t="shared" si="3"/>
        <v>EUREON9Y=ICAP</v>
      </c>
      <c r="P30" s="240">
        <v>0.56200000000000006</v>
      </c>
      <c r="Q30" s="240">
        <v>0.63200000000000001</v>
      </c>
      <c r="R30" s="240">
        <f t="shared" si="4"/>
        <v>0.59699999999999998</v>
      </c>
      <c r="S30" s="240">
        <f t="shared" si="5"/>
        <v>6.999999999999984E-2</v>
      </c>
      <c r="T30" s="241"/>
      <c r="U30" s="242">
        <v>0.59699999999999998</v>
      </c>
      <c r="V30" s="241"/>
      <c r="W30" s="240">
        <v>0.59699999999999998</v>
      </c>
      <c r="X30" s="239" t="e">
        <f ca="1">_xll.cfyql_SimpleQuoteSetValue(F30,W30/100,Trigger)</f>
        <v>#NAME?</v>
      </c>
      <c r="Y30" s="129"/>
    </row>
    <row r="31" spans="1:25" ht="11.25" customHeight="1" x14ac:dyDescent="0.2">
      <c r="A31" s="134"/>
      <c r="B31" s="86" t="str">
        <f t="shared" si="0"/>
        <v>10Y</v>
      </c>
      <c r="C31" s="87" t="s">
        <v>117</v>
      </c>
      <c r="D31" s="86"/>
      <c r="E31" s="85" t="str">
        <f t="shared" si="1"/>
        <v>EUREON10Y_Quote</v>
      </c>
      <c r="F31" s="84" t="e">
        <f ca="1">_xll.cfyql_SimpleQuote(Currency&amp;$C31&amp;$B31&amp;QuoteSuffix,,RateTickValue,Permanent,Trigger,ObjectOverwrite)</f>
        <v>#NAME?</v>
      </c>
      <c r="G31" s="83" t="e">
        <f ca="1">_xll.ohRangeRetrieveError(F31)</f>
        <v>#NAME?</v>
      </c>
      <c r="H31" s="36"/>
      <c r="J31" s="134"/>
      <c r="K31" s="245" t="s">
        <v>46</v>
      </c>
      <c r="L31" s="245" t="s">
        <v>135</v>
      </c>
      <c r="M31" s="245" t="s">
        <v>117</v>
      </c>
      <c r="N31" s="243" t="str">
        <f t="shared" si="2"/>
        <v>EUREON10Y</v>
      </c>
      <c r="O31" s="243" t="str">
        <f t="shared" si="3"/>
        <v>EUREON10Y=ICAP</v>
      </c>
      <c r="P31" s="240">
        <v>0.67</v>
      </c>
      <c r="Q31" s="240">
        <v>0.74</v>
      </c>
      <c r="R31" s="240">
        <f t="shared" si="4"/>
        <v>0.70500000000000007</v>
      </c>
      <c r="S31" s="240">
        <f t="shared" si="5"/>
        <v>7.0000000000000062E-2</v>
      </c>
      <c r="T31" s="241"/>
      <c r="U31" s="242">
        <v>0.70500000000000007</v>
      </c>
      <c r="V31" s="241"/>
      <c r="W31" s="240">
        <v>0.70500000000000007</v>
      </c>
      <c r="X31" s="239" t="e">
        <f ca="1">_xll.cfyql_SimpleQuoteSetValue(F31,W31/100,Trigger)</f>
        <v>#NAME?</v>
      </c>
      <c r="Y31" s="129"/>
    </row>
    <row r="32" spans="1:25" ht="11.25" customHeight="1" x14ac:dyDescent="0.2">
      <c r="A32" s="134"/>
      <c r="B32" s="86" t="str">
        <f t="shared" si="0"/>
        <v>11Y</v>
      </c>
      <c r="C32" s="87" t="s">
        <v>117</v>
      </c>
      <c r="D32" s="86"/>
      <c r="E32" s="85" t="str">
        <f t="shared" si="1"/>
        <v>EUREON11Y_Quote</v>
      </c>
      <c r="F32" s="84" t="e">
        <f ca="1">_xll.cfyql_SimpleQuote(Currency&amp;$C32&amp;$B32&amp;QuoteSuffix,,RateTickValue,Permanent,Trigger,ObjectOverwrite)</f>
        <v>#NAME?</v>
      </c>
      <c r="G32" s="83" t="e">
        <f ca="1">_xll.ohRangeRetrieveError(F32)</f>
        <v>#NAME?</v>
      </c>
      <c r="H32" s="36"/>
      <c r="J32" s="134"/>
      <c r="K32" s="245" t="s">
        <v>45</v>
      </c>
      <c r="L32" s="245" t="s">
        <v>135</v>
      </c>
      <c r="M32" s="245" t="s">
        <v>117</v>
      </c>
      <c r="N32" s="243" t="str">
        <f t="shared" si="2"/>
        <v>EUREON11Y</v>
      </c>
      <c r="O32" s="243" t="str">
        <f t="shared" si="3"/>
        <v>EUREON11Y=ICAP</v>
      </c>
      <c r="P32" s="240">
        <v>0.76900000000000002</v>
      </c>
      <c r="Q32" s="240">
        <v>0.83900000000000008</v>
      </c>
      <c r="R32" s="240">
        <f t="shared" si="4"/>
        <v>0.80400000000000005</v>
      </c>
      <c r="S32" s="240">
        <f t="shared" si="5"/>
        <v>7.0000000000000062E-2</v>
      </c>
      <c r="T32" s="241"/>
      <c r="U32" s="242">
        <v>0.80400000000000005</v>
      </c>
      <c r="V32" s="241"/>
      <c r="W32" s="240">
        <v>0.80400000000000005</v>
      </c>
      <c r="X32" s="239" t="e">
        <f ca="1">_xll.cfyql_SimpleQuoteSetValue(F32,W32/100,Trigger)</f>
        <v>#NAME?</v>
      </c>
      <c r="Y32" s="129"/>
    </row>
    <row r="33" spans="1:25" ht="11.25" customHeight="1" x14ac:dyDescent="0.2">
      <c r="A33" s="134"/>
      <c r="B33" s="86" t="str">
        <f t="shared" si="0"/>
        <v>12Y</v>
      </c>
      <c r="C33" s="87" t="s">
        <v>117</v>
      </c>
      <c r="D33" s="86"/>
      <c r="E33" s="85" t="str">
        <f t="shared" si="1"/>
        <v>EUREON12Y_Quote</v>
      </c>
      <c r="F33" s="84" t="e">
        <f ca="1">_xll.cfyql_SimpleQuote(Currency&amp;$C33&amp;$B33&amp;QuoteSuffix,,RateTickValue,Permanent,Trigger,ObjectOverwrite)</f>
        <v>#NAME?</v>
      </c>
      <c r="G33" s="83" t="e">
        <f ca="1">_xll.ohRangeRetrieveError(F33)</f>
        <v>#NAME?</v>
      </c>
      <c r="H33" s="36"/>
      <c r="J33" s="134"/>
      <c r="K33" s="245" t="s">
        <v>44</v>
      </c>
      <c r="L33" s="245" t="s">
        <v>135</v>
      </c>
      <c r="M33" s="245" t="s">
        <v>117</v>
      </c>
      <c r="N33" s="243" t="str">
        <f t="shared" si="2"/>
        <v>EUREON12Y</v>
      </c>
      <c r="O33" s="243" t="str">
        <f t="shared" si="3"/>
        <v>EUREON12Y=ICAP</v>
      </c>
      <c r="P33" s="240">
        <v>0.85699999999999998</v>
      </c>
      <c r="Q33" s="240">
        <v>0.92699999999999994</v>
      </c>
      <c r="R33" s="240">
        <f t="shared" si="4"/>
        <v>0.8919999999999999</v>
      </c>
      <c r="S33" s="240">
        <f t="shared" si="5"/>
        <v>6.999999999999984E-2</v>
      </c>
      <c r="T33" s="241"/>
      <c r="U33" s="242">
        <v>0.8919999999999999</v>
      </c>
      <c r="V33" s="241"/>
      <c r="W33" s="240">
        <v>0.8919999999999999</v>
      </c>
      <c r="X33" s="239" t="e">
        <f ca="1">_xll.cfyql_SimpleQuoteSetValue(F33,W33/100,Trigger)</f>
        <v>#NAME?</v>
      </c>
      <c r="Y33" s="129"/>
    </row>
    <row r="34" spans="1:25" ht="11.25" customHeight="1" x14ac:dyDescent="0.2">
      <c r="A34" s="134"/>
      <c r="B34" s="86" t="str">
        <f t="shared" si="0"/>
        <v>15Y</v>
      </c>
      <c r="C34" s="87" t="s">
        <v>117</v>
      </c>
      <c r="D34" s="86"/>
      <c r="E34" s="85" t="str">
        <f t="shared" si="1"/>
        <v>EUREON15Y_Quote</v>
      </c>
      <c r="F34" s="84" t="e">
        <f ca="1">_xll.cfyql_SimpleQuote(Currency&amp;$C34&amp;$B34&amp;QuoteSuffix,,RateTickValue,Permanent,Trigger,ObjectOverwrite)</f>
        <v>#NAME?</v>
      </c>
      <c r="G34" s="83" t="e">
        <f ca="1">_xll.ohRangeRetrieveError(F34)</f>
        <v>#NAME?</v>
      </c>
      <c r="H34" s="36"/>
      <c r="J34" s="134"/>
      <c r="K34" s="245" t="s">
        <v>41</v>
      </c>
      <c r="L34" s="245" t="s">
        <v>135</v>
      </c>
      <c r="M34" s="245" t="s">
        <v>117</v>
      </c>
      <c r="N34" s="243" t="str">
        <f t="shared" si="2"/>
        <v>EUREON15Y</v>
      </c>
      <c r="O34" s="243" t="str">
        <f t="shared" si="3"/>
        <v>EUREON15Y=ICAP</v>
      </c>
      <c r="P34" s="240">
        <v>1.0640000000000001</v>
      </c>
      <c r="Q34" s="240">
        <v>1.1339999999999999</v>
      </c>
      <c r="R34" s="240">
        <f t="shared" si="4"/>
        <v>1.099</v>
      </c>
      <c r="S34" s="240">
        <f t="shared" si="5"/>
        <v>6.999999999999984E-2</v>
      </c>
      <c r="T34" s="241"/>
      <c r="U34" s="242">
        <v>1.099</v>
      </c>
      <c r="V34" s="241"/>
      <c r="W34" s="240">
        <v>1.099</v>
      </c>
      <c r="X34" s="239" t="e">
        <f ca="1">_xll.cfyql_SimpleQuoteSetValue(F34,W34/100,Trigger)</f>
        <v>#NAME?</v>
      </c>
      <c r="Y34" s="129"/>
    </row>
    <row r="35" spans="1:25" ht="11.25" customHeight="1" x14ac:dyDescent="0.2">
      <c r="A35" s="134"/>
      <c r="B35" s="86" t="str">
        <f t="shared" si="0"/>
        <v>20Y</v>
      </c>
      <c r="C35" s="87" t="s">
        <v>117</v>
      </c>
      <c r="D35" s="86"/>
      <c r="E35" s="85" t="str">
        <f t="shared" si="1"/>
        <v>EUREON20Y_Quote</v>
      </c>
      <c r="F35" s="84" t="e">
        <f ca="1">_xll.cfyql_SimpleQuote(Currency&amp;$C35&amp;$B35&amp;QuoteSuffix,,RateTickValue,Permanent,Trigger,ObjectOverwrite)</f>
        <v>#NAME?</v>
      </c>
      <c r="G35" s="83" t="e">
        <f ca="1">_xll.ohRangeRetrieveError(F35)</f>
        <v>#NAME?</v>
      </c>
      <c r="H35" s="36"/>
      <c r="J35" s="134"/>
      <c r="K35" s="245" t="s">
        <v>36</v>
      </c>
      <c r="L35" s="245" t="s">
        <v>135</v>
      </c>
      <c r="M35" s="245" t="s">
        <v>117</v>
      </c>
      <c r="N35" s="243" t="str">
        <f t="shared" si="2"/>
        <v>EUREON20Y</v>
      </c>
      <c r="O35" s="243" t="str">
        <f t="shared" si="3"/>
        <v>EUREON20Y=ICAP</v>
      </c>
      <c r="P35" s="240">
        <v>1.246</v>
      </c>
      <c r="Q35" s="240">
        <v>1.3160000000000001</v>
      </c>
      <c r="R35" s="240">
        <f t="shared" si="4"/>
        <v>1.2810000000000001</v>
      </c>
      <c r="S35" s="240">
        <f t="shared" si="5"/>
        <v>7.0000000000000284E-2</v>
      </c>
      <c r="T35" s="241"/>
      <c r="U35" s="242">
        <v>1.2810000000000001</v>
      </c>
      <c r="V35" s="241"/>
      <c r="W35" s="240">
        <v>1.2810000000000001</v>
      </c>
      <c r="X35" s="239" t="e">
        <f ca="1">_xll.cfyql_SimpleQuoteSetValue(F35,W35/100,Trigger)</f>
        <v>#NAME?</v>
      </c>
      <c r="Y35" s="129"/>
    </row>
    <row r="36" spans="1:25" ht="11.25" customHeight="1" x14ac:dyDescent="0.2">
      <c r="A36" s="134"/>
      <c r="B36" s="86" t="str">
        <f t="shared" si="0"/>
        <v>25Y</v>
      </c>
      <c r="C36" s="87" t="s">
        <v>117</v>
      </c>
      <c r="D36" s="86"/>
      <c r="E36" s="85" t="str">
        <f t="shared" si="1"/>
        <v>EUREON25Y_Quote</v>
      </c>
      <c r="F36" s="84" t="e">
        <f ca="1">_xll.cfyql_SimpleQuote(Currency&amp;$C36&amp;$B36&amp;QuoteSuffix,,RateTickValue,Permanent,Trigger,ObjectOverwrite)</f>
        <v>#NAME?</v>
      </c>
      <c r="G36" s="83" t="e">
        <f ca="1">_xll.ohRangeRetrieveError(F36)</f>
        <v>#NAME?</v>
      </c>
      <c r="H36" s="36"/>
      <c r="J36" s="134"/>
      <c r="K36" s="245" t="s">
        <v>31</v>
      </c>
      <c r="L36" s="245" t="s">
        <v>135</v>
      </c>
      <c r="M36" s="245" t="s">
        <v>117</v>
      </c>
      <c r="N36" s="243" t="str">
        <f t="shared" si="2"/>
        <v>EUREON25Y</v>
      </c>
      <c r="O36" s="243" t="str">
        <f t="shared" si="3"/>
        <v>EUREON25Y=ICAP</v>
      </c>
      <c r="P36" s="240">
        <v>1.302</v>
      </c>
      <c r="Q36" s="240">
        <v>1.3719999999999999</v>
      </c>
      <c r="R36" s="240">
        <f t="shared" si="4"/>
        <v>1.337</v>
      </c>
      <c r="S36" s="240">
        <f t="shared" si="5"/>
        <v>6.999999999999984E-2</v>
      </c>
      <c r="T36" s="241"/>
      <c r="U36" s="242">
        <v>1.337</v>
      </c>
      <c r="V36" s="241"/>
      <c r="W36" s="240">
        <v>1.337</v>
      </c>
      <c r="X36" s="239" t="e">
        <f ca="1">_xll.cfyql_SimpleQuoteSetValue(F36,W36/100,Trigger)</f>
        <v>#NAME?</v>
      </c>
      <c r="Y36" s="129"/>
    </row>
    <row r="37" spans="1:25" ht="11.25" customHeight="1" x14ac:dyDescent="0.2">
      <c r="A37" s="134"/>
      <c r="B37" s="86" t="str">
        <f t="shared" si="0"/>
        <v>30Y</v>
      </c>
      <c r="C37" s="87" t="s">
        <v>117</v>
      </c>
      <c r="D37" s="86"/>
      <c r="E37" s="85" t="str">
        <f t="shared" si="1"/>
        <v>EUREON30Y_Quote</v>
      </c>
      <c r="F37" s="84" t="e">
        <f ca="1">_xll.cfyql_SimpleQuote(Currency&amp;$C37&amp;$B37&amp;QuoteSuffix,,RateTickValue,Permanent,Trigger,ObjectOverwrite)</f>
        <v>#NAME?</v>
      </c>
      <c r="G37" s="83" t="e">
        <f ca="1">_xll.ohRangeRetrieveError(F37)</f>
        <v>#NAME?</v>
      </c>
      <c r="H37" s="36"/>
      <c r="J37" s="134"/>
      <c r="K37" s="245" t="s">
        <v>26</v>
      </c>
      <c r="L37" s="245" t="s">
        <v>135</v>
      </c>
      <c r="M37" s="245" t="s">
        <v>117</v>
      </c>
      <c r="N37" s="243" t="str">
        <f t="shared" si="2"/>
        <v>EUREON30Y</v>
      </c>
      <c r="O37" s="243" t="str">
        <f t="shared" si="3"/>
        <v>EUREON30Y=ICAP</v>
      </c>
      <c r="P37" s="240">
        <v>1.321</v>
      </c>
      <c r="Q37" s="240">
        <v>1.391</v>
      </c>
      <c r="R37" s="240">
        <f t="shared" si="4"/>
        <v>1.3559999999999999</v>
      </c>
      <c r="S37" s="240">
        <f t="shared" si="5"/>
        <v>6.999999999999984E-2</v>
      </c>
      <c r="T37" s="241"/>
      <c r="U37" s="242">
        <v>1.3559999999999999</v>
      </c>
      <c r="V37" s="241"/>
      <c r="W37" s="240">
        <v>1.3559999999999999</v>
      </c>
      <c r="X37" s="239" t="e">
        <f ca="1">_xll.cfyql_SimpleQuoteSetValue(F37,W37/100,Trigger)</f>
        <v>#NAME?</v>
      </c>
      <c r="Y37" s="129"/>
    </row>
    <row r="38" spans="1:25" ht="11.25" customHeight="1" x14ac:dyDescent="0.2">
      <c r="A38" s="134"/>
      <c r="B38" s="86" t="str">
        <f t="shared" si="0"/>
        <v>40Y</v>
      </c>
      <c r="C38" s="87" t="s">
        <v>117</v>
      </c>
      <c r="D38" s="86"/>
      <c r="E38" s="85" t="str">
        <f t="shared" si="1"/>
        <v>EUREON40Y_Quote</v>
      </c>
      <c r="F38" s="84" t="e">
        <f ca="1">_xll.cfyql_SimpleQuote(Currency&amp;$C38&amp;$B38&amp;QuoteSuffix,,RateTickValue,Permanent,Trigger,ObjectOverwrite)</f>
        <v>#NAME?</v>
      </c>
      <c r="G38" s="83" t="e">
        <f ca="1">_xll.ohRangeRetrieveError(F38)</f>
        <v>#NAME?</v>
      </c>
      <c r="H38" s="36"/>
      <c r="J38" s="134"/>
      <c r="K38" s="245" t="s">
        <v>24</v>
      </c>
      <c r="L38" s="245" t="s">
        <v>135</v>
      </c>
      <c r="M38" s="245" t="s">
        <v>117</v>
      </c>
      <c r="N38" s="243" t="str">
        <f t="shared" si="2"/>
        <v>EUREON40Y</v>
      </c>
      <c r="O38" s="243" t="str">
        <f t="shared" si="3"/>
        <v>EUREON40Y=ICAP</v>
      </c>
      <c r="P38" s="240">
        <v>1.347</v>
      </c>
      <c r="Q38" s="240">
        <v>1.417</v>
      </c>
      <c r="R38" s="240">
        <f t="shared" si="4"/>
        <v>1.3820000000000001</v>
      </c>
      <c r="S38" s="240">
        <f t="shared" si="5"/>
        <v>7.0000000000000284E-2</v>
      </c>
      <c r="T38" s="241"/>
      <c r="U38" s="242">
        <v>1.3820000000000001</v>
      </c>
      <c r="V38" s="241"/>
      <c r="W38" s="240">
        <v>1.3820000000000001</v>
      </c>
      <c r="X38" s="239" t="e">
        <f ca="1">_xll.cfyql_SimpleQuoteSetValue(F38,W38/100,Trigger)</f>
        <v>#NAME?</v>
      </c>
      <c r="Y38" s="129"/>
    </row>
    <row r="39" spans="1:25" ht="11.25" customHeight="1" x14ac:dyDescent="0.2">
      <c r="A39" s="134"/>
      <c r="B39" s="86" t="str">
        <f t="shared" si="0"/>
        <v>50Y</v>
      </c>
      <c r="C39" s="87" t="s">
        <v>117</v>
      </c>
      <c r="D39" s="86"/>
      <c r="E39" s="85" t="str">
        <f t="shared" si="1"/>
        <v>EUREON50Y_Quote</v>
      </c>
      <c r="F39" s="84" t="e">
        <f ca="1">_xll.cfyql_SimpleQuote(Currency&amp;$C39&amp;$B39&amp;QuoteSuffix,,RateTickValue,Permanent,Trigger,ObjectOverwrite)</f>
        <v>#NAME?</v>
      </c>
      <c r="G39" s="83" t="e">
        <f ca="1">_xll.ohRangeRetrieveError(F39)</f>
        <v>#NAME?</v>
      </c>
      <c r="H39" s="36"/>
      <c r="J39" s="134"/>
      <c r="K39" s="245" t="s">
        <v>23</v>
      </c>
      <c r="L39" s="245" t="s">
        <v>135</v>
      </c>
      <c r="M39" s="245" t="s">
        <v>117</v>
      </c>
      <c r="N39" s="243" t="str">
        <f t="shared" si="2"/>
        <v>EUREON50Y</v>
      </c>
      <c r="O39" s="243" t="str">
        <f t="shared" si="3"/>
        <v>EUREON50Y=ICAP</v>
      </c>
      <c r="P39" s="240">
        <v>1.3169999999999999</v>
      </c>
      <c r="Q39" s="240">
        <v>1.387</v>
      </c>
      <c r="R39" s="240">
        <f t="shared" si="4"/>
        <v>1.3519999999999999</v>
      </c>
      <c r="S39" s="240">
        <f t="shared" si="5"/>
        <v>6.999999999999984E-2</v>
      </c>
      <c r="T39" s="241"/>
      <c r="U39" s="242">
        <v>1.3519999999999999</v>
      </c>
      <c r="V39" s="241"/>
      <c r="W39" s="240">
        <v>1.3519999999999999</v>
      </c>
      <c r="X39" s="239" t="e">
        <f ca="1">_xll.cfyql_SimpleQuoteSetValue(F39,W39/100,Trigger)</f>
        <v>#NAME?</v>
      </c>
      <c r="Y39" s="129"/>
    </row>
    <row r="40" spans="1:25" ht="11.25" customHeight="1" x14ac:dyDescent="0.2">
      <c r="A40" s="134"/>
      <c r="B40" s="86" t="str">
        <f t="shared" si="0"/>
        <v>60Y</v>
      </c>
      <c r="C40" s="87" t="s">
        <v>117</v>
      </c>
      <c r="D40" s="86"/>
      <c r="E40" s="85" t="str">
        <f t="shared" si="1"/>
        <v>EUREON60Y_Quote</v>
      </c>
      <c r="F40" s="84" t="e">
        <f ca="1">_xll.cfyql_SimpleQuote(Currency&amp;$C40&amp;$B40&amp;QuoteSuffix,,RateTickValue,Permanent,Trigger,ObjectOverwrite)</f>
        <v>#NAME?</v>
      </c>
      <c r="G40" s="83" t="e">
        <f ca="1">_xll.ohRangeRetrieveError(F40)</f>
        <v>#NAME?</v>
      </c>
      <c r="H40" s="36"/>
      <c r="J40" s="134"/>
      <c r="K40" s="244" t="s">
        <v>22</v>
      </c>
      <c r="L40" s="244" t="s">
        <v>135</v>
      </c>
      <c r="M40" s="244" t="s">
        <v>117</v>
      </c>
      <c r="N40" s="243" t="str">
        <f t="shared" si="2"/>
        <v>EUREON60Y</v>
      </c>
      <c r="O40" s="243" t="str">
        <f t="shared" si="3"/>
        <v>EUREON60Y=ICAP</v>
      </c>
      <c r="P40" s="240">
        <v>1.3120000000000001</v>
      </c>
      <c r="Q40" s="240">
        <v>1.3820000000000001</v>
      </c>
      <c r="R40" s="240">
        <f t="shared" si="4"/>
        <v>1.347</v>
      </c>
      <c r="S40" s="204">
        <f t="shared" si="5"/>
        <v>6.999999999999984E-2</v>
      </c>
      <c r="T40" s="241"/>
      <c r="U40" s="242">
        <v>1.347</v>
      </c>
      <c r="V40" s="241"/>
      <c r="W40" s="240">
        <v>1.347</v>
      </c>
      <c r="X40" s="239" t="e">
        <f ca="1">_xll.cfyql_SimpleQuoteSetValue(F40,W40/100,Trigger)</f>
        <v>#NAME?</v>
      </c>
      <c r="Y40" s="129"/>
    </row>
    <row r="41" spans="1:25" ht="11.25" customHeight="1" x14ac:dyDescent="0.2">
      <c r="A41" s="35"/>
      <c r="B41" s="171"/>
      <c r="C41" s="171"/>
      <c r="D41" s="171"/>
      <c r="E41" s="171"/>
      <c r="F41" s="171"/>
      <c r="G41" s="171"/>
      <c r="H41" s="32"/>
      <c r="J41" s="35"/>
      <c r="K41" s="171"/>
      <c r="L41" s="171"/>
      <c r="M41" s="171"/>
      <c r="N41" s="171"/>
      <c r="O41" s="171"/>
      <c r="P41" s="171"/>
      <c r="Q41" s="171"/>
      <c r="R41" s="171"/>
      <c r="S41" s="34"/>
      <c r="T41" s="34"/>
      <c r="U41" s="171"/>
      <c r="V41" s="34"/>
      <c r="W41" s="171"/>
      <c r="X41" s="171"/>
      <c r="Y41" s="128"/>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workbookViewId="0"/>
  </sheetViews>
  <sheetFormatPr defaultRowHeight="11.25" customHeight="1" outlineLevelCol="1" x14ac:dyDescent="0.2"/>
  <cols>
    <col min="1" max="1" width="2.7109375" style="1" customWidth="1" outlineLevel="1"/>
    <col min="2" max="2" width="17.28515625" style="1" bestFit="1" customWidth="1" outlineLevel="1"/>
    <col min="3" max="4" width="4" style="1" customWidth="1" outlineLevel="1"/>
    <col min="5" max="5" width="16.140625" style="1" bestFit="1" customWidth="1" outlineLevel="1"/>
    <col min="6" max="6" width="21.42578125" style="1" customWidth="1" outlineLevel="1"/>
    <col min="7" max="7" width="26.5703125" style="1" customWidth="1" outlineLevel="1"/>
    <col min="8" max="8" width="15.5703125" style="1" customWidth="1" outlineLevel="1"/>
    <col min="9" max="9" width="2.7109375" style="1" customWidth="1" outlineLevel="1"/>
    <col min="10"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7"/>
      <c r="B1" s="54"/>
      <c r="C1" s="54"/>
      <c r="D1" s="54"/>
      <c r="E1" s="54"/>
      <c r="F1" s="54"/>
      <c r="G1" s="54"/>
      <c r="H1" s="54"/>
      <c r="I1" s="53"/>
      <c r="K1" s="126" t="s">
        <v>166</v>
      </c>
      <c r="L1" s="122"/>
      <c r="M1" s="231"/>
      <c r="N1" s="231"/>
      <c r="O1" s="231"/>
      <c r="P1" s="231"/>
      <c r="Q1" s="231"/>
      <c r="R1" s="231"/>
      <c r="S1" s="231"/>
      <c r="T1" s="231"/>
      <c r="U1" s="231"/>
      <c r="V1" s="231"/>
      <c r="W1" s="231"/>
      <c r="X1" s="231"/>
      <c r="Y1" s="231"/>
      <c r="Z1" s="122"/>
      <c r="AA1" s="170"/>
    </row>
    <row r="2" spans="1:30" ht="11.25" customHeight="1" x14ac:dyDescent="0.25">
      <c r="A2" s="120"/>
      <c r="B2" s="109"/>
      <c r="C2" s="109"/>
      <c r="D2" s="109"/>
      <c r="E2" s="1384" t="e">
        <f ca="1">_xll.cfyql_CalendarAdvance("TARGET",EvaluationDate,"2D","Following",FALSE)</f>
        <v>#NAME?</v>
      </c>
      <c r="F2" s="109"/>
      <c r="G2" s="109"/>
      <c r="H2" s="109"/>
      <c r="I2" s="119"/>
      <c r="K2" s="112"/>
      <c r="L2" s="110"/>
      <c r="M2" s="110"/>
      <c r="N2" s="110"/>
      <c r="O2" s="110"/>
      <c r="P2" s="118" t="str">
        <f>VLOOKUP(K1,AreaTable,2,FALSE)</f>
        <v>ICAP</v>
      </c>
      <c r="Q2" s="110"/>
      <c r="R2" s="110"/>
      <c r="S2" s="110"/>
      <c r="T2" s="110"/>
      <c r="U2" s="110"/>
      <c r="V2" s="111"/>
      <c r="W2" s="111"/>
      <c r="X2" s="111"/>
      <c r="Y2" s="111"/>
      <c r="Z2" s="117" t="e">
        <f ca="1">_xll.ohTrigger(Z5:Z16)</f>
        <v>#NAME?</v>
      </c>
      <c r="AA2" s="36"/>
      <c r="AC2" s="1360" t="s">
        <v>529</v>
      </c>
      <c r="AD2" s="1363" t="e">
        <f ca="1">_xll.cfyql_Trigger('General Settings'!Trigger)</f>
        <v>#NAME?</v>
      </c>
    </row>
    <row r="3" spans="1:30" ht="11.25" customHeight="1" thickBot="1" x14ac:dyDescent="0.3">
      <c r="A3" s="116"/>
      <c r="B3" s="115"/>
      <c r="C3" s="115"/>
      <c r="D3" s="115"/>
      <c r="E3" s="114"/>
      <c r="F3" s="114"/>
      <c r="G3" s="109"/>
      <c r="H3" s="109"/>
      <c r="I3" s="113"/>
      <c r="K3" s="134"/>
      <c r="L3" s="111"/>
      <c r="M3" s="110"/>
      <c r="N3" s="110"/>
      <c r="O3" s="110"/>
      <c r="P3" s="110"/>
      <c r="Q3" s="110"/>
      <c r="R3" s="110"/>
      <c r="S3" s="110"/>
      <c r="T3" s="110"/>
      <c r="U3" s="110"/>
      <c r="V3" s="111"/>
      <c r="W3" s="111"/>
      <c r="X3" s="111"/>
      <c r="Y3" s="110"/>
      <c r="Z3" s="229"/>
      <c r="AA3" s="129"/>
      <c r="AC3" s="1361" t="s">
        <v>530</v>
      </c>
      <c r="AD3" s="1364" t="e">
        <f ca="1">_xll.cfyql_Trigger(Z5:Z16)</f>
        <v>#NAME?</v>
      </c>
    </row>
    <row r="4" spans="1:30" s="238"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8"/>
      <c r="W4" s="103" t="s">
        <v>78</v>
      </c>
      <c r="X4" s="178"/>
      <c r="Y4" s="103" t="s">
        <v>77</v>
      </c>
      <c r="Z4" s="103" t="s">
        <v>76</v>
      </c>
      <c r="AA4" s="100"/>
    </row>
    <row r="5" spans="1:30" ht="11.25" customHeight="1" x14ac:dyDescent="0.2">
      <c r="A5" s="71"/>
      <c r="B5" s="1386" t="e">
        <f ca="1">_xll.cfyql_ECBdate(E5,,Trigger)</f>
        <v>#NAME?</v>
      </c>
      <c r="C5" s="237" t="str">
        <f t="shared" ref="C5:C16" si="0">M5</f>
        <v>ECB</v>
      </c>
      <c r="D5" s="236" t="str">
        <f t="shared" ref="D5:D16" si="1">N5</f>
        <v>OIS</v>
      </c>
      <c r="E5" s="1377" t="e">
        <f ca="1">_xll.cfyql_ECBnextCode($E$2,Trigger)</f>
        <v>#NAME?</v>
      </c>
      <c r="F5" s="1389" t="e">
        <f ca="1">Currency&amp;$C5&amp;$D5&amp;$E5&amp;QuoteSuffix</f>
        <v>#NAME?</v>
      </c>
      <c r="G5" s="1385" t="e">
        <f ca="1">_xll.cfyql_SimpleQuote(Currency&amp;$C5&amp;$D5&amp;$E5&amp;QuoteSuffix,0,RateTickValue,Permanent,Trigger,ObjectOverwrite)</f>
        <v>#NAME?</v>
      </c>
      <c r="H5" s="94" t="e">
        <f ca="1">_xll.ohRangeRetrieveError(G5)</f>
        <v>#NAME?</v>
      </c>
      <c r="I5" s="36"/>
      <c r="J5" s="30"/>
      <c r="K5" s="134"/>
      <c r="L5" s="227" t="s">
        <v>164</v>
      </c>
      <c r="M5" s="227" t="s">
        <v>146</v>
      </c>
      <c r="N5" s="227" t="s">
        <v>135</v>
      </c>
      <c r="O5" s="89" t="str">
        <f t="shared" ref="O5:O16" si="2">Currency&amp;$M5&amp;$N5&amp;$L5</f>
        <v>EURECBOISM1</v>
      </c>
      <c r="P5" s="225" t="str">
        <f t="array" ref="P5:P16">Instruments&amp;"="&amp;VLOOKUP($P$2,ContributorTable,2,FALSE)</f>
        <v>EURECBOISM1=ICAP</v>
      </c>
      <c r="Q5" s="89">
        <v>-0.16999999999999998</v>
      </c>
      <c r="R5" s="89">
        <v>-0.12</v>
      </c>
      <c r="S5" s="224" t="s">
        <v>163</v>
      </c>
      <c r="T5" s="89">
        <f t="shared" ref="T5:T16" si="3">IF(ISERROR(AVERAGE(Q5,R5)),#NUM!,AVERAGE(Q5,R5))</f>
        <v>-0.14499999999999999</v>
      </c>
      <c r="U5" s="78">
        <f t="shared" ref="U5:U16" si="4">(T5-Q5)*2</f>
        <v>4.9999999999999989E-2</v>
      </c>
      <c r="V5" s="111"/>
      <c r="W5" s="78">
        <v>-0.14499999999999999</v>
      </c>
      <c r="X5" s="111"/>
      <c r="Y5" s="78">
        <f t="array" ref="Y5:Y16">QuoteStatic</f>
        <v>-0.14499999999999999</v>
      </c>
      <c r="Z5" s="221" t="e">
        <f ca="1">_xll.cfyql_SimpleQuoteSetValue(G5,$Y5/100,Trigger)</f>
        <v>#NAME?</v>
      </c>
      <c r="AA5" s="129"/>
    </row>
    <row r="6" spans="1:30" ht="11.25" customHeight="1" x14ac:dyDescent="0.2">
      <c r="A6" s="71"/>
      <c r="B6" s="1387" t="e">
        <f ca="1">_xll.cfyql_ECBdate(E6,,Trigger)</f>
        <v>#NAME?</v>
      </c>
      <c r="C6" s="86" t="str">
        <f t="shared" si="0"/>
        <v>ECB</v>
      </c>
      <c r="D6" s="87" t="str">
        <f t="shared" si="1"/>
        <v>OIS</v>
      </c>
      <c r="E6" s="1378" t="e">
        <f ca="1">_xll.cfyql_ECBnextCode(B5,Trigger)</f>
        <v>#NAME?</v>
      </c>
      <c r="F6" s="85" t="e">
        <f t="shared" ref="F6:F16" ca="1" si="5">Currency&amp;$C6&amp;$D6&amp;$E6&amp;QuoteSuffix</f>
        <v>#NAME?</v>
      </c>
      <c r="G6" s="84" t="e">
        <f ca="1">_xll.cfyql_SimpleQuote(Currency&amp;$C6&amp;$D6&amp;$E6&amp;QuoteSuffix,0,RateTickValue,Permanent,Trigger,ObjectOverwrite)</f>
        <v>#NAME?</v>
      </c>
      <c r="H6" s="83" t="e">
        <f ca="1">_xll.ohRangeRetrieveError(G6)</f>
        <v>#NAME?</v>
      </c>
      <c r="I6" s="36"/>
      <c r="J6" s="30"/>
      <c r="K6" s="134"/>
      <c r="L6" s="218" t="s">
        <v>162</v>
      </c>
      <c r="M6" s="218" t="s">
        <v>146</v>
      </c>
      <c r="N6" s="218" t="s">
        <v>135</v>
      </c>
      <c r="O6" s="78" t="str">
        <f t="shared" si="2"/>
        <v>EURECBOISM2</v>
      </c>
      <c r="P6" s="185" t="str">
        <v>EURECBOISM2=ICAP</v>
      </c>
      <c r="Q6" s="78">
        <v>-0.17799999999999999</v>
      </c>
      <c r="R6" s="78">
        <v>-0.128</v>
      </c>
      <c r="S6" s="222" t="s">
        <v>139</v>
      </c>
      <c r="T6" s="78">
        <f t="shared" si="3"/>
        <v>-0.153</v>
      </c>
      <c r="U6" s="78">
        <f t="shared" si="4"/>
        <v>4.9999999999999989E-2</v>
      </c>
      <c r="V6" s="111"/>
      <c r="W6" s="78">
        <v>-0.153</v>
      </c>
      <c r="X6" s="111"/>
      <c r="Y6" s="78">
        <v>-0.153</v>
      </c>
      <c r="Z6" s="221" t="e">
        <f ca="1">_xll.cfyql_SimpleQuoteSetValue(G6,$Y6/100,Trigger)</f>
        <v>#NAME?</v>
      </c>
      <c r="AA6" s="129"/>
    </row>
    <row r="7" spans="1:30" ht="11.25" customHeight="1" x14ac:dyDescent="0.2">
      <c r="A7" s="71"/>
      <c r="B7" s="1387" t="e">
        <f ca="1">_xll.cfyql_ECBdate(E7,,Trigger)</f>
        <v>#NAME?</v>
      </c>
      <c r="C7" s="86" t="str">
        <f t="shared" si="0"/>
        <v>ECB</v>
      </c>
      <c r="D7" s="87" t="str">
        <f t="shared" si="1"/>
        <v>OIS</v>
      </c>
      <c r="E7" s="1378" t="e">
        <f ca="1">_xll.cfyql_ECBnextCode(B6,Trigger)</f>
        <v>#NAME?</v>
      </c>
      <c r="F7" s="85" t="e">
        <f t="shared" ca="1" si="5"/>
        <v>#NAME?</v>
      </c>
      <c r="G7" s="84" t="e">
        <f ca="1">_xll.cfyql_SimpleQuote(Currency&amp;$C7&amp;$D7&amp;$E7&amp;QuoteSuffix,0,RateTickValue,Permanent,Trigger,ObjectOverwrite)</f>
        <v>#NAME?</v>
      </c>
      <c r="H7" s="83" t="e">
        <f ca="1">_xll.ohRangeRetrieveError(G7)</f>
        <v>#NAME?</v>
      </c>
      <c r="I7" s="36"/>
      <c r="J7" s="30"/>
      <c r="K7" s="134"/>
      <c r="L7" s="218" t="s">
        <v>161</v>
      </c>
      <c r="M7" s="218" t="s">
        <v>146</v>
      </c>
      <c r="N7" s="218" t="s">
        <v>135</v>
      </c>
      <c r="O7" s="78" t="str">
        <f t="shared" si="2"/>
        <v>EURECBOISM3</v>
      </c>
      <c r="P7" s="185" t="str">
        <v>EURECBOISM3=ICAP</v>
      </c>
      <c r="Q7" s="78">
        <v>-0.193</v>
      </c>
      <c r="R7" s="78">
        <v>-0.14299999999999999</v>
      </c>
      <c r="S7" s="222" t="s">
        <v>160</v>
      </c>
      <c r="T7" s="78">
        <f t="shared" si="3"/>
        <v>-0.16799999999999998</v>
      </c>
      <c r="U7" s="78">
        <f t="shared" si="4"/>
        <v>5.0000000000000044E-2</v>
      </c>
      <c r="V7" s="111"/>
      <c r="W7" s="78">
        <v>-0.16799999999999998</v>
      </c>
      <c r="X7" s="111"/>
      <c r="Y7" s="78">
        <v>-0.16799999999999998</v>
      </c>
      <c r="Z7" s="221" t="e">
        <f ca="1">_xll.cfyql_SimpleQuoteSetValue(G7,$Y7/100,Trigger)</f>
        <v>#NAME?</v>
      </c>
      <c r="AA7" s="129"/>
    </row>
    <row r="8" spans="1:30" ht="11.25" customHeight="1" x14ac:dyDescent="0.2">
      <c r="A8" s="134"/>
      <c r="B8" s="1387" t="e">
        <f ca="1">_xll.cfyql_ECBdate(E8,,Trigger)</f>
        <v>#NAME?</v>
      </c>
      <c r="C8" s="86" t="str">
        <f t="shared" si="0"/>
        <v>ECB</v>
      </c>
      <c r="D8" s="87" t="str">
        <f t="shared" si="1"/>
        <v>OIS</v>
      </c>
      <c r="E8" s="1378" t="e">
        <f ca="1">_xll.cfyql_ECBnextCode(B7,Trigger)</f>
        <v>#NAME?</v>
      </c>
      <c r="F8" s="85" t="e">
        <f t="shared" ca="1" si="5"/>
        <v>#NAME?</v>
      </c>
      <c r="G8" s="84" t="e">
        <f ca="1">_xll.cfyql_SimpleQuote(Currency&amp;$C8&amp;$D8&amp;$E8&amp;QuoteSuffix,0,RateTickValue,Permanent,Trigger,ObjectOverwrite)</f>
        <v>#NAME?</v>
      </c>
      <c r="H8" s="83" t="e">
        <f ca="1">_xll.ohRangeRetrieveError(G8)</f>
        <v>#NAME?</v>
      </c>
      <c r="I8" s="36"/>
      <c r="J8" s="30"/>
      <c r="K8" s="134"/>
      <c r="L8" s="218" t="s">
        <v>159</v>
      </c>
      <c r="M8" s="218" t="s">
        <v>146</v>
      </c>
      <c r="N8" s="218" t="s">
        <v>135</v>
      </c>
      <c r="O8" s="78" t="str">
        <f t="shared" si="2"/>
        <v>EURECBOISM4</v>
      </c>
      <c r="P8" s="185" t="str">
        <v>EURECBOISM4=ICAP</v>
      </c>
      <c r="Q8" s="78">
        <v>-0.20099999999999998</v>
      </c>
      <c r="R8" s="78">
        <v>-0.151</v>
      </c>
      <c r="S8" s="222" t="s">
        <v>138</v>
      </c>
      <c r="T8" s="78">
        <f t="shared" si="3"/>
        <v>-0.17599999999999999</v>
      </c>
      <c r="U8" s="78">
        <f t="shared" si="4"/>
        <v>4.9999999999999989E-2</v>
      </c>
      <c r="V8" s="111"/>
      <c r="W8" s="78">
        <v>-0.17599999999999999</v>
      </c>
      <c r="X8" s="111"/>
      <c r="Y8" s="78">
        <v>-0.17599999999999999</v>
      </c>
      <c r="Z8" s="221" t="e">
        <f ca="1">_xll.cfyql_SimpleQuoteSetValue(G8,$Y8/100,Trigger)</f>
        <v>#NAME?</v>
      </c>
      <c r="AA8" s="129"/>
    </row>
    <row r="9" spans="1:30" ht="11.25" customHeight="1" x14ac:dyDescent="0.2">
      <c r="A9" s="134"/>
      <c r="B9" s="1387" t="e">
        <f ca="1">_xll.cfyql_ECBdate(E9,,Trigger)</f>
        <v>#NAME?</v>
      </c>
      <c r="C9" s="86" t="str">
        <f t="shared" si="0"/>
        <v>ECB</v>
      </c>
      <c r="D9" s="87" t="str">
        <f t="shared" si="1"/>
        <v>OIS</v>
      </c>
      <c r="E9" s="1378" t="e">
        <f ca="1">_xll.cfyql_ECBnextCode(B8,Trigger)</f>
        <v>#NAME?</v>
      </c>
      <c r="F9" s="85" t="e">
        <f t="shared" ca="1" si="5"/>
        <v>#NAME?</v>
      </c>
      <c r="G9" s="84" t="e">
        <f ca="1">_xll.cfyql_SimpleQuote(Currency&amp;$C9&amp;$D9&amp;$E9&amp;QuoteSuffix,0,RateTickValue,Permanent,Trigger,ObjectOverwrite)</f>
        <v>#NAME?</v>
      </c>
      <c r="H9" s="83" t="e">
        <f ca="1">_xll.ohRangeRetrieveError(G9)</f>
        <v>#NAME?</v>
      </c>
      <c r="I9" s="36"/>
      <c r="J9" s="30"/>
      <c r="K9" s="134"/>
      <c r="L9" s="218" t="s">
        <v>158</v>
      </c>
      <c r="M9" s="218" t="s">
        <v>146</v>
      </c>
      <c r="N9" s="218" t="s">
        <v>135</v>
      </c>
      <c r="O9" s="78" t="str">
        <f t="shared" si="2"/>
        <v>EURECBOISM5</v>
      </c>
      <c r="P9" s="185" t="str">
        <v>EURECBOISM5=ICAP</v>
      </c>
      <c r="Q9" s="78">
        <v>-0.20899999999999999</v>
      </c>
      <c r="R9" s="78">
        <v>-0.159</v>
      </c>
      <c r="S9" s="222" t="s">
        <v>157</v>
      </c>
      <c r="T9" s="78">
        <f t="shared" si="3"/>
        <v>-0.184</v>
      </c>
      <c r="U9" s="78">
        <f t="shared" si="4"/>
        <v>4.9999999999999989E-2</v>
      </c>
      <c r="V9" s="111"/>
      <c r="W9" s="78">
        <v>-0.184</v>
      </c>
      <c r="X9" s="111"/>
      <c r="Y9" s="78">
        <v>-0.184</v>
      </c>
      <c r="Z9" s="221" t="e">
        <f ca="1">_xll.cfyql_SimpleQuoteSetValue(G9,$Y9/100,Trigger)</f>
        <v>#NAME?</v>
      </c>
      <c r="AA9" s="129"/>
    </row>
    <row r="10" spans="1:30" ht="11.25" customHeight="1" x14ac:dyDescent="0.2">
      <c r="A10" s="134"/>
      <c r="B10" s="1387" t="e">
        <f ca="1">_xll.cfyql_ECBdate(E10,,Trigger)</f>
        <v>#NAME?</v>
      </c>
      <c r="C10" s="86" t="str">
        <f t="shared" si="0"/>
        <v>ECB</v>
      </c>
      <c r="D10" s="87" t="str">
        <f t="shared" si="1"/>
        <v>OIS</v>
      </c>
      <c r="E10" s="1378" t="e">
        <f ca="1">_xll.cfyql_ECBnextCode(B9,Trigger)</f>
        <v>#NAME?</v>
      </c>
      <c r="F10" s="85" t="e">
        <f t="shared" ca="1" si="5"/>
        <v>#NAME?</v>
      </c>
      <c r="G10" s="84" t="e">
        <f ca="1">_xll.cfyql_SimpleQuote(Currency&amp;$C10&amp;$D10&amp;$E10&amp;QuoteSuffix,0,RateTickValue,Permanent,Trigger,ObjectOverwrite)</f>
        <v>#NAME?</v>
      </c>
      <c r="H10" s="83" t="e">
        <f ca="1">_xll.ohRangeRetrieveError(G10)</f>
        <v>#NAME?</v>
      </c>
      <c r="I10" s="36"/>
      <c r="J10" s="30"/>
      <c r="K10" s="134"/>
      <c r="L10" s="218" t="s">
        <v>156</v>
      </c>
      <c r="M10" s="218" t="s">
        <v>146</v>
      </c>
      <c r="N10" s="218" t="s">
        <v>135</v>
      </c>
      <c r="O10" s="78" t="str">
        <f t="shared" si="2"/>
        <v>EURECBOISM6</v>
      </c>
      <c r="P10" s="185" t="str">
        <v>EURECBOISM6=ICAP</v>
      </c>
      <c r="Q10" s="78">
        <v>-0.217</v>
      </c>
      <c r="R10" s="78">
        <v>-0.16699999999999998</v>
      </c>
      <c r="S10" s="222" t="s">
        <v>137</v>
      </c>
      <c r="T10" s="78">
        <f t="shared" si="3"/>
        <v>-0.192</v>
      </c>
      <c r="U10" s="78">
        <f t="shared" si="4"/>
        <v>4.9999999999999989E-2</v>
      </c>
      <c r="V10" s="111"/>
      <c r="W10" s="78">
        <v>-0.192</v>
      </c>
      <c r="X10" s="111"/>
      <c r="Y10" s="78">
        <v>-0.192</v>
      </c>
      <c r="Z10" s="221" t="e">
        <f ca="1">_xll.cfyql_SimpleQuoteSetValue(G10,$Y10/100,Trigger)</f>
        <v>#NAME?</v>
      </c>
      <c r="AA10" s="129"/>
    </row>
    <row r="11" spans="1:30" ht="11.25" customHeight="1" x14ac:dyDescent="0.2">
      <c r="A11" s="134"/>
      <c r="B11" s="1387" t="e">
        <f ca="1">_xll.cfyql_ECBdate(E11,,Trigger)</f>
        <v>#NAME?</v>
      </c>
      <c r="C11" s="86" t="str">
        <f t="shared" si="0"/>
        <v>ECB</v>
      </c>
      <c r="D11" s="87" t="str">
        <f t="shared" si="1"/>
        <v>OIS</v>
      </c>
      <c r="E11" s="1378" t="e">
        <f ca="1">_xll.cfyql_ECBnextCode(B10,Trigger)</f>
        <v>#NAME?</v>
      </c>
      <c r="F11" s="85" t="e">
        <f t="shared" ca="1" si="5"/>
        <v>#NAME?</v>
      </c>
      <c r="G11" s="84" t="e">
        <f ca="1">_xll.cfyql_SimpleQuote(Currency&amp;$C11&amp;$D11&amp;$E11&amp;QuoteSuffix,0,RateTickValue,Permanent,Trigger,ObjectOverwrite)</f>
        <v>#NAME?</v>
      </c>
      <c r="H11" s="83" t="e">
        <f ca="1">_xll.ohRangeRetrieveError(G11)</f>
        <v>#NAME?</v>
      </c>
      <c r="I11" s="36"/>
      <c r="J11" s="30"/>
      <c r="K11" s="134"/>
      <c r="L11" s="218" t="s">
        <v>155</v>
      </c>
      <c r="M11" s="218" t="s">
        <v>146</v>
      </c>
      <c r="N11" s="218" t="s">
        <v>135</v>
      </c>
      <c r="O11" s="78" t="str">
        <f t="shared" si="2"/>
        <v>EURECBOISM7</v>
      </c>
      <c r="P11" s="185" t="str">
        <v>EURECBOISM7=ICAP</v>
      </c>
      <c r="Q11" s="78">
        <v>-0.221</v>
      </c>
      <c r="R11" s="78">
        <v>-0.17099999999999999</v>
      </c>
      <c r="S11" s="222" t="s">
        <v>154</v>
      </c>
      <c r="T11" s="78">
        <f t="shared" si="3"/>
        <v>-0.19600000000000001</v>
      </c>
      <c r="U11" s="78">
        <f t="shared" si="4"/>
        <v>4.9999999999999989E-2</v>
      </c>
      <c r="V11" s="111"/>
      <c r="W11" s="78">
        <v>-0.19600000000000001</v>
      </c>
      <c r="X11" s="111"/>
      <c r="Y11" s="78">
        <v>-0.19600000000000001</v>
      </c>
      <c r="Z11" s="221" t="e">
        <f ca="1">_xll.cfyql_SimpleQuoteSetValue(G11,$Y11/100,Trigger)</f>
        <v>#NAME?</v>
      </c>
      <c r="AA11" s="129"/>
    </row>
    <row r="12" spans="1:30" ht="11.25" customHeight="1" x14ac:dyDescent="0.2">
      <c r="A12" s="134"/>
      <c r="B12" s="1387" t="e">
        <f ca="1">_xll.cfyql_ECBdate(E12,,Trigger)</f>
        <v>#NAME?</v>
      </c>
      <c r="C12" s="86" t="str">
        <f t="shared" si="0"/>
        <v>ECB</v>
      </c>
      <c r="D12" s="87" t="str">
        <f t="shared" si="1"/>
        <v>OIS</v>
      </c>
      <c r="E12" s="1378" t="e">
        <f ca="1">_xll.cfyql_ECBnextCode(B11,Trigger)</f>
        <v>#NAME?</v>
      </c>
      <c r="F12" s="85" t="e">
        <f t="shared" ca="1" si="5"/>
        <v>#NAME?</v>
      </c>
      <c r="G12" s="84" t="e">
        <f ca="1">_xll.cfyql_SimpleQuote(Currency&amp;$C12&amp;$D12&amp;$E12&amp;QuoteSuffix,0,RateTickValue,Permanent,Trigger,ObjectOverwrite)</f>
        <v>#NAME?</v>
      </c>
      <c r="H12" s="83" t="e">
        <f ca="1">_xll.ohRangeRetrieveError(G12)</f>
        <v>#NAME?</v>
      </c>
      <c r="I12" s="36"/>
      <c r="J12" s="30"/>
      <c r="K12" s="134"/>
      <c r="L12" s="218" t="s">
        <v>153</v>
      </c>
      <c r="M12" s="218" t="s">
        <v>146</v>
      </c>
      <c r="N12" s="218" t="s">
        <v>135</v>
      </c>
      <c r="O12" s="78" t="str">
        <f t="shared" si="2"/>
        <v>EURECBOISM8</v>
      </c>
      <c r="P12" s="185" t="str">
        <v>EURECBOISM8=ICAP</v>
      </c>
      <c r="Q12" s="78">
        <v>-0.22400000000000003</v>
      </c>
      <c r="R12" s="78">
        <v>-0.17399999999999999</v>
      </c>
      <c r="S12" s="222" t="s">
        <v>136</v>
      </c>
      <c r="T12" s="78">
        <f t="shared" si="3"/>
        <v>-0.19900000000000001</v>
      </c>
      <c r="U12" s="78">
        <f t="shared" si="4"/>
        <v>5.0000000000000044E-2</v>
      </c>
      <c r="V12" s="111"/>
      <c r="W12" s="78">
        <v>-0.19900000000000001</v>
      </c>
      <c r="X12" s="111"/>
      <c r="Y12" s="78">
        <v>-0.19900000000000001</v>
      </c>
      <c r="Z12" s="221" t="e">
        <f ca="1">_xll.cfyql_SimpleQuoteSetValue(G12,$Y12/100,Trigger)</f>
        <v>#NAME?</v>
      </c>
      <c r="AA12" s="129"/>
    </row>
    <row r="13" spans="1:30" ht="11.25" customHeight="1" x14ac:dyDescent="0.2">
      <c r="A13" s="235"/>
      <c r="B13" s="1387" t="e">
        <f ca="1">_xll.cfyql_ECBdate(E13,,Trigger)</f>
        <v>#NAME?</v>
      </c>
      <c r="C13" s="86" t="str">
        <f t="shared" si="0"/>
        <v>ECB</v>
      </c>
      <c r="D13" s="87" t="str">
        <f t="shared" si="1"/>
        <v>OIS</v>
      </c>
      <c r="E13" s="1378" t="e">
        <f ca="1">_xll.cfyql_ECBnextCode(B12,Trigger)</f>
        <v>#NAME?</v>
      </c>
      <c r="F13" s="85" t="e">
        <f t="shared" ca="1" si="5"/>
        <v>#NAME?</v>
      </c>
      <c r="G13" s="84" t="e">
        <f ca="1">_xll.cfyql_SimpleQuote(Currency&amp;$C13&amp;$D13&amp;$E13&amp;QuoteSuffix,0,RateTickValue,Permanent,Trigger,ObjectOverwrite)</f>
        <v>#NAME?</v>
      </c>
      <c r="H13" s="83" t="e">
        <f ca="1">_xll.ohRangeRetrieveError(G13)</f>
        <v>#NAME?</v>
      </c>
      <c r="I13" s="36"/>
      <c r="J13" s="30"/>
      <c r="K13" s="134"/>
      <c r="L13" s="218" t="s">
        <v>152</v>
      </c>
      <c r="M13" s="218" t="s">
        <v>146</v>
      </c>
      <c r="N13" s="218" t="s">
        <v>135</v>
      </c>
      <c r="O13" s="78" t="str">
        <f t="shared" si="2"/>
        <v>EURECBOISM9</v>
      </c>
      <c r="P13" s="185" t="str">
        <v>EURECBOISM9=ICAP</v>
      </c>
      <c r="Q13" s="78">
        <v>-0.221</v>
      </c>
      <c r="R13" s="78">
        <v>-0.17099999999999999</v>
      </c>
      <c r="S13" s="222" t="s">
        <v>151</v>
      </c>
      <c r="T13" s="78">
        <f t="shared" si="3"/>
        <v>-0.19600000000000001</v>
      </c>
      <c r="U13" s="78">
        <f t="shared" si="4"/>
        <v>4.9999999999999989E-2</v>
      </c>
      <c r="V13" s="111"/>
      <c r="W13" s="78">
        <v>-0.19600000000000001</v>
      </c>
      <c r="X13" s="111"/>
      <c r="Y13" s="78">
        <v>-0.19600000000000001</v>
      </c>
      <c r="Z13" s="221" t="e">
        <f ca="1">_xll.cfyql_SimpleQuoteSetValue(G13,$Y13/100,Trigger)</f>
        <v>#NAME?</v>
      </c>
      <c r="AA13" s="129"/>
    </row>
    <row r="14" spans="1:30" ht="11.25" customHeight="1" x14ac:dyDescent="0.2">
      <c r="A14" s="235"/>
      <c r="B14" s="1387" t="e">
        <f ca="1">_xll.cfyql_ECBdate(E14,,Trigger)</f>
        <v>#NAME?</v>
      </c>
      <c r="C14" s="86" t="str">
        <f t="shared" si="0"/>
        <v>ECB</v>
      </c>
      <c r="D14" s="87" t="str">
        <f t="shared" si="1"/>
        <v>OIS</v>
      </c>
      <c r="E14" s="1378" t="e">
        <f ca="1">_xll.cfyql_ECBnextCode(B13,Trigger)</f>
        <v>#NAME?</v>
      </c>
      <c r="F14" s="85" t="e">
        <f t="shared" ca="1" si="5"/>
        <v>#NAME?</v>
      </c>
      <c r="G14" s="84" t="e">
        <f ca="1">_xll.cfyql_SimpleQuote(Currency&amp;$C14&amp;$D14&amp;$E14&amp;QuoteSuffix,0,RateTickValue,Permanent,Trigger,ObjectOverwrite)</f>
        <v>#NAME?</v>
      </c>
      <c r="H14" s="83" t="e">
        <f ca="1">_xll.ohRangeRetrieveError(G14)</f>
        <v>#NAME?</v>
      </c>
      <c r="I14" s="36" t="s">
        <v>148</v>
      </c>
      <c r="J14" s="30"/>
      <c r="K14" s="134"/>
      <c r="L14" s="218" t="s">
        <v>150</v>
      </c>
      <c r="M14" s="218" t="s">
        <v>146</v>
      </c>
      <c r="N14" s="218" t="s">
        <v>135</v>
      </c>
      <c r="O14" s="78" t="str">
        <f t="shared" si="2"/>
        <v>EURECBOISM10</v>
      </c>
      <c r="P14" s="185" t="str">
        <v>EURECBOISM10=ICAP</v>
      </c>
      <c r="Q14" s="78" t="s">
        <v>109</v>
      </c>
      <c r="R14" s="78" t="s">
        <v>109</v>
      </c>
      <c r="S14" s="218" t="s">
        <v>109</v>
      </c>
      <c r="T14" s="78" t="e">
        <f t="shared" si="3"/>
        <v>#NUM!</v>
      </c>
      <c r="U14" s="78" t="e">
        <f t="shared" si="4"/>
        <v>#NUM!</v>
      </c>
      <c r="V14" s="111"/>
      <c r="W14" s="78" t="e">
        <v>#NUM!</v>
      </c>
      <c r="X14" s="111"/>
      <c r="Y14" s="78" t="e">
        <v>#NUM!</v>
      </c>
      <c r="Z14" s="221" t="e">
        <f ca="1">_xll.cfyql_SimpleQuoteSetValue(G14,$Y14/100,Trigger)</f>
        <v>#NAME?</v>
      </c>
      <c r="AA14" s="129"/>
    </row>
    <row r="15" spans="1:30" ht="11.25" customHeight="1" x14ac:dyDescent="0.2">
      <c r="A15" s="235"/>
      <c r="B15" s="1387" t="e">
        <f ca="1">_xll.cfyql_ECBdate(E15,,Trigger)</f>
        <v>#NAME?</v>
      </c>
      <c r="C15" s="86" t="str">
        <f t="shared" si="0"/>
        <v>ECB</v>
      </c>
      <c r="D15" s="87" t="str">
        <f t="shared" si="1"/>
        <v>OIS</v>
      </c>
      <c r="E15" s="1378" t="e">
        <f ca="1">_xll.cfyql_ECBnextCode(B14,Trigger)</f>
        <v>#NAME?</v>
      </c>
      <c r="F15" s="85" t="e">
        <f t="shared" ca="1" si="5"/>
        <v>#NAME?</v>
      </c>
      <c r="G15" s="84" t="e">
        <f ca="1">_xll.cfyql_SimpleQuote(Currency&amp;$C15&amp;$D15&amp;$E15&amp;QuoteSuffix,0,RateTickValue,Permanent,Trigger,ObjectOverwrite)</f>
        <v>#NAME?</v>
      </c>
      <c r="H15" s="83" t="e">
        <f ca="1">_xll.ohRangeRetrieveError(G15)</f>
        <v>#NAME?</v>
      </c>
      <c r="I15" s="36" t="s">
        <v>148</v>
      </c>
      <c r="J15" s="30"/>
      <c r="K15" s="134"/>
      <c r="L15" s="218" t="s">
        <v>149</v>
      </c>
      <c r="M15" s="218" t="s">
        <v>146</v>
      </c>
      <c r="N15" s="218" t="s">
        <v>135</v>
      </c>
      <c r="O15" s="78" t="str">
        <f t="shared" si="2"/>
        <v>EURECBOISM11</v>
      </c>
      <c r="P15" s="185" t="str">
        <v>EURECBOISM11=ICAP</v>
      </c>
      <c r="Q15" s="78" t="s">
        <v>109</v>
      </c>
      <c r="R15" s="78" t="s">
        <v>109</v>
      </c>
      <c r="S15" s="218" t="s">
        <v>109</v>
      </c>
      <c r="T15" s="78" t="e">
        <f t="shared" si="3"/>
        <v>#NUM!</v>
      </c>
      <c r="U15" s="78" t="e">
        <f t="shared" si="4"/>
        <v>#NUM!</v>
      </c>
      <c r="V15" s="111"/>
      <c r="W15" s="78" t="e">
        <v>#NUM!</v>
      </c>
      <c r="X15" s="111"/>
      <c r="Y15" s="78" t="e">
        <v>#NUM!</v>
      </c>
      <c r="Z15" s="221" t="e">
        <f ca="1">_xll.cfyql_SimpleQuoteSetValue(G15,$Y15/100,Trigger)</f>
        <v>#NAME?</v>
      </c>
      <c r="AA15" s="129"/>
    </row>
    <row r="16" spans="1:30" ht="11.25" customHeight="1" x14ac:dyDescent="0.2">
      <c r="A16" s="235"/>
      <c r="B16" s="1388" t="e">
        <f ca="1">_xll.cfyql_ECBdate(E16,,Trigger)</f>
        <v>#NAME?</v>
      </c>
      <c r="C16" s="75" t="str">
        <f t="shared" si="0"/>
        <v>ECB</v>
      </c>
      <c r="D16" s="76" t="str">
        <f t="shared" si="1"/>
        <v>OIS</v>
      </c>
      <c r="E16" s="1379" t="e">
        <f ca="1">_xll.cfyql_ECBnextCode(B15,Trigger)</f>
        <v>#NAME?</v>
      </c>
      <c r="F16" s="74" t="e">
        <f t="shared" ca="1" si="5"/>
        <v>#NAME?</v>
      </c>
      <c r="G16" s="73" t="e">
        <f ca="1">_xll.cfyql_SimpleQuote(Currency&amp;$C16&amp;$D16&amp;$E16&amp;QuoteSuffix,0,RateTickValue,Permanent,Trigger,ObjectOverwrite)</f>
        <v>#NAME?</v>
      </c>
      <c r="H16" s="72" t="e">
        <f ca="1">_xll.ohRangeRetrieveError(G16)</f>
        <v>#NAME?</v>
      </c>
      <c r="I16" s="36" t="s">
        <v>148</v>
      </c>
      <c r="J16" s="30"/>
      <c r="K16" s="134"/>
      <c r="L16" s="218" t="s">
        <v>147</v>
      </c>
      <c r="M16" s="218" t="s">
        <v>146</v>
      </c>
      <c r="N16" s="218" t="s">
        <v>135</v>
      </c>
      <c r="O16" s="78" t="str">
        <f t="shared" si="2"/>
        <v>EURECBOISM12</v>
      </c>
      <c r="P16" s="185" t="str">
        <v>EURECBOISM12=ICAP</v>
      </c>
      <c r="Q16" s="78" t="s">
        <v>109</v>
      </c>
      <c r="R16" s="78" t="s">
        <v>109</v>
      </c>
      <c r="S16" s="218" t="s">
        <v>109</v>
      </c>
      <c r="T16" s="78" t="e">
        <f t="shared" si="3"/>
        <v>#NUM!</v>
      </c>
      <c r="U16" s="65" t="e">
        <f t="shared" si="4"/>
        <v>#NUM!</v>
      </c>
      <c r="V16" s="111"/>
      <c r="W16" s="65" t="e">
        <v>#NUM!</v>
      </c>
      <c r="X16" s="111"/>
      <c r="Y16" s="65" t="e">
        <v>#NUM!</v>
      </c>
      <c r="Z16" s="216" t="e">
        <f ca="1">_xll.cfyql_SimpleQuoteSetValue(G16,$Y16/100,Trigger)</f>
        <v>#NAME?</v>
      </c>
      <c r="AA16" s="129"/>
    </row>
    <row r="17" spans="1:27" ht="11.25" customHeight="1" x14ac:dyDescent="0.2">
      <c r="A17" s="234"/>
      <c r="B17" s="233"/>
      <c r="C17" s="214"/>
      <c r="D17" s="214"/>
      <c r="E17" s="214"/>
      <c r="F17" s="214"/>
      <c r="G17" s="214"/>
      <c r="H17" s="214"/>
      <c r="I17" s="32"/>
      <c r="J17" s="30"/>
      <c r="K17" s="35"/>
      <c r="L17" s="171"/>
      <c r="M17" s="171"/>
      <c r="N17" s="171"/>
      <c r="O17" s="171"/>
      <c r="P17" s="171"/>
      <c r="Q17" s="171"/>
      <c r="R17" s="171"/>
      <c r="S17" s="171"/>
      <c r="T17" s="171"/>
      <c r="U17" s="34"/>
      <c r="V17" s="34"/>
      <c r="W17" s="34"/>
      <c r="X17" s="34"/>
      <c r="Y17" s="34"/>
      <c r="Z17" s="34"/>
      <c r="AA17" s="128"/>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workbookViewId="0"/>
  </sheetViews>
  <sheetFormatPr defaultRowHeight="11.25" customHeight="1" outlineLevelCol="1" x14ac:dyDescent="0.2"/>
  <cols>
    <col min="1" max="1" width="2.7109375" style="1" customWidth="1" outlineLevel="1"/>
    <col min="2" max="3" width="4" style="1" customWidth="1" outlineLevel="1"/>
    <col min="4" max="4" width="7" style="1" bestFit="1" customWidth="1" outlineLevel="1"/>
    <col min="5" max="7" width="21.42578125" style="1" customWidth="1" outlineLevel="1"/>
    <col min="8" max="8" width="20.28515625" style="1" customWidth="1" outlineLevel="1"/>
    <col min="9" max="9" width="32.85546875" style="1" customWidth="1" outlineLevel="1"/>
    <col min="10" max="10" width="2.7109375" style="1" customWidth="1" outlineLevel="1"/>
    <col min="11"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7"/>
      <c r="B1" s="54"/>
      <c r="C1" s="54"/>
      <c r="D1" s="54"/>
      <c r="E1" s="54"/>
      <c r="F1" s="54"/>
      <c r="G1" s="54"/>
      <c r="H1" s="54"/>
      <c r="I1" s="54"/>
      <c r="J1" s="53"/>
      <c r="L1" s="232" t="s">
        <v>145</v>
      </c>
      <c r="M1" s="231"/>
      <c r="N1" s="231"/>
      <c r="O1" s="231"/>
      <c r="P1" s="231"/>
      <c r="Q1" s="231"/>
      <c r="R1" s="231"/>
      <c r="S1" s="231"/>
      <c r="T1" s="231"/>
      <c r="U1" s="231"/>
      <c r="V1" s="231"/>
      <c r="W1" s="231"/>
      <c r="X1" s="231"/>
      <c r="Y1" s="231"/>
      <c r="Z1" s="231"/>
      <c r="AA1" s="231"/>
      <c r="AB1" s="230"/>
    </row>
    <row r="2" spans="1:31" ht="11.25" customHeight="1" x14ac:dyDescent="0.25">
      <c r="A2" s="120"/>
      <c r="B2" s="109"/>
      <c r="C2" s="109"/>
      <c r="D2" s="109"/>
      <c r="E2" s="109"/>
      <c r="F2" s="109"/>
      <c r="G2" s="109"/>
      <c r="H2" s="109"/>
      <c r="I2" s="109"/>
      <c r="J2" s="119"/>
      <c r="L2" s="112"/>
      <c r="M2" s="110"/>
      <c r="N2" s="110"/>
      <c r="O2" s="110"/>
      <c r="P2" s="110"/>
      <c r="Q2" s="118" t="str">
        <f>VLOOKUP(L1,AreaTable,2,FALSE)</f>
        <v>ICAP</v>
      </c>
      <c r="R2" s="110"/>
      <c r="S2" s="110"/>
      <c r="T2" s="110"/>
      <c r="U2" s="110"/>
      <c r="V2" s="110"/>
      <c r="W2" s="111"/>
      <c r="X2" s="111"/>
      <c r="Y2" s="111"/>
      <c r="Z2" s="111"/>
      <c r="AA2" s="117" t="e">
        <f ca="1">_xll.ohTrigger(AA5:AA9)</f>
        <v>#NAME?</v>
      </c>
      <c r="AB2" s="36"/>
      <c r="AD2" s="1360" t="s">
        <v>529</v>
      </c>
      <c r="AE2" s="1363" t="e">
        <f ca="1">_xll.cfyql_Trigger('General Settings'!Trigger)</f>
        <v>#NAME?</v>
      </c>
    </row>
    <row r="3" spans="1:31" ht="11.25" customHeight="1" thickBot="1" x14ac:dyDescent="0.3">
      <c r="A3" s="116"/>
      <c r="B3" s="115"/>
      <c r="C3" s="115"/>
      <c r="D3" s="115"/>
      <c r="E3" s="114"/>
      <c r="F3" s="114" t="s">
        <v>127</v>
      </c>
      <c r="G3" s="114"/>
      <c r="H3" s="114"/>
      <c r="I3" s="109"/>
      <c r="J3" s="113"/>
      <c r="L3" s="134"/>
      <c r="M3" s="111"/>
      <c r="N3" s="110"/>
      <c r="O3" s="110"/>
      <c r="P3" s="110"/>
      <c r="Q3" s="110"/>
      <c r="R3" s="110"/>
      <c r="S3" s="110"/>
      <c r="T3" s="110"/>
      <c r="U3" s="110"/>
      <c r="V3" s="110"/>
      <c r="W3" s="111"/>
      <c r="X3" s="111"/>
      <c r="Y3" s="111"/>
      <c r="Z3" s="110"/>
      <c r="AA3" s="229"/>
      <c r="AB3" s="129"/>
      <c r="AD3" s="1361" t="s">
        <v>530</v>
      </c>
      <c r="AE3" s="1371" t="e">
        <f ca="1">_xll.cfyql_Trigger(AA5:AA9)</f>
        <v>#NAME?</v>
      </c>
    </row>
    <row r="4" spans="1:31" ht="21" customHeight="1" x14ac:dyDescent="0.2">
      <c r="A4" s="112"/>
      <c r="B4" s="52"/>
      <c r="C4" s="52"/>
      <c r="D4" s="107" t="s">
        <v>144</v>
      </c>
      <c r="E4" s="107" t="s">
        <v>91</v>
      </c>
      <c r="F4" s="52" t="s">
        <v>143</v>
      </c>
      <c r="G4" s="52" t="s">
        <v>142</v>
      </c>
      <c r="H4" s="52" t="s">
        <v>141</v>
      </c>
      <c r="I4" s="149"/>
      <c r="J4" s="36"/>
      <c r="L4" s="134"/>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29"/>
    </row>
    <row r="5" spans="1:31" ht="11.25" customHeight="1" x14ac:dyDescent="0.2">
      <c r="A5" s="71"/>
      <c r="B5" s="228"/>
      <c r="C5" s="97" t="s">
        <v>135</v>
      </c>
      <c r="D5" s="98" t="e">
        <f ca="1">_xll.cfyql_IMMnextCode(EvaluationDate,,Trigger)</f>
        <v>#NAME?</v>
      </c>
      <c r="E5" s="97" t="e">
        <f ca="1">Currency&amp;$B5&amp;$C5&amp;$D5&amp;QuoteSuffix</f>
        <v>#NAME?</v>
      </c>
      <c r="F5" s="95" t="e">
        <f ca="1">Currency&amp;"FUT"&amp;$F$3&amp;D5&amp;QuoteSuffix</f>
        <v>#NAME?</v>
      </c>
      <c r="G5" s="95" t="e">
        <f ca="1">_xll.cfyql_SimpleQuote(Currency&amp;N5&amp;O5&amp;M5&amp;QuoteSuffix,,RateTickValue,Permanent,Trigger,ObjectOverwrite)</f>
        <v>#NAME?</v>
      </c>
      <c r="H5" s="95" t="e">
        <f ca="1">_xll.cfyql_CompositeQuote(Currency&amp;$B5&amp;$C5&amp;$D5&amp;QuoteSuffix,F5,G5,"+",Permanent,ISERROR(Futures3M!$F$5:$F$46),ObjectOverwrite)</f>
        <v>#NAME?</v>
      </c>
      <c r="I5" s="94" t="e">
        <f ca="1">_xll.ohRangeRetrieveError(H5)</f>
        <v>#NAME?</v>
      </c>
      <c r="J5" s="36"/>
      <c r="K5" s="30"/>
      <c r="L5" s="134"/>
      <c r="M5" s="227" t="s">
        <v>134</v>
      </c>
      <c r="N5" s="227" t="s">
        <v>133</v>
      </c>
      <c r="O5" s="226">
        <v>1</v>
      </c>
      <c r="P5" s="89" t="str">
        <f>Currency&amp;$N5&amp;$O5&amp;$M5</f>
        <v>EURF1SP</v>
      </c>
      <c r="Q5" s="225" t="str">
        <f t="array" ref="Q5:Q9">Instruments&amp;"="&amp;VLOOKUP($Q$2,ContributorTable,2,FALSE)</f>
        <v>EURF1SP=ICAP</v>
      </c>
      <c r="R5" s="89">
        <v>8.5</v>
      </c>
      <c r="S5" s="89">
        <v>13.5</v>
      </c>
      <c r="T5" s="224" t="s">
        <v>139</v>
      </c>
      <c r="U5" s="89">
        <f>IF(ISERROR(AVERAGE(R5,S5)),#NUM!,AVERAGE(R5,S5))</f>
        <v>11</v>
      </c>
      <c r="V5" s="78">
        <f>(U5-R5)*2</f>
        <v>5</v>
      </c>
      <c r="W5" s="111"/>
      <c r="X5" s="78">
        <v>11</v>
      </c>
      <c r="Y5" s="111"/>
      <c r="Z5" s="218">
        <f t="array" ref="Z5:Z9">QuoteStatic</f>
        <v>11</v>
      </c>
      <c r="AA5" s="221" t="e">
        <f ca="1">_xll.cfyql_SimpleQuoteSetValue(G5,Z5/100,Trigger)</f>
        <v>#NAME?</v>
      </c>
      <c r="AB5" s="129"/>
    </row>
    <row r="6" spans="1:31" ht="11.25" customHeight="1" x14ac:dyDescent="0.2">
      <c r="A6" s="71"/>
      <c r="B6" s="223"/>
      <c r="C6" s="86" t="s">
        <v>135</v>
      </c>
      <c r="D6" s="87" t="e">
        <f ca="1">_xll.cfyql_IMMnextCode(D5,,Trigger)</f>
        <v>#NAME?</v>
      </c>
      <c r="E6" s="86" t="e">
        <f ca="1">Currency&amp;$B6&amp;$C6&amp;$D6&amp;QuoteSuffix</f>
        <v>#NAME?</v>
      </c>
      <c r="F6" s="84" t="e">
        <f ca="1">Currency&amp;"FUT"&amp;$F$3&amp;D6&amp;QuoteSuffix</f>
        <v>#NAME?</v>
      </c>
      <c r="G6" s="84" t="e">
        <f ca="1">_xll.cfyql_SimpleQuote(Currency&amp;N6&amp;O6&amp;M6&amp;QuoteSuffix,,RateTickValue,Permanent,Trigger,ObjectOverwrite)</f>
        <v>#NAME?</v>
      </c>
      <c r="H6" s="84" t="e">
        <f ca="1">_xll.cfyql_CompositeQuote(Currency&amp;$B6&amp;$C6&amp;$D6&amp;QuoteSuffix,F6,G6,"+",Permanent,ISERROR(Futures3M!$F$5:$F$46),ObjectOverwrite)</f>
        <v>#NAME?</v>
      </c>
      <c r="I6" s="83" t="e">
        <f ca="1">_xll.ohRangeRetrieveError(H6)</f>
        <v>#NAME?</v>
      </c>
      <c r="J6" s="36"/>
      <c r="K6" s="30"/>
      <c r="L6" s="134"/>
      <c r="M6" s="218" t="s">
        <v>134</v>
      </c>
      <c r="N6" s="218" t="s">
        <v>133</v>
      </c>
      <c r="O6" s="219">
        <v>2</v>
      </c>
      <c r="P6" s="78" t="str">
        <f>Currency&amp;$N6&amp;$O6&amp;$M6</f>
        <v>EURF2SP</v>
      </c>
      <c r="Q6" s="185" t="str">
        <v>EURF2SP=ICAP</v>
      </c>
      <c r="R6" s="78">
        <v>9.6999999999999993</v>
      </c>
      <c r="S6" s="78">
        <v>14.7</v>
      </c>
      <c r="T6" s="222" t="s">
        <v>138</v>
      </c>
      <c r="U6" s="78">
        <f>IF(ISERROR(AVERAGE(R6,S6)),#NUM!,AVERAGE(R6,S6))</f>
        <v>12.2</v>
      </c>
      <c r="V6" s="78">
        <f>(U6-R6)*2</f>
        <v>5</v>
      </c>
      <c r="W6" s="111"/>
      <c r="X6" s="78">
        <v>12.2</v>
      </c>
      <c r="Y6" s="111"/>
      <c r="Z6" s="218">
        <v>12.2</v>
      </c>
      <c r="AA6" s="221" t="e">
        <f ca="1">_xll.cfyql_SimpleQuoteSetValue(G6,Z6/100,Trigger)</f>
        <v>#NAME?</v>
      </c>
      <c r="AB6" s="129"/>
    </row>
    <row r="7" spans="1:31" ht="11.25" customHeight="1" x14ac:dyDescent="0.2">
      <c r="A7" s="71"/>
      <c r="B7" s="223"/>
      <c r="C7" s="86" t="s">
        <v>135</v>
      </c>
      <c r="D7" s="87" t="e">
        <f ca="1">_xll.cfyql_IMMnextCode(D6,,Trigger)</f>
        <v>#NAME?</v>
      </c>
      <c r="E7" s="86" t="e">
        <f ca="1">Currency&amp;$B7&amp;$C7&amp;$D7&amp;QuoteSuffix</f>
        <v>#NAME?</v>
      </c>
      <c r="F7" s="84" t="e">
        <f ca="1">Currency&amp;"FUT"&amp;$F$3&amp;D7&amp;QuoteSuffix</f>
        <v>#NAME?</v>
      </c>
      <c r="G7" s="84" t="e">
        <f ca="1">_xll.cfyql_SimpleQuote(Currency&amp;N7&amp;O7&amp;M7&amp;QuoteSuffix,,RateTickValue,Permanent,Trigger,ObjectOverwrite)</f>
        <v>#NAME?</v>
      </c>
      <c r="H7" s="84" t="e">
        <f ca="1">_xll.cfyql_CompositeQuote(Currency&amp;$B7&amp;$C7&amp;$D7&amp;QuoteSuffix,F7,G7,"+",Permanent,ISERROR(Futures3M!$F$5:$F$46),ObjectOverwrite)</f>
        <v>#NAME?</v>
      </c>
      <c r="I7" s="83" t="e">
        <f ca="1">_xll.ohRangeRetrieveError(H7)</f>
        <v>#NAME?</v>
      </c>
      <c r="J7" s="36"/>
      <c r="K7" s="30"/>
      <c r="L7" s="134"/>
      <c r="M7" s="218" t="s">
        <v>134</v>
      </c>
      <c r="N7" s="218" t="s">
        <v>133</v>
      </c>
      <c r="O7" s="219">
        <v>3</v>
      </c>
      <c r="P7" s="78" t="str">
        <f>Currency&amp;$N7&amp;$O7&amp;$M7</f>
        <v>EURF3SP</v>
      </c>
      <c r="Q7" s="185" t="str">
        <v>EURF3SP=ICAP</v>
      </c>
      <c r="R7" s="78">
        <v>10.4</v>
      </c>
      <c r="S7" s="78">
        <v>15.4</v>
      </c>
      <c r="T7" s="222" t="s">
        <v>137</v>
      </c>
      <c r="U7" s="78">
        <f>IF(ISERROR(AVERAGE(R7,S7)),#NUM!,AVERAGE(R7,S7))</f>
        <v>12.9</v>
      </c>
      <c r="V7" s="78">
        <f>(U7-R7)*2</f>
        <v>5</v>
      </c>
      <c r="W7" s="111"/>
      <c r="X7" s="78">
        <v>12.9</v>
      </c>
      <c r="Y7" s="111"/>
      <c r="Z7" s="218">
        <v>12.9</v>
      </c>
      <c r="AA7" s="221" t="e">
        <f ca="1">_xll.cfyql_SimpleQuoteSetValue(G7,Z7/100,Trigger)</f>
        <v>#NAME?</v>
      </c>
      <c r="AB7" s="129"/>
    </row>
    <row r="8" spans="1:31" ht="11.25" customHeight="1" x14ac:dyDescent="0.2">
      <c r="A8" s="134"/>
      <c r="B8" s="223"/>
      <c r="C8" s="86" t="s">
        <v>135</v>
      </c>
      <c r="D8" s="87" t="e">
        <f ca="1">_xll.cfyql_IMMnextCode(D7,,Trigger)</f>
        <v>#NAME?</v>
      </c>
      <c r="E8" s="86" t="e">
        <f ca="1">Currency&amp;$B8&amp;$C8&amp;$D8&amp;QuoteSuffix</f>
        <v>#NAME?</v>
      </c>
      <c r="F8" s="84" t="e">
        <f ca="1">Currency&amp;"FUT"&amp;$F$3&amp;D8&amp;QuoteSuffix</f>
        <v>#NAME?</v>
      </c>
      <c r="G8" s="84" t="e">
        <f ca="1">_xll.cfyql_SimpleQuote(Currency&amp;N8&amp;O8&amp;M8&amp;QuoteSuffix,,RateTickValue,Permanent,Trigger,ObjectOverwrite)</f>
        <v>#NAME?</v>
      </c>
      <c r="H8" s="84" t="e">
        <f ca="1">_xll.cfyql_CompositeQuote(Currency&amp;$B8&amp;$C8&amp;$D8&amp;QuoteSuffix,F8,G8,"+",Permanent,ISERROR(Futures3M!$F$5:$F$46),ObjectOverwrite)</f>
        <v>#NAME?</v>
      </c>
      <c r="I8" s="83" t="e">
        <f ca="1">_xll.ohRangeRetrieveError(H8)</f>
        <v>#NAME?</v>
      </c>
      <c r="J8" s="36"/>
      <c r="K8" s="30"/>
      <c r="L8" s="134"/>
      <c r="M8" s="218" t="s">
        <v>134</v>
      </c>
      <c r="N8" s="218" t="s">
        <v>133</v>
      </c>
      <c r="O8" s="219">
        <v>4</v>
      </c>
      <c r="P8" s="78" t="str">
        <f>Currency&amp;$N8&amp;$O8&amp;$M8</f>
        <v>EURF4SP</v>
      </c>
      <c r="Q8" s="185" t="str">
        <v>EURF4SP=ICAP</v>
      </c>
      <c r="R8" s="78">
        <v>10.8</v>
      </c>
      <c r="S8" s="78">
        <v>15.8</v>
      </c>
      <c r="T8" s="222" t="s">
        <v>136</v>
      </c>
      <c r="U8" s="78">
        <f>IF(ISERROR(AVERAGE(R8,S8)),#NUM!,AVERAGE(R8,S8))</f>
        <v>13.3</v>
      </c>
      <c r="V8" s="78">
        <f>(U8-R8)*2</f>
        <v>5</v>
      </c>
      <c r="W8" s="111"/>
      <c r="X8" s="78">
        <v>13.3</v>
      </c>
      <c r="Y8" s="111"/>
      <c r="Z8" s="218">
        <v>13.3</v>
      </c>
      <c r="AA8" s="221" t="e">
        <f ca="1">_xll.cfyql_SimpleQuoteSetValue(G8,Z8/100,Trigger)</f>
        <v>#NAME?</v>
      </c>
      <c r="AB8" s="129"/>
    </row>
    <row r="9" spans="1:31" ht="11.25" customHeight="1" x14ac:dyDescent="0.2">
      <c r="A9" s="134"/>
      <c r="B9" s="220"/>
      <c r="C9" s="75" t="s">
        <v>135</v>
      </c>
      <c r="D9" s="76" t="e">
        <f ca="1">_xll.cfyql_IMMnextCode(D8,,Trigger)</f>
        <v>#NAME?</v>
      </c>
      <c r="E9" s="75" t="e">
        <f ca="1">Currency&amp;$B9&amp;$C9&amp;$D9&amp;QuoteSuffix</f>
        <v>#NAME?</v>
      </c>
      <c r="F9" s="73" t="e">
        <f ca="1">Currency&amp;"FUT"&amp;$F$3&amp;D9&amp;QuoteSuffix</f>
        <v>#NAME?</v>
      </c>
      <c r="G9" s="73" t="e">
        <f ca="1">_xll.cfyql_SimpleQuote(Currency&amp;N9&amp;O9&amp;M9&amp;QuoteSuffix,,RateTickValue,Permanent,Trigger,ObjectOverwrite)</f>
        <v>#NAME?</v>
      </c>
      <c r="H9" s="73" t="e">
        <f ca="1">_xll.cfyql_CompositeQuote(Currency&amp;$B9&amp;$C9&amp;$D9&amp;QuoteSuffix,F9,G9,"+",Permanent,ISERROR(Futures3M!$F$5:$F$46),ObjectOverwrite)</f>
        <v>#NAME?</v>
      </c>
      <c r="I9" s="72" t="e">
        <f ca="1">_xll.ohRangeRetrieveError(H9)</f>
        <v>#NAME?</v>
      </c>
      <c r="J9" s="36"/>
      <c r="K9" s="30"/>
      <c r="L9" s="134"/>
      <c r="M9" s="218" t="s">
        <v>134</v>
      </c>
      <c r="N9" s="218" t="s">
        <v>133</v>
      </c>
      <c r="O9" s="219">
        <v>5</v>
      </c>
      <c r="P9" s="78" t="str">
        <f>Currency&amp;$N9&amp;$O9&amp;$M9</f>
        <v>EURF5SP</v>
      </c>
      <c r="Q9" s="185" t="str">
        <v>EURF5SP=ICAP</v>
      </c>
      <c r="R9" s="78" t="s">
        <v>132</v>
      </c>
      <c r="S9" s="78" t="s">
        <v>132</v>
      </c>
      <c r="T9" s="218" t="s">
        <v>132</v>
      </c>
      <c r="U9" s="78" t="e">
        <f>IF(ISERROR(AVERAGE(R9,S9)),#NUM!,AVERAGE(R9,S9))</f>
        <v>#NUM!</v>
      </c>
      <c r="V9" s="65" t="e">
        <f>(U9-R9)*2</f>
        <v>#NUM!</v>
      </c>
      <c r="W9" s="111"/>
      <c r="X9" s="78" t="e">
        <v>#NUM!</v>
      </c>
      <c r="Y9" s="111"/>
      <c r="Z9" s="217" t="e">
        <v>#NUM!</v>
      </c>
      <c r="AA9" s="216" t="e">
        <f ca="1">_xll.cfyql_SimpleQuoteSetValue(G9,Z9/100,Trigger)</f>
        <v>#NAME?</v>
      </c>
      <c r="AB9" s="129"/>
    </row>
    <row r="10" spans="1:31" ht="11.25" customHeight="1" x14ac:dyDescent="0.2">
      <c r="A10" s="215"/>
      <c r="B10" s="214"/>
      <c r="C10" s="214"/>
      <c r="D10" s="214"/>
      <c r="E10" s="214"/>
      <c r="F10" s="214"/>
      <c r="G10" s="214"/>
      <c r="H10" s="214"/>
      <c r="I10" s="214"/>
      <c r="J10" s="32"/>
      <c r="K10" s="30"/>
      <c r="L10" s="35"/>
      <c r="M10" s="171"/>
      <c r="N10" s="171"/>
      <c r="O10" s="171"/>
      <c r="P10" s="171"/>
      <c r="Q10" s="171"/>
      <c r="R10" s="171"/>
      <c r="S10" s="171"/>
      <c r="T10" s="171"/>
      <c r="U10" s="171"/>
      <c r="V10" s="34"/>
      <c r="W10" s="34"/>
      <c r="X10" s="171"/>
      <c r="Y10" s="34"/>
      <c r="Z10" s="34"/>
      <c r="AA10" s="34"/>
      <c r="AB10" s="128"/>
    </row>
    <row r="11" spans="1:31" ht="11.25" customHeight="1" x14ac:dyDescent="0.2">
      <c r="K11" s="30"/>
    </row>
    <row r="12" spans="1:31" ht="11.25" customHeight="1" x14ac:dyDescent="0.2">
      <c r="G12" s="213"/>
    </row>
    <row r="13" spans="1:31" ht="11.25" customHeight="1" x14ac:dyDescent="0.2">
      <c r="G13" s="213"/>
    </row>
    <row r="14" spans="1:31" ht="11.25" customHeight="1" x14ac:dyDescent="0.2">
      <c r="G14" s="213"/>
    </row>
    <row r="15" spans="1:31" ht="11.25" customHeight="1" x14ac:dyDescent="0.2">
      <c r="G15" s="213"/>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workbookViewId="0">
      <selection activeCell="Q2" sqref="Q2"/>
    </sheetView>
  </sheetViews>
  <sheetFormatPr defaultRowHeight="11.25" outlineLevelCol="1" x14ac:dyDescent="0.2"/>
  <cols>
    <col min="1" max="1" width="2.7109375" style="30" customWidth="1" outlineLevel="1"/>
    <col min="2" max="2" width="3.5703125" style="30" customWidth="1" outlineLevel="1"/>
    <col min="3" max="3" width="5.7109375" style="30" customWidth="1" outlineLevel="1"/>
    <col min="4" max="4" width="6.7109375" style="30" customWidth="1" outlineLevel="1"/>
    <col min="5" max="5" width="19.140625" style="30" customWidth="1" outlineLevel="1"/>
    <col min="6" max="6" width="22.42578125" style="30" customWidth="1" outlineLevel="1"/>
    <col min="7" max="7" width="23.85546875" style="30" customWidth="1" outlineLevel="1"/>
    <col min="8" max="9" width="29.7109375" style="30" customWidth="1" outlineLevel="1"/>
    <col min="10" max="10" width="17.5703125" style="30" customWidth="1" outlineLevel="1"/>
    <col min="11" max="11" width="2.7109375" style="30" customWidth="1" outlineLevel="1"/>
    <col min="12"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29" width="10.7109375" style="30" customWidth="1"/>
    <col min="30" max="30" width="12" style="30" bestFit="1" customWidth="1"/>
    <col min="31" max="32" width="2.7109375" style="30" customWidth="1"/>
    <col min="33" max="16384" width="9.140625" style="30"/>
  </cols>
  <sheetData>
    <row r="1" spans="1:34" ht="12" thickBot="1" x14ac:dyDescent="0.25">
      <c r="A1" s="127"/>
      <c r="B1" s="54"/>
      <c r="C1" s="54"/>
      <c r="D1" s="54"/>
      <c r="E1" s="54"/>
      <c r="F1" s="54"/>
      <c r="G1" s="54"/>
      <c r="H1" s="118" t="s">
        <v>131</v>
      </c>
      <c r="I1" s="117" t="str">
        <f>PROPER(Currency)&amp;"HW_Volatility_Quote"</f>
        <v>EurHW_Volatility_Quote</v>
      </c>
      <c r="J1" s="54"/>
      <c r="K1" s="53"/>
      <c r="M1" s="126" t="s">
        <v>130</v>
      </c>
      <c r="N1" s="122"/>
      <c r="O1" s="125"/>
      <c r="P1" s="125"/>
      <c r="Q1" s="122"/>
      <c r="R1" s="122"/>
      <c r="S1" s="122"/>
      <c r="T1" s="122"/>
      <c r="U1" s="122"/>
      <c r="V1" s="122"/>
      <c r="W1" s="122"/>
      <c r="X1" s="122"/>
      <c r="Y1" s="122"/>
      <c r="Z1" s="123"/>
      <c r="AA1" s="123"/>
      <c r="AB1" s="122"/>
      <c r="AC1" s="123"/>
      <c r="AD1" s="123"/>
      <c r="AE1" s="121"/>
    </row>
    <row r="2" spans="1:34" ht="15" x14ac:dyDescent="0.25">
      <c r="A2" s="120"/>
      <c r="B2" s="109"/>
      <c r="C2" s="109"/>
      <c r="D2" s="109"/>
      <c r="E2" s="109"/>
      <c r="F2" s="109"/>
      <c r="G2" s="109"/>
      <c r="H2" s="118" t="s">
        <v>129</v>
      </c>
      <c r="I2" s="117" t="str">
        <f>PROPER(Currency)&amp;"HW_MeanReversion_Quote"</f>
        <v>EurHW_MeanReversion_Quote</v>
      </c>
      <c r="J2" s="109"/>
      <c r="K2" s="119"/>
      <c r="M2" s="112"/>
      <c r="N2" s="110"/>
      <c r="O2" s="110"/>
      <c r="P2" s="110"/>
      <c r="Q2" s="1384" t="e">
        <f ca="1">_xll.cfyql_SettingsEvaluationDate(Trigger)-1</f>
        <v>#NAME?</v>
      </c>
      <c r="R2" s="110"/>
      <c r="S2" s="110"/>
      <c r="T2" s="110"/>
      <c r="U2" s="110"/>
      <c r="V2" s="110"/>
      <c r="W2" s="110"/>
      <c r="X2" s="110"/>
      <c r="Y2" s="110"/>
      <c r="Z2" s="111"/>
      <c r="AA2" s="111"/>
      <c r="AB2" s="110"/>
      <c r="AC2" s="110"/>
      <c r="AD2" s="117" t="e">
        <f ca="1">_xll.ohTrigger(AD5:AD46)</f>
        <v>#NAME?</v>
      </c>
      <c r="AE2" s="108"/>
      <c r="AG2" s="1360" t="s">
        <v>529</v>
      </c>
      <c r="AH2" s="1363" t="e">
        <f ca="1">_xll.cfyql_Trigger('General Settings'!Trigger)</f>
        <v>#NAME?</v>
      </c>
    </row>
    <row r="3" spans="1:34" ht="15.75" thickBot="1" x14ac:dyDescent="0.3">
      <c r="A3" s="116"/>
      <c r="B3" s="115"/>
      <c r="C3" s="115"/>
      <c r="D3" s="114" t="s">
        <v>128</v>
      </c>
      <c r="E3" s="114" t="s">
        <v>127</v>
      </c>
      <c r="F3" s="109"/>
      <c r="G3" s="109"/>
      <c r="H3" s="118" t="s">
        <v>126</v>
      </c>
      <c r="I3" s="117" t="str">
        <f>PROPER(Currency)&amp;FamilyName&amp;E3</f>
        <v>Euribor3M</v>
      </c>
      <c r="J3" s="109"/>
      <c r="K3" s="108"/>
      <c r="M3" s="112"/>
      <c r="N3" s="110"/>
      <c r="O3" s="110"/>
      <c r="P3" s="110"/>
      <c r="Q3" s="110"/>
      <c r="R3" s="110"/>
      <c r="S3" s="110"/>
      <c r="T3" s="110"/>
      <c r="U3" s="110"/>
      <c r="V3" s="110"/>
      <c r="W3" s="110"/>
      <c r="X3" s="110"/>
      <c r="Y3" s="110"/>
      <c r="Z3" s="111"/>
      <c r="AA3" s="111"/>
      <c r="AB3" s="110"/>
      <c r="AC3" s="111"/>
      <c r="AD3" s="167"/>
      <c r="AE3" s="108"/>
      <c r="AG3" s="1361" t="s">
        <v>530</v>
      </c>
      <c r="AH3" s="1364" t="e">
        <f ca="1">_xll.cfyql_Trigger(AD5:AD46)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_xll.cfyql_IMMcode(FuturesDates)</f>
        <v>#NAME?</v>
      </c>
      <c r="E5" s="96" t="e">
        <f t="shared" ref="E5:E46" ca="1" si="0">Currency&amp;$D$3&amp;$E$3&amp;$D5&amp;QuoteSuffix</f>
        <v>#NAME?</v>
      </c>
      <c r="F5" s="95" t="e">
        <f ca="1">_xll.cfyql_SimpleQuote(E5,,PriceTickValue,Permanent,Trigger,ObjectOverwrite)</f>
        <v>#NAME?</v>
      </c>
      <c r="G5" s="94" t="e">
        <f ca="1">_xll.ohRangeRetrieveError(F5)</f>
        <v>#NAME?</v>
      </c>
      <c r="H5" s="96" t="e">
        <f t="shared" ref="H5:H46" ca="1" si="1">Currency&amp;"FUT"&amp;$E$3&amp;$D5&amp;"ConvAdj"&amp;QuoteSuffix</f>
        <v>#NAME?</v>
      </c>
      <c r="I5" s="95" t="e">
        <f ca="1">_xll.cfyql_FuturesConvAdjustmentQuote($H5,IborIndex,$D5,$F5,Volatility,MeanReversion,Permanent,Trigger,ObjectOverwrite)</f>
        <v>#NAME?</v>
      </c>
      <c r="J5" s="94" t="e">
        <f ca="1">_xll.ohRangeRetrieveError(I5)</f>
        <v>#NAME?</v>
      </c>
      <c r="K5" s="36"/>
      <c r="M5" s="71"/>
      <c r="N5" s="93">
        <v>1</v>
      </c>
      <c r="O5" s="93" t="b">
        <v>0</v>
      </c>
      <c r="P5" s="88" t="e">
        <f t="array" aca="1" ref="P5:P46" ca="1">_xll.cfyql_IMMcode(FuturesDates)</f>
        <v>#NAME?</v>
      </c>
      <c r="Q5" s="92" t="e">
        <f t="array" aca="1" ref="Q5:Q46" ca="1">_xll.cfyql_IMMNextDates(Q2,$O5:$O46)</f>
        <v>#NAME?</v>
      </c>
      <c r="R5" s="88" t="e">
        <f t="array" aca="1" ref="R5:R46" ca="1">"FEI"&amp;FuturesCodes</f>
        <v>#NAME?</v>
      </c>
      <c r="S5" s="91">
        <v>42296</v>
      </c>
      <c r="T5" s="89">
        <v>100.04</v>
      </c>
      <c r="U5" s="89">
        <v>100.045</v>
      </c>
      <c r="V5" s="89">
        <v>100.045</v>
      </c>
      <c r="W5" s="89">
        <v>100.05</v>
      </c>
      <c r="X5" s="89" t="e">
        <f ca="1">_xll.cfyql_MidSafe($T5,$U5)</f>
        <v>#NAME?</v>
      </c>
      <c r="Y5" s="78" t="e">
        <f t="shared" ref="Y5:Y46" ca="1" si="2">(X5-T5)*2</f>
        <v>#NAME?</v>
      </c>
      <c r="Z5" s="66"/>
      <c r="AA5" s="90">
        <v>100.0425</v>
      </c>
      <c r="AB5" s="66"/>
      <c r="AC5" s="89">
        <f t="array" ref="AC5:AC46">QuoteStatic</f>
        <v>100.0425</v>
      </c>
      <c r="AD5" s="163" t="e">
        <f ca="1">_xll.cfyql_SimpleQuoteSetValue(F5,AC5,Trigger)</f>
        <v>#NAME?</v>
      </c>
      <c r="AE5" s="36"/>
    </row>
    <row r="6" spans="1:34" x14ac:dyDescent="0.2">
      <c r="A6" s="71"/>
      <c r="B6" s="86">
        <v>2</v>
      </c>
      <c r="C6" s="87" t="b">
        <v>0</v>
      </c>
      <c r="D6" s="86" t="e">
        <f ca="1"/>
        <v>#NAME?</v>
      </c>
      <c r="E6" s="85" t="e">
        <f t="shared" ca="1" si="0"/>
        <v>#NAME?</v>
      </c>
      <c r="F6" s="84" t="e">
        <f ca="1">_xll.cfyql_SimpleQuote(E6,,PriceTickValue,Permanent,Trigger,ObjectOverwrite)</f>
        <v>#NAME?</v>
      </c>
      <c r="G6" s="83" t="e">
        <f ca="1">_xll.ohRangeRetrieveError(F6)</f>
        <v>#NAME?</v>
      </c>
      <c r="H6" s="85" t="e">
        <f t="shared" ca="1" si="1"/>
        <v>#NAME?</v>
      </c>
      <c r="I6" s="84" t="e">
        <f ca="1">_xll.cfyql_FuturesConvAdjustmentQuote($H6,IborIndex,$D6,$F6,Volatility,MeanReversion,Permanent,Trigger,ObjectOverwrite)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_xll.cfyql_MidSafe($T6,$U6)</f>
        <v>#NAME?</v>
      </c>
      <c r="Y6" s="78" t="e">
        <f t="shared" ca="1" si="2"/>
        <v>#NAME?</v>
      </c>
      <c r="Z6" s="66"/>
      <c r="AA6" s="79">
        <v>100.0475</v>
      </c>
      <c r="AB6" s="66"/>
      <c r="AC6" s="78">
        <v>100.0475</v>
      </c>
      <c r="AD6" s="137" t="e">
        <f ca="1">_xll.cfyql_SimpleQuoteSetValue(F6,AC6,Trigger)</f>
        <v>#NAME?</v>
      </c>
      <c r="AE6" s="36"/>
    </row>
    <row r="7" spans="1:34" x14ac:dyDescent="0.2">
      <c r="A7" s="71"/>
      <c r="B7" s="86">
        <v>3</v>
      </c>
      <c r="C7" s="87" t="b">
        <v>0</v>
      </c>
      <c r="D7" s="86" t="e">
        <f ca="1"/>
        <v>#NAME?</v>
      </c>
      <c r="E7" s="85" t="e">
        <f t="shared" ca="1" si="0"/>
        <v>#NAME?</v>
      </c>
      <c r="F7" s="84" t="e">
        <f ca="1">_xll.cfyql_SimpleQuote(E7,,PriceTickValue,Permanent,Trigger,ObjectOverwrite)</f>
        <v>#NAME?</v>
      </c>
      <c r="G7" s="83" t="e">
        <f ca="1">_xll.ohRangeRetrieveError(F7)</f>
        <v>#NAME?</v>
      </c>
      <c r="H7" s="85" t="e">
        <f t="shared" ca="1" si="1"/>
        <v>#NAME?</v>
      </c>
      <c r="I7" s="84" t="e">
        <f ca="1">_xll.cfyql_FuturesConvAdjustmentQuote($H7,IborIndex,$D7,$F7,Volatility,MeanReversion,Permanent,Trigger,ObjectOverwrite)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_xll.cfyql_MidSafe($T7,$U7)</f>
        <v>#NAME?</v>
      </c>
      <c r="Y7" s="78" t="e">
        <f t="shared" ca="1" si="2"/>
        <v>#NAME?</v>
      </c>
      <c r="Z7" s="66"/>
      <c r="AA7" s="79">
        <v>100.05000000000001</v>
      </c>
      <c r="AB7" s="66"/>
      <c r="AC7" s="78">
        <v>100.05000000000001</v>
      </c>
      <c r="AD7" s="137" t="e">
        <f ca="1">_xll.cfyql_SimpleQuoteSetValue(F7,AC7,Trigger)</f>
        <v>#NAME?</v>
      </c>
      <c r="AE7" s="36"/>
    </row>
    <row r="8" spans="1:34" x14ac:dyDescent="0.2">
      <c r="A8" s="71"/>
      <c r="B8" s="86">
        <v>4</v>
      </c>
      <c r="C8" s="87" t="b">
        <v>0</v>
      </c>
      <c r="D8" s="86" t="e">
        <f ca="1"/>
        <v>#NAME?</v>
      </c>
      <c r="E8" s="85" t="e">
        <f t="shared" ca="1" si="0"/>
        <v>#NAME?</v>
      </c>
      <c r="F8" s="84" t="e">
        <f ca="1">_xll.cfyql_SimpleQuote(E8,,PriceTickValue,Permanent,Trigger,ObjectOverwrite)</f>
        <v>#NAME?</v>
      </c>
      <c r="G8" s="83" t="e">
        <f ca="1">_xll.ohRangeRetrieveError(F8)</f>
        <v>#NAME?</v>
      </c>
      <c r="H8" s="85" t="e">
        <f t="shared" ca="1" si="1"/>
        <v>#NAME?</v>
      </c>
      <c r="I8" s="84" t="e">
        <f ca="1">_xll.cfyql_FuturesConvAdjustmentQuote($H8,IborIndex,$D8,$F8,Volatility,MeanReversion,Permanent,Trigger,ObjectOverwrite)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_xll.cfyql_MidSafe($T8,$U8)</f>
        <v>#NAME?</v>
      </c>
      <c r="Y8" s="78" t="e">
        <f t="shared" ca="1" si="2"/>
        <v>#NAME?</v>
      </c>
      <c r="Z8" s="66"/>
      <c r="AA8" s="79" t="e">
        <v>#NUM!</v>
      </c>
      <c r="AB8" s="66"/>
      <c r="AC8" s="78" t="e">
        <v>#NUM!</v>
      </c>
      <c r="AD8" s="137" t="e">
        <f ca="1">_xll.cfyql_SimpleQuoteSetValue(F8,AC8,Trigger)</f>
        <v>#NAME?</v>
      </c>
      <c r="AE8" s="36"/>
    </row>
    <row r="9" spans="1:34" x14ac:dyDescent="0.2">
      <c r="A9" s="71"/>
      <c r="B9" s="86">
        <v>5</v>
      </c>
      <c r="C9" s="87" t="b">
        <v>0</v>
      </c>
      <c r="D9" s="86" t="e">
        <f ca="1"/>
        <v>#NAME?</v>
      </c>
      <c r="E9" s="85" t="e">
        <f t="shared" ca="1" si="0"/>
        <v>#NAME?</v>
      </c>
      <c r="F9" s="84" t="e">
        <f ca="1">_xll.cfyql_SimpleQuote(E9,,PriceTickValue,Permanent,Trigger,ObjectOverwrite)</f>
        <v>#NAME?</v>
      </c>
      <c r="G9" s="83" t="e">
        <f ca="1">_xll.ohRangeRetrieveError(F9)</f>
        <v>#NAME?</v>
      </c>
      <c r="H9" s="85" t="e">
        <f t="shared" ca="1" si="1"/>
        <v>#NAME?</v>
      </c>
      <c r="I9" s="84" t="e">
        <f ca="1">_xll.cfyql_FuturesConvAdjustmentQuote($H9,IborIndex,$D9,$F9,Volatility,MeanReversion,Permanent,Trigger,ObjectOverwrite)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_xll.cfyql_MidSafe($T9,$U9)</f>
        <v>#NAME?</v>
      </c>
      <c r="Y9" s="78" t="e">
        <f t="shared" ca="1" si="2"/>
        <v>#NAME?</v>
      </c>
      <c r="Z9" s="66"/>
      <c r="AA9" s="79" t="e">
        <v>#NUM!</v>
      </c>
      <c r="AB9" s="66"/>
      <c r="AC9" s="78" t="e">
        <v>#NUM!</v>
      </c>
      <c r="AD9" s="137" t="e">
        <f ca="1">_xll.cfyql_SimpleQuoteSetValue(F9,AC9,Trigger)</f>
        <v>#NAME?</v>
      </c>
      <c r="AE9" s="36"/>
    </row>
    <row r="10" spans="1:34" x14ac:dyDescent="0.2">
      <c r="A10" s="71"/>
      <c r="B10" s="86">
        <v>6</v>
      </c>
      <c r="C10" s="87" t="b">
        <v>0</v>
      </c>
      <c r="D10" s="86" t="e">
        <f ca="1"/>
        <v>#NAME?</v>
      </c>
      <c r="E10" s="85" t="e">
        <f t="shared" ca="1" si="0"/>
        <v>#NAME?</v>
      </c>
      <c r="F10" s="84" t="e">
        <f ca="1">_xll.cfyql_SimpleQuote(E10,,PriceTickValue,Permanent,Trigger,ObjectOverwrite)</f>
        <v>#NAME?</v>
      </c>
      <c r="G10" s="83" t="e">
        <f ca="1">_xll.ohRangeRetrieveError(F10)</f>
        <v>#NAME?</v>
      </c>
      <c r="H10" s="85" t="e">
        <f t="shared" ca="1" si="1"/>
        <v>#NAME?</v>
      </c>
      <c r="I10" s="84" t="e">
        <f ca="1">_xll.cfyql_FuturesConvAdjustmentQuote($H10,IborIndex,$D10,$F10,Volatility,MeanReversion,Permanent,Trigger,ObjectOverwrite)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_xll.cfyql_MidSafe($T10,$U10)</f>
        <v>#NAME?</v>
      </c>
      <c r="Y10" s="78" t="e">
        <f t="shared" ca="1" si="2"/>
        <v>#NAME?</v>
      </c>
      <c r="Z10" s="66"/>
      <c r="AA10" s="79">
        <v>100.0575</v>
      </c>
      <c r="AB10" s="66"/>
      <c r="AC10" s="78">
        <v>100.0575</v>
      </c>
      <c r="AD10" s="137" t="e">
        <f ca="1">_xll.cfyql_SimpleQuoteSetValue(F10,AC10,Trigger)</f>
        <v>#NAME?</v>
      </c>
      <c r="AE10" s="36"/>
    </row>
    <row r="11" spans="1:34" x14ac:dyDescent="0.2">
      <c r="A11" s="71"/>
      <c r="B11" s="86">
        <v>7</v>
      </c>
      <c r="C11" s="87" t="b">
        <v>0</v>
      </c>
      <c r="D11" s="86" t="e">
        <f ca="1"/>
        <v>#NAME?</v>
      </c>
      <c r="E11" s="85" t="e">
        <f t="shared" ca="1" si="0"/>
        <v>#NAME?</v>
      </c>
      <c r="F11" s="84" t="e">
        <f ca="1">_xll.cfyql_SimpleQuote(E11,,PriceTickValue,Permanent,Trigger,ObjectOverwrite)</f>
        <v>#NAME?</v>
      </c>
      <c r="G11" s="83" t="e">
        <f ca="1">_xll.ohRangeRetrieveError(F11)</f>
        <v>#NAME?</v>
      </c>
      <c r="H11" s="85" t="e">
        <f t="shared" ca="1" si="1"/>
        <v>#NAME?</v>
      </c>
      <c r="I11" s="84" t="e">
        <f ca="1">_xll.cfyql_FuturesConvAdjustmentQuote($H11,IborIndex,$D11,$F11,Volatility,MeanReversion,Permanent,Trigger,ObjectOverwrite)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_xll.cfyql_MidSafe($T11,$U11)</f>
        <v>#NAME?</v>
      </c>
      <c r="Y11" s="78" t="e">
        <f t="shared" ca="1" si="2"/>
        <v>#NAME?</v>
      </c>
      <c r="Z11" s="66"/>
      <c r="AA11" s="79" t="e">
        <v>#NUM!</v>
      </c>
      <c r="AB11" s="66"/>
      <c r="AC11" s="78" t="e">
        <v>#NUM!</v>
      </c>
      <c r="AD11" s="137" t="e">
        <f ca="1">_xll.cfyql_SimpleQuoteSetValue(F11,AC11,Trigger)</f>
        <v>#NAME?</v>
      </c>
      <c r="AE11" s="36"/>
    </row>
    <row r="12" spans="1:34" x14ac:dyDescent="0.2">
      <c r="A12" s="71"/>
      <c r="B12" s="86">
        <v>8</v>
      </c>
      <c r="C12" s="87" t="b">
        <v>0</v>
      </c>
      <c r="D12" s="86" t="e">
        <f ca="1"/>
        <v>#NAME?</v>
      </c>
      <c r="E12" s="85" t="e">
        <f t="shared" ca="1" si="0"/>
        <v>#NAME?</v>
      </c>
      <c r="F12" s="84" t="e">
        <f ca="1">_xll.cfyql_SimpleQuote(E12,,PriceTickValue,Permanent,Trigger,ObjectOverwrite)</f>
        <v>#NAME?</v>
      </c>
      <c r="G12" s="83" t="e">
        <f ca="1">_xll.ohRangeRetrieveError(F12)</f>
        <v>#NAME?</v>
      </c>
      <c r="H12" s="85" t="e">
        <f t="shared" ca="1" si="1"/>
        <v>#NAME?</v>
      </c>
      <c r="I12" s="84" t="e">
        <f ca="1">_xll.cfyql_FuturesConvAdjustmentQuote($H12,IborIndex,$D12,$F12,Volatility,MeanReversion,Permanent,Trigger,ObjectOverwrite)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_xll.cfyql_MidSafe($T12,$U12)</f>
        <v>#NAME?</v>
      </c>
      <c r="Y12" s="78" t="e">
        <f t="shared" ca="1" si="2"/>
        <v>#NAME?</v>
      </c>
      <c r="Z12" s="66"/>
      <c r="AA12" s="79" t="e">
        <v>#NUM!</v>
      </c>
      <c r="AB12" s="66"/>
      <c r="AC12" s="78" t="e">
        <v>#NUM!</v>
      </c>
      <c r="AD12" s="137" t="e">
        <f ca="1">_xll.cfyql_SimpleQuoteSetValue(F12,AC12,Trigger)</f>
        <v>#NAME?</v>
      </c>
      <c r="AE12" s="36"/>
    </row>
    <row r="13" spans="1:34" x14ac:dyDescent="0.2">
      <c r="A13" s="71"/>
      <c r="B13" s="86">
        <v>9</v>
      </c>
      <c r="C13" s="87" t="b">
        <v>0</v>
      </c>
      <c r="D13" s="86" t="e">
        <f ca="1"/>
        <v>#NAME?</v>
      </c>
      <c r="E13" s="85" t="e">
        <f t="shared" ca="1" si="0"/>
        <v>#NAME?</v>
      </c>
      <c r="F13" s="84" t="e">
        <f ca="1">_xll.cfyql_SimpleQuote(E13,,PriceTickValue,Permanent,Trigger,ObjectOverwrite)</f>
        <v>#NAME?</v>
      </c>
      <c r="G13" s="83" t="e">
        <f ca="1">_xll.ohRangeRetrieveError(F13)</f>
        <v>#NAME?</v>
      </c>
      <c r="H13" s="85" t="e">
        <f t="shared" ca="1" si="1"/>
        <v>#NAME?</v>
      </c>
      <c r="I13" s="84" t="e">
        <f ca="1">_xll.cfyql_FuturesConvAdjustmentQuote($H13,IborIndex,$D13,$F13,Volatility,MeanReversion,Permanent,Trigger,ObjectOverwrite)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_xll.cfyql_MidSafe($T13,$U13)</f>
        <v>#NAME?</v>
      </c>
      <c r="Y13" s="78" t="e">
        <f t="shared" ca="1" si="2"/>
        <v>#NAME?</v>
      </c>
      <c r="Z13" s="66"/>
      <c r="AA13" s="79">
        <v>100.0675</v>
      </c>
      <c r="AB13" s="66"/>
      <c r="AC13" s="78">
        <v>100.0675</v>
      </c>
      <c r="AD13" s="137" t="e">
        <f ca="1">_xll.cfyql_SimpleQuoteSetValue(F13,AC13,Trigger)</f>
        <v>#NAME?</v>
      </c>
      <c r="AE13" s="36"/>
    </row>
    <row r="14" spans="1:34" x14ac:dyDescent="0.2">
      <c r="A14" s="71"/>
      <c r="B14" s="86">
        <v>10</v>
      </c>
      <c r="C14" s="87" t="b">
        <v>0</v>
      </c>
      <c r="D14" s="86" t="e">
        <f ca="1"/>
        <v>#NAME?</v>
      </c>
      <c r="E14" s="85" t="e">
        <f t="shared" ca="1" si="0"/>
        <v>#NAME?</v>
      </c>
      <c r="F14" s="84" t="e">
        <f ca="1">_xll.cfyql_SimpleQuote(E14,,PriceTickValue,Permanent,Trigger,ObjectOverwrite)</f>
        <v>#NAME?</v>
      </c>
      <c r="G14" s="83" t="e">
        <f ca="1">_xll.ohRangeRetrieveError(F14)</f>
        <v>#NAME?</v>
      </c>
      <c r="H14" s="85" t="e">
        <f t="shared" ca="1" si="1"/>
        <v>#NAME?</v>
      </c>
      <c r="I14" s="84" t="e">
        <f ca="1">_xll.cfyql_FuturesConvAdjustmentQuote($H14,IborIndex,$D14,$F14,Volatility,MeanReversion,Permanent,Trigger,ObjectOverwrite)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_xll.cfyql_MidSafe($T14,$U14)</f>
        <v>#NAME?</v>
      </c>
      <c r="Y14" s="78" t="e">
        <f t="shared" ca="1" si="2"/>
        <v>#NAME?</v>
      </c>
      <c r="Z14" s="66"/>
      <c r="AA14" s="79" t="e">
        <v>#NUM!</v>
      </c>
      <c r="AB14" s="66"/>
      <c r="AC14" s="78" t="e">
        <v>#NUM!</v>
      </c>
      <c r="AD14" s="137" t="e">
        <f ca="1">_xll.cfyql_SimpleQuoteSetValue(F14,AC14,Trigger)</f>
        <v>#NAME?</v>
      </c>
      <c r="AE14" s="36"/>
    </row>
    <row r="15" spans="1:34" x14ac:dyDescent="0.2">
      <c r="A15" s="71"/>
      <c r="B15" s="86">
        <v>11</v>
      </c>
      <c r="C15" s="87" t="b">
        <v>0</v>
      </c>
      <c r="D15" s="86" t="e">
        <f ca="1"/>
        <v>#NAME?</v>
      </c>
      <c r="E15" s="85" t="e">
        <f t="shared" ca="1" si="0"/>
        <v>#NAME?</v>
      </c>
      <c r="F15" s="84" t="e">
        <f ca="1">_xll.cfyql_SimpleQuote(E15,,PriceTickValue,Permanent,Trigger,ObjectOverwrite)</f>
        <v>#NAME?</v>
      </c>
      <c r="G15" s="83" t="e">
        <f ca="1">_xll.ohRangeRetrieveError(F15)</f>
        <v>#NAME?</v>
      </c>
      <c r="H15" s="85" t="e">
        <f t="shared" ca="1" si="1"/>
        <v>#NAME?</v>
      </c>
      <c r="I15" s="84" t="e">
        <f ca="1">_xll.cfyql_FuturesConvAdjustmentQuote($H15,IborIndex,$D15,$F15,Volatility,MeanReversion,Permanent,Trigger,ObjectOverwrite)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_xll.cfyql_MidSafe($T15,$U15)</f>
        <v>#NAME?</v>
      </c>
      <c r="Y15" s="78" t="e">
        <f t="shared" ca="1" si="2"/>
        <v>#NAME?</v>
      </c>
      <c r="Z15" s="66"/>
      <c r="AA15" s="79" t="e">
        <v>#NUM!</v>
      </c>
      <c r="AB15" s="66"/>
      <c r="AC15" s="78" t="e">
        <v>#NUM!</v>
      </c>
      <c r="AD15" s="137" t="e">
        <f ca="1">_xll.cfyql_SimpleQuoteSetValue(F15,AC15,Trigger)</f>
        <v>#NAME?</v>
      </c>
      <c r="AE15" s="36"/>
    </row>
    <row r="16" spans="1:34" x14ac:dyDescent="0.2">
      <c r="A16" s="71"/>
      <c r="B16" s="86">
        <v>12</v>
      </c>
      <c r="C16" s="87" t="b">
        <v>0</v>
      </c>
      <c r="D16" s="86" t="e">
        <f ca="1"/>
        <v>#NAME?</v>
      </c>
      <c r="E16" s="85" t="e">
        <f t="shared" ca="1" si="0"/>
        <v>#NAME?</v>
      </c>
      <c r="F16" s="84" t="e">
        <f ca="1">_xll.cfyql_SimpleQuote(E16,,PriceTickValue,Permanent,Trigger,ObjectOverwrite)</f>
        <v>#NAME?</v>
      </c>
      <c r="G16" s="83" t="e">
        <f ca="1">_xll.ohRangeRetrieveError(F16)</f>
        <v>#NAME?</v>
      </c>
      <c r="H16" s="85" t="e">
        <f t="shared" ca="1" si="1"/>
        <v>#NAME?</v>
      </c>
      <c r="I16" s="84" t="e">
        <f ca="1">_xll.cfyql_FuturesConvAdjustmentQuote($H16,IborIndex,$D16,$F16,Volatility,MeanReversion,Permanent,Trigger,ObjectOverwrite)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_xll.cfyql_MidSafe($T16,$U16)</f>
        <v>#NAME?</v>
      </c>
      <c r="Y16" s="78" t="e">
        <f t="shared" ca="1" si="2"/>
        <v>#NAME?</v>
      </c>
      <c r="Z16" s="66"/>
      <c r="AA16" s="79">
        <v>100.0625</v>
      </c>
      <c r="AB16" s="66"/>
      <c r="AC16" s="78">
        <v>100.0625</v>
      </c>
      <c r="AD16" s="137" t="e">
        <f ca="1">_xll.cfyql_SimpleQuoteSetValue(F16,AC16,Trigger)</f>
        <v>#NAME?</v>
      </c>
      <c r="AE16" s="36"/>
    </row>
    <row r="17" spans="1:31" x14ac:dyDescent="0.2">
      <c r="A17" s="71"/>
      <c r="B17" s="86">
        <v>13</v>
      </c>
      <c r="C17" s="87" t="b">
        <v>1</v>
      </c>
      <c r="D17" s="86" t="e">
        <f ca="1"/>
        <v>#NAME?</v>
      </c>
      <c r="E17" s="85" t="e">
        <f t="shared" ca="1" si="0"/>
        <v>#NAME?</v>
      </c>
      <c r="F17" s="84" t="e">
        <f ca="1">_xll.cfyql_SimpleQuote(E17,,PriceTickValue,Permanent,Trigger,ObjectOverwrite)</f>
        <v>#NAME?</v>
      </c>
      <c r="G17" s="83" t="e">
        <f ca="1">_xll.ohRangeRetrieveError(F17)</f>
        <v>#NAME?</v>
      </c>
      <c r="H17" s="85" t="e">
        <f t="shared" ca="1" si="1"/>
        <v>#NAME?</v>
      </c>
      <c r="I17" s="84" t="e">
        <f ca="1">_xll.cfyql_FuturesConvAdjustmentQuote($H17,IborIndex,$D17,$F17,Volatility,MeanReversion,Permanent,Trigger,ObjectOverwrite)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_xll.cfyql_MidSafe($T17,$U17)</f>
        <v>#NAME?</v>
      </c>
      <c r="Y17" s="78" t="e">
        <f t="shared" ca="1" si="2"/>
        <v>#NAME?</v>
      </c>
      <c r="Z17" s="66"/>
      <c r="AA17" s="79">
        <v>100.0475</v>
      </c>
      <c r="AB17" s="66"/>
      <c r="AC17" s="78">
        <v>100.0475</v>
      </c>
      <c r="AD17" s="137" t="e">
        <f ca="1">_xll.cfyql_SimpleQuoteSetValue(F17,AC17,Trigger)</f>
        <v>#NAME?</v>
      </c>
      <c r="AE17" s="36"/>
    </row>
    <row r="18" spans="1:31" x14ac:dyDescent="0.2">
      <c r="A18" s="71"/>
      <c r="B18" s="86">
        <v>14</v>
      </c>
      <c r="C18" s="87" t="b">
        <v>1</v>
      </c>
      <c r="D18" s="86" t="e">
        <f ca="1"/>
        <v>#NAME?</v>
      </c>
      <c r="E18" s="85" t="e">
        <f t="shared" ca="1" si="0"/>
        <v>#NAME?</v>
      </c>
      <c r="F18" s="84" t="e">
        <f ca="1">_xll.cfyql_SimpleQuote(E18,,PriceTickValue,Permanent,Trigger,ObjectOverwrite)</f>
        <v>#NAME?</v>
      </c>
      <c r="G18" s="83" t="e">
        <f ca="1">_xll.ohRangeRetrieveError(F18)</f>
        <v>#NAME?</v>
      </c>
      <c r="H18" s="85" t="e">
        <f t="shared" ca="1" si="1"/>
        <v>#NAME?</v>
      </c>
      <c r="I18" s="84" t="e">
        <f ca="1">_xll.cfyql_FuturesConvAdjustmentQuote($H18,IborIndex,$D18,$F18,Volatility,MeanReversion,Permanent,Trigger,ObjectOverwrite)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_xll.cfyql_MidSafe($T18,$U18)</f>
        <v>#NAME?</v>
      </c>
      <c r="Y18" s="78" t="e">
        <f t="shared" ca="1" si="2"/>
        <v>#NAME?</v>
      </c>
      <c r="Z18" s="66"/>
      <c r="AA18" s="79">
        <v>100.02250000000001</v>
      </c>
      <c r="AB18" s="66"/>
      <c r="AC18" s="78">
        <v>100.02250000000001</v>
      </c>
      <c r="AD18" s="137" t="e">
        <f ca="1">_xll.cfyql_SimpleQuoteSetValue(F18,AC18,Trigger)</f>
        <v>#NAME?</v>
      </c>
      <c r="AE18" s="36"/>
    </row>
    <row r="19" spans="1:31" x14ac:dyDescent="0.2">
      <c r="A19" s="71"/>
      <c r="B19" s="86">
        <v>15</v>
      </c>
      <c r="C19" s="87" t="b">
        <v>1</v>
      </c>
      <c r="D19" s="86" t="e">
        <f ca="1"/>
        <v>#NAME?</v>
      </c>
      <c r="E19" s="85" t="e">
        <f t="shared" ca="1" si="0"/>
        <v>#NAME?</v>
      </c>
      <c r="F19" s="84" t="e">
        <f ca="1">_xll.cfyql_SimpleQuote(E19,,PriceTickValue,Permanent,Trigger,ObjectOverwrite)</f>
        <v>#NAME?</v>
      </c>
      <c r="G19" s="83" t="e">
        <f ca="1">_xll.ohRangeRetrieveError(F19)</f>
        <v>#NAME?</v>
      </c>
      <c r="H19" s="85" t="e">
        <f t="shared" ca="1" si="1"/>
        <v>#NAME?</v>
      </c>
      <c r="I19" s="84" t="e">
        <f ca="1">_xll.cfyql_FuturesConvAdjustmentQuote($H19,IborIndex,$D19,$F19,Volatility,MeanReversion,Permanent,Trigger,ObjectOverwrite)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_xll.cfyql_MidSafe($T19,$U19)</f>
        <v>#NAME?</v>
      </c>
      <c r="Y19" s="78" t="e">
        <f t="shared" ca="1" si="2"/>
        <v>#NAME?</v>
      </c>
      <c r="Z19" s="66"/>
      <c r="AA19" s="79">
        <v>99.987499999999997</v>
      </c>
      <c r="AB19" s="66"/>
      <c r="AC19" s="78">
        <v>99.987499999999997</v>
      </c>
      <c r="AD19" s="137" t="e">
        <f ca="1">_xll.cfyql_SimpleQuoteSetValue(F19,AC19,Trigger)</f>
        <v>#NAME?</v>
      </c>
      <c r="AE19" s="36"/>
    </row>
    <row r="20" spans="1:31" x14ac:dyDescent="0.2">
      <c r="A20" s="71"/>
      <c r="B20" s="86">
        <v>16</v>
      </c>
      <c r="C20" s="87" t="b">
        <v>1</v>
      </c>
      <c r="D20" s="86" t="e">
        <f ca="1"/>
        <v>#NAME?</v>
      </c>
      <c r="E20" s="85" t="e">
        <f t="shared" ca="1" si="0"/>
        <v>#NAME?</v>
      </c>
      <c r="F20" s="84" t="e">
        <f ca="1">_xll.cfyql_SimpleQuote(E20,,PriceTickValue,Permanent,Trigger,ObjectOverwrite)</f>
        <v>#NAME?</v>
      </c>
      <c r="G20" s="83" t="e">
        <f ca="1">_xll.ohRangeRetrieveError(F20)</f>
        <v>#NAME?</v>
      </c>
      <c r="H20" s="85" t="e">
        <f t="shared" ca="1" si="1"/>
        <v>#NAME?</v>
      </c>
      <c r="I20" s="84" t="e">
        <f ca="1">_xll.cfyql_FuturesConvAdjustmentQuote($H20,IborIndex,$D20,$F20,Volatility,MeanReversion,Permanent,Trigger,ObjectOverwrite)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_xll.cfyql_MidSafe($T20,$U20)</f>
        <v>#NAME?</v>
      </c>
      <c r="Y20" s="78" t="e">
        <f t="shared" ca="1" si="2"/>
        <v>#NAME?</v>
      </c>
      <c r="Z20" s="66"/>
      <c r="AA20" s="79">
        <v>99.947499999999991</v>
      </c>
      <c r="AB20" s="66"/>
      <c r="AC20" s="78">
        <v>99.947499999999991</v>
      </c>
      <c r="AD20" s="137" t="e">
        <f ca="1">_xll.cfyql_SimpleQuoteSetValue(F20,AC20,Trigger)</f>
        <v>#NAME?</v>
      </c>
      <c r="AE20" s="36"/>
    </row>
    <row r="21" spans="1:31" x14ac:dyDescent="0.2">
      <c r="A21" s="71"/>
      <c r="B21" s="86">
        <v>17</v>
      </c>
      <c r="C21" s="87" t="b">
        <v>1</v>
      </c>
      <c r="D21" s="86" t="e">
        <f ca="1"/>
        <v>#NAME?</v>
      </c>
      <c r="E21" s="85" t="e">
        <f t="shared" ca="1" si="0"/>
        <v>#NAME?</v>
      </c>
      <c r="F21" s="84" t="e">
        <f ca="1">_xll.cfyql_SimpleQuote(E21,,PriceTickValue,Permanent,Trigger,ObjectOverwrite)</f>
        <v>#NAME?</v>
      </c>
      <c r="G21" s="83" t="e">
        <f ca="1">_xll.ohRangeRetrieveError(F21)</f>
        <v>#NAME?</v>
      </c>
      <c r="H21" s="85" t="e">
        <f t="shared" ca="1" si="1"/>
        <v>#NAME?</v>
      </c>
      <c r="I21" s="84" t="e">
        <f ca="1">_xll.cfyql_FuturesConvAdjustmentQuote($H21,IborIndex,$D21,$F21,Volatility,MeanReversion,Permanent,Trigger,ObjectOverwrite)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_xll.cfyql_MidSafe($T21,$U21)</f>
        <v>#NAME?</v>
      </c>
      <c r="Y21" s="78" t="e">
        <f t="shared" ca="1" si="2"/>
        <v>#NAME?</v>
      </c>
      <c r="Z21" s="66"/>
      <c r="AA21" s="79">
        <v>99.892499999999998</v>
      </c>
      <c r="AB21" s="66"/>
      <c r="AC21" s="78">
        <v>99.892499999999998</v>
      </c>
      <c r="AD21" s="137" t="e">
        <f ca="1">_xll.cfyql_SimpleQuoteSetValue(F21,AC21,Trigger)</f>
        <v>#NAME?</v>
      </c>
      <c r="AE21" s="36"/>
    </row>
    <row r="22" spans="1:31" x14ac:dyDescent="0.2">
      <c r="A22" s="71"/>
      <c r="B22" s="86">
        <v>18</v>
      </c>
      <c r="C22" s="87" t="b">
        <v>1</v>
      </c>
      <c r="D22" s="86" t="e">
        <f ca="1"/>
        <v>#NAME?</v>
      </c>
      <c r="E22" s="85" t="e">
        <f t="shared" ca="1" si="0"/>
        <v>#NAME?</v>
      </c>
      <c r="F22" s="84" t="e">
        <f ca="1">_xll.cfyql_SimpleQuote(E22,,PriceTickValue,Permanent,Trigger,ObjectOverwrite)</f>
        <v>#NAME?</v>
      </c>
      <c r="G22" s="83" t="e">
        <f ca="1">_xll.ohRangeRetrieveError(F22)</f>
        <v>#NAME?</v>
      </c>
      <c r="H22" s="85" t="e">
        <f t="shared" ca="1" si="1"/>
        <v>#NAME?</v>
      </c>
      <c r="I22" s="84" t="e">
        <f ca="1">_xll.cfyql_FuturesConvAdjustmentQuote($H22,IborIndex,$D22,$F22,Volatility,MeanReversion,Permanent,Trigger,ObjectOverwrite)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_xll.cfyql_MidSafe($T22,$U22)</f>
        <v>#NAME?</v>
      </c>
      <c r="Y22" s="78" t="e">
        <f t="shared" ca="1" si="2"/>
        <v>#NAME?</v>
      </c>
      <c r="Z22" s="66"/>
      <c r="AA22" s="79">
        <v>99.832499999999996</v>
      </c>
      <c r="AB22" s="66"/>
      <c r="AC22" s="78">
        <v>99.832499999999996</v>
      </c>
      <c r="AD22" s="137" t="e">
        <f ca="1">_xll.cfyql_SimpleQuoteSetValue(F22,AC22,Trigger)</f>
        <v>#NAME?</v>
      </c>
      <c r="AE22" s="36"/>
    </row>
    <row r="23" spans="1:31" x14ac:dyDescent="0.2">
      <c r="A23" s="71"/>
      <c r="B23" s="86">
        <v>19</v>
      </c>
      <c r="C23" s="87" t="b">
        <v>1</v>
      </c>
      <c r="D23" s="86" t="e">
        <f ca="1"/>
        <v>#NAME?</v>
      </c>
      <c r="E23" s="85" t="e">
        <f t="shared" ca="1" si="0"/>
        <v>#NAME?</v>
      </c>
      <c r="F23" s="84" t="e">
        <f ca="1">_xll.cfyql_SimpleQuote(E23,,PriceTickValue,Permanent,Trigger,ObjectOverwrite)</f>
        <v>#NAME?</v>
      </c>
      <c r="G23" s="83" t="e">
        <f ca="1">_xll.ohRangeRetrieveError(F23)</f>
        <v>#NAME?</v>
      </c>
      <c r="H23" s="85" t="e">
        <f t="shared" ca="1" si="1"/>
        <v>#NAME?</v>
      </c>
      <c r="I23" s="84" t="e">
        <f ca="1">_xll.cfyql_FuturesConvAdjustmentQuote($H23,IborIndex,$D23,$F23,Volatility,MeanReversion,Permanent,Trigger,ObjectOverwrite)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_xll.cfyql_MidSafe($T23,$U23)</f>
        <v>#NAME?</v>
      </c>
      <c r="Y23" s="78" t="e">
        <f t="shared" ca="1" si="2"/>
        <v>#NAME?</v>
      </c>
      <c r="Z23" s="66"/>
      <c r="AA23" s="79">
        <v>99.765000000000001</v>
      </c>
      <c r="AB23" s="66"/>
      <c r="AC23" s="78">
        <v>99.765000000000001</v>
      </c>
      <c r="AD23" s="137" t="e">
        <f ca="1">_xll.cfyql_SimpleQuoteSetValue(F23,AC23,Trigger)</f>
        <v>#NAME?</v>
      </c>
      <c r="AE23" s="36"/>
    </row>
    <row r="24" spans="1:31" x14ac:dyDescent="0.2">
      <c r="A24" s="71"/>
      <c r="B24" s="86">
        <v>20</v>
      </c>
      <c r="C24" s="87" t="b">
        <v>1</v>
      </c>
      <c r="D24" s="86" t="e">
        <f ca="1"/>
        <v>#NAME?</v>
      </c>
      <c r="E24" s="85" t="e">
        <f t="shared" ca="1" si="0"/>
        <v>#NAME?</v>
      </c>
      <c r="F24" s="84" t="e">
        <f ca="1">_xll.cfyql_SimpleQuote(E24,,PriceTickValue,Permanent,Trigger,ObjectOverwrite)</f>
        <v>#NAME?</v>
      </c>
      <c r="G24" s="83" t="e">
        <f ca="1">_xll.ohRangeRetrieveError(F24)</f>
        <v>#NAME?</v>
      </c>
      <c r="H24" s="85" t="e">
        <f t="shared" ca="1" si="1"/>
        <v>#NAME?</v>
      </c>
      <c r="I24" s="84" t="e">
        <f ca="1">_xll.cfyql_FuturesConvAdjustmentQuote($H24,IborIndex,$D24,$F24,Volatility,MeanReversion,Permanent,Trigger,ObjectOverwrite)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_xll.cfyql_MidSafe($T24,$U24)</f>
        <v>#NAME?</v>
      </c>
      <c r="Y24" s="78" t="e">
        <f t="shared" ca="1" si="2"/>
        <v>#NAME?</v>
      </c>
      <c r="Z24" s="66"/>
      <c r="AA24" s="79">
        <v>99.6875</v>
      </c>
      <c r="AB24" s="66"/>
      <c r="AC24" s="78">
        <v>99.6875</v>
      </c>
      <c r="AD24" s="137" t="e">
        <f ca="1">_xll.cfyql_SimpleQuoteSetValue(F24,AC24,Trigger)</f>
        <v>#NAME?</v>
      </c>
      <c r="AE24" s="36"/>
    </row>
    <row r="25" spans="1:31" x14ac:dyDescent="0.2">
      <c r="A25" s="71"/>
      <c r="B25" s="86">
        <v>21</v>
      </c>
      <c r="C25" s="87" t="b">
        <v>1</v>
      </c>
      <c r="D25" s="86" t="e">
        <f ca="1"/>
        <v>#NAME?</v>
      </c>
      <c r="E25" s="85" t="e">
        <f t="shared" ca="1" si="0"/>
        <v>#NAME?</v>
      </c>
      <c r="F25" s="84" t="e">
        <f ca="1">_xll.cfyql_SimpleQuote(E25,,PriceTickValue,Permanent,Trigger,ObjectOverwrite)</f>
        <v>#NAME?</v>
      </c>
      <c r="G25" s="83" t="e">
        <f ca="1">_xll.ohRangeRetrieveError(F25)</f>
        <v>#NAME?</v>
      </c>
      <c r="H25" s="85" t="e">
        <f t="shared" ca="1" si="1"/>
        <v>#NAME?</v>
      </c>
      <c r="I25" s="84" t="e">
        <f ca="1">_xll.cfyql_FuturesConvAdjustmentQuote($H25,IborIndex,$D25,$F25,Volatility,MeanReversion,Permanent,Trigger,ObjectOverwrite)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_xll.cfyql_MidSafe($T25,$U25)</f>
        <v>#NAME?</v>
      </c>
      <c r="Y25" s="78" t="e">
        <f t="shared" ca="1" si="2"/>
        <v>#NAME?</v>
      </c>
      <c r="Z25" s="66"/>
      <c r="AA25" s="79">
        <v>99.612499999999997</v>
      </c>
      <c r="AB25" s="66"/>
      <c r="AC25" s="78">
        <v>99.612499999999997</v>
      </c>
      <c r="AD25" s="137" t="e">
        <f ca="1">_xll.cfyql_SimpleQuoteSetValue(F25,AC25,Trigger)</f>
        <v>#NAME?</v>
      </c>
      <c r="AE25" s="36"/>
    </row>
    <row r="26" spans="1:31" x14ac:dyDescent="0.2">
      <c r="A26" s="71"/>
      <c r="B26" s="86">
        <v>22</v>
      </c>
      <c r="C26" s="87" t="b">
        <v>1</v>
      </c>
      <c r="D26" s="86" t="e">
        <f ca="1"/>
        <v>#NAME?</v>
      </c>
      <c r="E26" s="85" t="e">
        <f t="shared" ca="1" si="0"/>
        <v>#NAME?</v>
      </c>
      <c r="F26" s="84" t="e">
        <f ca="1">_xll.cfyql_SimpleQuote(E26,,PriceTickValue,Permanent,Trigger,ObjectOverwrite)</f>
        <v>#NAME?</v>
      </c>
      <c r="G26" s="83" t="e">
        <f ca="1">_xll.ohRangeRetrieveError(F26)</f>
        <v>#NAME?</v>
      </c>
      <c r="H26" s="85" t="e">
        <f t="shared" ca="1" si="1"/>
        <v>#NAME?</v>
      </c>
      <c r="I26" s="84" t="e">
        <f ca="1">_xll.cfyql_FuturesConvAdjustmentQuote($H26,IborIndex,$D26,$F26,Volatility,MeanReversion,Permanent,Trigger,ObjectOverwrite)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_xll.cfyql_MidSafe($T26,$U26)</f>
        <v>#NAME?</v>
      </c>
      <c r="Y26" s="78" t="e">
        <f t="shared" ca="1" si="2"/>
        <v>#NAME?</v>
      </c>
      <c r="Z26" s="66"/>
      <c r="AA26" s="79">
        <v>99.537499999999994</v>
      </c>
      <c r="AB26" s="66"/>
      <c r="AC26" s="78">
        <v>99.537499999999994</v>
      </c>
      <c r="AD26" s="137" t="e">
        <f ca="1">_xll.cfyql_SimpleQuoteSetValue(F26,AC26,Trigger)</f>
        <v>#NAME?</v>
      </c>
      <c r="AE26" s="36"/>
    </row>
    <row r="27" spans="1:31" x14ac:dyDescent="0.2">
      <c r="A27" s="71"/>
      <c r="B27" s="86">
        <v>23</v>
      </c>
      <c r="C27" s="87" t="b">
        <v>1</v>
      </c>
      <c r="D27" s="86" t="e">
        <f ca="1"/>
        <v>#NAME?</v>
      </c>
      <c r="E27" s="85" t="e">
        <f t="shared" ca="1" si="0"/>
        <v>#NAME?</v>
      </c>
      <c r="F27" s="84" t="e">
        <f ca="1">_xll.cfyql_SimpleQuote(E27,,PriceTickValue,Permanent,Trigger,ObjectOverwrite)</f>
        <v>#NAME?</v>
      </c>
      <c r="G27" s="83" t="e">
        <f ca="1">_xll.ohRangeRetrieveError(F27)</f>
        <v>#NAME?</v>
      </c>
      <c r="H27" s="85" t="e">
        <f t="shared" ca="1" si="1"/>
        <v>#NAME?</v>
      </c>
      <c r="I27" s="84" t="e">
        <f ca="1">_xll.cfyql_FuturesConvAdjustmentQuote($H27,IborIndex,$D27,$F27,Volatility,MeanReversion,Permanent,Trigger,ObjectOverwrite)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_xll.cfyql_MidSafe($T27,$U27)</f>
        <v>#NAME?</v>
      </c>
      <c r="Y27" s="78" t="e">
        <f t="shared" ca="1" si="2"/>
        <v>#NAME?</v>
      </c>
      <c r="Z27" s="66"/>
      <c r="AA27" s="79">
        <v>99.457499999999996</v>
      </c>
      <c r="AB27" s="66"/>
      <c r="AC27" s="78">
        <v>99.457499999999996</v>
      </c>
      <c r="AD27" s="137" t="e">
        <f ca="1">_xll.cfyql_SimpleQuoteSetValue(F27,AC27,Trigger)</f>
        <v>#NAME?</v>
      </c>
      <c r="AE27" s="36"/>
    </row>
    <row r="28" spans="1:31" x14ac:dyDescent="0.2">
      <c r="A28" s="71"/>
      <c r="B28" s="86">
        <v>24</v>
      </c>
      <c r="C28" s="87" t="b">
        <v>1</v>
      </c>
      <c r="D28" s="86" t="e">
        <f ca="1"/>
        <v>#NAME?</v>
      </c>
      <c r="E28" s="85" t="e">
        <f t="shared" ca="1" si="0"/>
        <v>#NAME?</v>
      </c>
      <c r="F28" s="84" t="e">
        <f ca="1">_xll.cfyql_SimpleQuote(E28,,PriceTickValue,Permanent,Trigger,ObjectOverwrite)</f>
        <v>#NAME?</v>
      </c>
      <c r="G28" s="83" t="e">
        <f ca="1">_xll.ohRangeRetrieveError(F28)</f>
        <v>#NAME?</v>
      </c>
      <c r="H28" s="85" t="e">
        <f t="shared" ca="1" si="1"/>
        <v>#NAME?</v>
      </c>
      <c r="I28" s="84" t="e">
        <f ca="1">_xll.cfyql_FuturesConvAdjustmentQuote($H28,IborIndex,$D28,$F28,Volatility,MeanReversion,Permanent,Trigger,ObjectOverwrite)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_xll.cfyql_MidSafe($T28,$U28)</f>
        <v>#NAME?</v>
      </c>
      <c r="Y28" s="78" t="e">
        <f t="shared" ca="1" si="2"/>
        <v>#NAME?</v>
      </c>
      <c r="Z28" s="66"/>
      <c r="AA28" s="79">
        <v>99.382499999999993</v>
      </c>
      <c r="AB28" s="66"/>
      <c r="AC28" s="78">
        <v>99.382499999999993</v>
      </c>
      <c r="AD28" s="137" t="e">
        <f ca="1">_xll.cfyql_SimpleQuoteSetValue(F28,AC28,Trigger)</f>
        <v>#NAME?</v>
      </c>
      <c r="AE28" s="36"/>
    </row>
    <row r="29" spans="1:31" x14ac:dyDescent="0.2">
      <c r="A29" s="71"/>
      <c r="B29" s="86">
        <v>25</v>
      </c>
      <c r="C29" s="87" t="b">
        <v>1</v>
      </c>
      <c r="D29" s="86" t="e">
        <f ca="1"/>
        <v>#NAME?</v>
      </c>
      <c r="E29" s="85" t="e">
        <f t="shared" ca="1" si="0"/>
        <v>#NAME?</v>
      </c>
      <c r="F29" s="84" t="e">
        <f ca="1">_xll.cfyql_SimpleQuote(E29,,PriceTickValue,Permanent,Trigger,ObjectOverwrite)</f>
        <v>#NAME?</v>
      </c>
      <c r="G29" s="83" t="e">
        <f ca="1">_xll.ohRangeRetrieveError(F29)</f>
        <v>#NAME?</v>
      </c>
      <c r="H29" s="85" t="e">
        <f t="shared" ca="1" si="1"/>
        <v>#NAME?</v>
      </c>
      <c r="I29" s="84" t="e">
        <f ca="1">_xll.cfyql_FuturesConvAdjustmentQuote($H29,IborIndex,$D29,$F29,Volatility,MeanReversion,Permanent,Trigger,ObjectOverwrite)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_xll.cfyql_MidSafe($T29,$U29)</f>
        <v>#NAME?</v>
      </c>
      <c r="Y29" s="78" t="e">
        <f t="shared" ca="1" si="2"/>
        <v>#NAME?</v>
      </c>
      <c r="Z29" s="66"/>
      <c r="AA29" s="79">
        <v>99.307500000000005</v>
      </c>
      <c r="AB29" s="66"/>
      <c r="AC29" s="78">
        <v>99.307500000000005</v>
      </c>
      <c r="AD29" s="137" t="e">
        <f ca="1">_xll.cfyql_SimpleQuoteSetValue(F29,AC29,Trigger)</f>
        <v>#NAME?</v>
      </c>
      <c r="AE29" s="36"/>
    </row>
    <row r="30" spans="1:31" x14ac:dyDescent="0.2">
      <c r="A30" s="71"/>
      <c r="B30" s="86">
        <v>26</v>
      </c>
      <c r="C30" s="87" t="b">
        <v>1</v>
      </c>
      <c r="D30" s="86" t="e">
        <f ca="1"/>
        <v>#NAME?</v>
      </c>
      <c r="E30" s="85" t="e">
        <f t="shared" ca="1" si="0"/>
        <v>#NAME?</v>
      </c>
      <c r="F30" s="84" t="e">
        <f ca="1">_xll.cfyql_SimpleQuote(E30,,PriceTickValue,Permanent,Trigger,ObjectOverwrite)</f>
        <v>#NAME?</v>
      </c>
      <c r="G30" s="83" t="e">
        <f ca="1">_xll.ohRangeRetrieveError(F30)</f>
        <v>#NAME?</v>
      </c>
      <c r="H30" s="85" t="e">
        <f t="shared" ca="1" si="1"/>
        <v>#NAME?</v>
      </c>
      <c r="I30" s="84" t="e">
        <f ca="1">_xll.cfyql_FuturesConvAdjustmentQuote($H30,IborIndex,$D30,$F30,Volatility,MeanReversion,Permanent,Trigger,ObjectOverwrite)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_xll.cfyql_MidSafe($T30,$U30)</f>
        <v>#NAME?</v>
      </c>
      <c r="Y30" s="78" t="e">
        <f t="shared" ca="1" si="2"/>
        <v>#NAME?</v>
      </c>
      <c r="Z30" s="66"/>
      <c r="AA30" s="79">
        <v>99.234999999999999</v>
      </c>
      <c r="AB30" s="66"/>
      <c r="AC30" s="78">
        <v>99.234999999999999</v>
      </c>
      <c r="AD30" s="137" t="e">
        <f ca="1">_xll.cfyql_SimpleQuoteSetValue(F30,AC30,Trigger)</f>
        <v>#NAME?</v>
      </c>
      <c r="AE30" s="36"/>
    </row>
    <row r="31" spans="1:31" x14ac:dyDescent="0.2">
      <c r="A31" s="71"/>
      <c r="B31" s="86">
        <v>27</v>
      </c>
      <c r="C31" s="87" t="b">
        <v>1</v>
      </c>
      <c r="D31" s="86" t="e">
        <f ca="1"/>
        <v>#NAME?</v>
      </c>
      <c r="E31" s="85" t="e">
        <f t="shared" ca="1" si="0"/>
        <v>#NAME?</v>
      </c>
      <c r="F31" s="84" t="e">
        <f ca="1">_xll.cfyql_SimpleQuote(E31,,PriceTickValue,Permanent,Trigger,ObjectOverwrite)</f>
        <v>#NAME?</v>
      </c>
      <c r="G31" s="83" t="e">
        <f ca="1">_xll.ohRangeRetrieveError(F31)</f>
        <v>#NAME?</v>
      </c>
      <c r="H31" s="85" t="e">
        <f t="shared" ca="1" si="1"/>
        <v>#NAME?</v>
      </c>
      <c r="I31" s="84" t="e">
        <f ca="1">_xll.cfyql_FuturesConvAdjustmentQuote($H31,IborIndex,$D31,$F31,Volatility,MeanReversion,Permanent,Trigger,ObjectOverwrite)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_xll.cfyql_MidSafe($T31,$U31)</f>
        <v>#NAME?</v>
      </c>
      <c r="Y31" s="78" t="e">
        <f t="shared" ca="1" si="2"/>
        <v>#NAME?</v>
      </c>
      <c r="Z31" s="66"/>
      <c r="AA31" s="79">
        <v>99.157499999999999</v>
      </c>
      <c r="AB31" s="66"/>
      <c r="AC31" s="78">
        <v>99.157499999999999</v>
      </c>
      <c r="AD31" s="137" t="e">
        <f ca="1">_xll.cfyql_SimpleQuoteSetValue(F31,AC31,Trigger)</f>
        <v>#NAME?</v>
      </c>
      <c r="AE31" s="36"/>
    </row>
    <row r="32" spans="1:31" x14ac:dyDescent="0.2">
      <c r="A32" s="71"/>
      <c r="B32" s="86">
        <v>28</v>
      </c>
      <c r="C32" s="87" t="b">
        <v>1</v>
      </c>
      <c r="D32" s="86" t="e">
        <f ca="1"/>
        <v>#NAME?</v>
      </c>
      <c r="E32" s="85" t="e">
        <f t="shared" ca="1" si="0"/>
        <v>#NAME?</v>
      </c>
      <c r="F32" s="84" t="e">
        <f ca="1">_xll.cfyql_SimpleQuote(E32,,PriceTickValue,Permanent,Trigger,ObjectOverwrite)</f>
        <v>#NAME?</v>
      </c>
      <c r="G32" s="83" t="e">
        <f ca="1">_xll.ohRangeRetrieveError(F32)</f>
        <v>#NAME?</v>
      </c>
      <c r="H32" s="85" t="e">
        <f t="shared" ca="1" si="1"/>
        <v>#NAME?</v>
      </c>
      <c r="I32" s="84" t="e">
        <f ca="1">_xll.cfyql_FuturesConvAdjustmentQuote($H32,IborIndex,$D32,$F32,Volatility,MeanReversion,Permanent,Trigger,ObjectOverwrite)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_xll.cfyql_MidSafe($T32,$U32)</f>
        <v>#NAME?</v>
      </c>
      <c r="Y32" s="78" t="e">
        <f t="shared" ca="1" si="2"/>
        <v>#NAME?</v>
      </c>
      <c r="Z32" s="66"/>
      <c r="AA32" s="79">
        <v>99.08</v>
      </c>
      <c r="AB32" s="66"/>
      <c r="AC32" s="78">
        <v>99.08</v>
      </c>
      <c r="AD32" s="137" t="e">
        <f ca="1">_xll.cfyql_SimpleQuoteSetValue(F32,AC32,Trigger)</f>
        <v>#NAME?</v>
      </c>
      <c r="AE32" s="36"/>
    </row>
    <row r="33" spans="1:31" x14ac:dyDescent="0.2">
      <c r="A33" s="71"/>
      <c r="B33" s="86">
        <v>29</v>
      </c>
      <c r="C33" s="87" t="b">
        <v>1</v>
      </c>
      <c r="D33" s="86" t="e">
        <f ca="1"/>
        <v>#NAME?</v>
      </c>
      <c r="E33" s="85" t="e">
        <f t="shared" ca="1" si="0"/>
        <v>#NAME?</v>
      </c>
      <c r="F33" s="84" t="e">
        <f ca="1">_xll.cfyql_SimpleQuote(E33,,PriceTickValue,Permanent,Trigger,ObjectOverwrite)</f>
        <v>#NAME?</v>
      </c>
      <c r="G33" s="83" t="e">
        <f ca="1">_xll.ohRangeRetrieveError(F33)</f>
        <v>#NAME?</v>
      </c>
      <c r="H33" s="85" t="e">
        <f t="shared" ca="1" si="1"/>
        <v>#NAME?</v>
      </c>
      <c r="I33" s="84" t="e">
        <f ca="1">_xll.cfyql_FuturesConvAdjustmentQuote($H33,IborIndex,$D33,$F33,Volatility,MeanReversion,Permanent,Trigger,ObjectOverwrite)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_xll.cfyql_MidSafe($T33,$U33)</f>
        <v>#NAME?</v>
      </c>
      <c r="Y33" s="78" t="e">
        <f t="shared" ca="1" si="2"/>
        <v>#NAME?</v>
      </c>
      <c r="Z33" s="66"/>
      <c r="AA33" s="79">
        <v>99.002499999999998</v>
      </c>
      <c r="AB33" s="66"/>
      <c r="AC33" s="78">
        <v>99.002499999999998</v>
      </c>
      <c r="AD33" s="137" t="e">
        <f ca="1">_xll.cfyql_SimpleQuoteSetValue(F33,AC33,Trigger)</f>
        <v>#NAME?</v>
      </c>
      <c r="AE33" s="36"/>
    </row>
    <row r="34" spans="1:31" x14ac:dyDescent="0.2">
      <c r="A34" s="71"/>
      <c r="B34" s="86">
        <v>30</v>
      </c>
      <c r="C34" s="87" t="b">
        <v>1</v>
      </c>
      <c r="D34" s="86" t="e">
        <f ca="1"/>
        <v>#NAME?</v>
      </c>
      <c r="E34" s="85" t="e">
        <f t="shared" ca="1" si="0"/>
        <v>#NAME?</v>
      </c>
      <c r="F34" s="84" t="e">
        <f ca="1">_xll.cfyql_SimpleQuote(E34,,PriceTickValue,Permanent,Trigger,ObjectOverwrite)</f>
        <v>#NAME?</v>
      </c>
      <c r="G34" s="83" t="e">
        <f ca="1">_xll.ohRangeRetrieveError(F34)</f>
        <v>#NAME?</v>
      </c>
      <c r="H34" s="85" t="e">
        <f t="shared" ca="1" si="1"/>
        <v>#NAME?</v>
      </c>
      <c r="I34" s="84" t="e">
        <f ca="1">_xll.cfyql_FuturesConvAdjustmentQuote($H34,IborIndex,$D34,$F34,Volatility,MeanReversion,Permanent,Trigger,ObjectOverwrite)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_xll.cfyql_MidSafe($T34,$U34)</f>
        <v>#NAME?</v>
      </c>
      <c r="Y34" s="78" t="e">
        <f t="shared" ca="1" si="2"/>
        <v>#NAME?</v>
      </c>
      <c r="Z34" s="66"/>
      <c r="AA34" s="79">
        <v>98.924999999999997</v>
      </c>
      <c r="AB34" s="66"/>
      <c r="AC34" s="78">
        <v>98.924999999999997</v>
      </c>
      <c r="AD34" s="137" t="e">
        <f ca="1">_xll.cfyql_SimpleQuoteSetValue(F34,AC34,Trigger)</f>
        <v>#NAME?</v>
      </c>
      <c r="AE34" s="36"/>
    </row>
    <row r="35" spans="1:31" x14ac:dyDescent="0.2">
      <c r="A35" s="71"/>
      <c r="B35" s="86">
        <v>31</v>
      </c>
      <c r="C35" s="87" t="b">
        <v>1</v>
      </c>
      <c r="D35" s="86" t="e">
        <f ca="1"/>
        <v>#NAME?</v>
      </c>
      <c r="E35" s="85" t="e">
        <f t="shared" ca="1" si="0"/>
        <v>#NAME?</v>
      </c>
      <c r="F35" s="84" t="e">
        <f ca="1">_xll.cfyql_SimpleQuote(E35,,PriceTickValue,Permanent,Trigger,ObjectOverwrite)</f>
        <v>#NAME?</v>
      </c>
      <c r="G35" s="83" t="e">
        <f ca="1">_xll.ohRangeRetrieveError(F35)</f>
        <v>#NAME?</v>
      </c>
      <c r="H35" s="85" t="e">
        <f t="shared" ca="1" si="1"/>
        <v>#NAME?</v>
      </c>
      <c r="I35" s="84" t="e">
        <f ca="1">_xll.cfyql_FuturesConvAdjustmentQuote($H35,IborIndex,$D35,$F35,Volatility,MeanReversion,Permanent,Trigger,ObjectOverwrite)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_xll.cfyql_MidSafe($T35,$U35)</f>
        <v>#NAME?</v>
      </c>
      <c r="Y35" s="78" t="e">
        <f t="shared" ca="1" si="2"/>
        <v>#NAME?</v>
      </c>
      <c r="Z35" s="66"/>
      <c r="AA35" s="79">
        <v>98.847499999999997</v>
      </c>
      <c r="AB35" s="66"/>
      <c r="AC35" s="78">
        <v>98.847499999999997</v>
      </c>
      <c r="AD35" s="137" t="e">
        <f ca="1">_xll.cfyql_SimpleQuoteSetValue(F35,AC35,Trigger)</f>
        <v>#NAME?</v>
      </c>
      <c r="AE35" s="36"/>
    </row>
    <row r="36" spans="1:31" x14ac:dyDescent="0.2">
      <c r="A36" s="71"/>
      <c r="B36" s="86">
        <v>32</v>
      </c>
      <c r="C36" s="87" t="b">
        <v>1</v>
      </c>
      <c r="D36" s="86" t="e">
        <f ca="1"/>
        <v>#NAME?</v>
      </c>
      <c r="E36" s="85" t="e">
        <f t="shared" ca="1" si="0"/>
        <v>#NAME?</v>
      </c>
      <c r="F36" s="84" t="e">
        <f ca="1">_xll.cfyql_SimpleQuote(E36,,PriceTickValue,Permanent,Trigger,ObjectOverwrite)</f>
        <v>#NAME?</v>
      </c>
      <c r="G36" s="83" t="e">
        <f ca="1">_xll.ohRangeRetrieveError(F36)</f>
        <v>#NAME?</v>
      </c>
      <c r="H36" s="85" t="e">
        <f t="shared" ca="1" si="1"/>
        <v>#NAME?</v>
      </c>
      <c r="I36" s="84" t="e">
        <f ca="1">_xll.cfyql_FuturesConvAdjustmentQuote($H36,IborIndex,$D36,$F36,Volatility,MeanReversion,Permanent,Trigger,ObjectOverwrite)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_xll.cfyql_MidSafe($T36,$U36)</f>
        <v>#NAME?</v>
      </c>
      <c r="Y36" s="78" t="e">
        <f t="shared" ca="1" si="2"/>
        <v>#NAME?</v>
      </c>
      <c r="Z36" s="66"/>
      <c r="AA36" s="79">
        <v>98.77000000000001</v>
      </c>
      <c r="AB36" s="66"/>
      <c r="AC36" s="78">
        <v>98.77000000000001</v>
      </c>
      <c r="AD36" s="137" t="e">
        <f ca="1">_xll.cfyql_SimpleQuoteSetValue(F36,AC36,Trigger)</f>
        <v>#NAME?</v>
      </c>
      <c r="AE36" s="36"/>
    </row>
    <row r="37" spans="1:31" x14ac:dyDescent="0.2">
      <c r="A37" s="71"/>
      <c r="B37" s="86">
        <v>33</v>
      </c>
      <c r="C37" s="87" t="b">
        <v>1</v>
      </c>
      <c r="D37" s="86" t="e">
        <f ca="1"/>
        <v>#NAME?</v>
      </c>
      <c r="E37" s="85" t="e">
        <f t="shared" ca="1" si="0"/>
        <v>#NAME?</v>
      </c>
      <c r="F37" s="84" t="e">
        <f ca="1">_xll.cfyql_SimpleQuote(E37,,PriceTickValue,Permanent,Trigger,ObjectOverwrite)</f>
        <v>#NAME?</v>
      </c>
      <c r="G37" s="83" t="e">
        <f ca="1">_xll.ohRangeRetrieveError(F37)</f>
        <v>#NAME?</v>
      </c>
      <c r="H37" s="85" t="e">
        <f t="shared" ca="1" si="1"/>
        <v>#NAME?</v>
      </c>
      <c r="I37" s="84" t="e">
        <f ca="1">_xll.cfyql_FuturesConvAdjustmentQuote($H37,IborIndex,$D37,$F37,Volatility,MeanReversion,Permanent,Trigger,ObjectOverwrite)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_xll.cfyql_MidSafe($T37,$U37)</f>
        <v>#NAME?</v>
      </c>
      <c r="Y37" s="78" t="e">
        <f t="shared" ca="1" si="2"/>
        <v>#NAME?</v>
      </c>
      <c r="Z37" s="66"/>
      <c r="AA37" s="79" t="e">
        <v>#NUM!</v>
      </c>
      <c r="AB37" s="66"/>
      <c r="AC37" s="78" t="e">
        <v>#NUM!</v>
      </c>
      <c r="AD37" s="137" t="e">
        <f ca="1">_xll.cfyql_SimpleQuoteSetValue(F37,AC37,Trigger)</f>
        <v>#NAME?</v>
      </c>
      <c r="AE37" s="36"/>
    </row>
    <row r="38" spans="1:31" x14ac:dyDescent="0.2">
      <c r="A38" s="71"/>
      <c r="B38" s="86">
        <v>34</v>
      </c>
      <c r="C38" s="87" t="b">
        <v>1</v>
      </c>
      <c r="D38" s="86" t="e">
        <f ca="1"/>
        <v>#NAME?</v>
      </c>
      <c r="E38" s="85" t="e">
        <f t="shared" ca="1" si="0"/>
        <v>#NAME?</v>
      </c>
      <c r="F38" s="84" t="e">
        <f ca="1">_xll.cfyql_SimpleQuote(E38,,PriceTickValue,Permanent,Trigger,ObjectOverwrite)</f>
        <v>#NAME?</v>
      </c>
      <c r="G38" s="83" t="e">
        <f ca="1">_xll.ohRangeRetrieveError(F38)</f>
        <v>#NAME?</v>
      </c>
      <c r="H38" s="85" t="e">
        <f t="shared" ca="1" si="1"/>
        <v>#NAME?</v>
      </c>
      <c r="I38" s="84" t="e">
        <f ca="1">_xll.cfyql_FuturesConvAdjustmentQuote($H38,IborIndex,$D38,$F38,Volatility,MeanReversion,Permanent,Trigger,ObjectOverwrite)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_xll.cfyql_MidSafe($T38,$U38)</f>
        <v>#NAME?</v>
      </c>
      <c r="Y38" s="78" t="e">
        <f t="shared" ca="1" si="2"/>
        <v>#NAME?</v>
      </c>
      <c r="Z38" s="66"/>
      <c r="AA38" s="79" t="e">
        <v>#NUM!</v>
      </c>
      <c r="AB38" s="66"/>
      <c r="AC38" s="78" t="e">
        <v>#NUM!</v>
      </c>
      <c r="AD38" s="137" t="e">
        <f ca="1">_xll.cfyql_SimpleQuoteSetValue(F38,AC38,Trigger)</f>
        <v>#NAME?</v>
      </c>
      <c r="AE38" s="36"/>
    </row>
    <row r="39" spans="1:31" x14ac:dyDescent="0.2">
      <c r="A39" s="71"/>
      <c r="B39" s="86">
        <v>35</v>
      </c>
      <c r="C39" s="87" t="b">
        <v>1</v>
      </c>
      <c r="D39" s="86" t="e">
        <f ca="1"/>
        <v>#NAME?</v>
      </c>
      <c r="E39" s="85" t="e">
        <f t="shared" ca="1" si="0"/>
        <v>#NAME?</v>
      </c>
      <c r="F39" s="84" t="e">
        <f ca="1">_xll.cfyql_SimpleQuote(E39,,PriceTickValue,Permanent,Trigger,ObjectOverwrite)</f>
        <v>#NAME?</v>
      </c>
      <c r="G39" s="83" t="e">
        <f ca="1">_xll.ohRangeRetrieveError(F39)</f>
        <v>#NAME?</v>
      </c>
      <c r="H39" s="85" t="e">
        <f t="shared" ca="1" si="1"/>
        <v>#NAME?</v>
      </c>
      <c r="I39" s="84" t="e">
        <f ca="1">_xll.cfyql_FuturesConvAdjustmentQuote($H39,IborIndex,$D39,$F39,Volatility,MeanReversion,Permanent,Trigger,ObjectOverwrite)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_xll.cfyql_MidSafe($T39,$U39)</f>
        <v>#NAME?</v>
      </c>
      <c r="Y39" s="78" t="e">
        <f t="shared" ca="1" si="2"/>
        <v>#NAME?</v>
      </c>
      <c r="Z39" s="66"/>
      <c r="AA39" s="79" t="e">
        <v>#NUM!</v>
      </c>
      <c r="AB39" s="66"/>
      <c r="AC39" s="78" t="e">
        <v>#NUM!</v>
      </c>
      <c r="AD39" s="137" t="e">
        <f ca="1">_xll.cfyql_SimpleQuoteSetValue(F39,AC39,Trigger)</f>
        <v>#NAME?</v>
      </c>
      <c r="AE39" s="36"/>
    </row>
    <row r="40" spans="1:31" x14ac:dyDescent="0.2">
      <c r="A40" s="71"/>
      <c r="B40" s="86">
        <v>36</v>
      </c>
      <c r="C40" s="87" t="b">
        <v>1</v>
      </c>
      <c r="D40" s="86" t="e">
        <f ca="1"/>
        <v>#NAME?</v>
      </c>
      <c r="E40" s="85" t="e">
        <f t="shared" ca="1" si="0"/>
        <v>#NAME?</v>
      </c>
      <c r="F40" s="84" t="e">
        <f ca="1">_xll.cfyql_SimpleQuote(E40,,PriceTickValue,Permanent,Trigger,ObjectOverwrite)</f>
        <v>#NAME?</v>
      </c>
      <c r="G40" s="83" t="e">
        <f ca="1">_xll.ohRangeRetrieveError(F40)</f>
        <v>#NAME?</v>
      </c>
      <c r="H40" s="85" t="e">
        <f t="shared" ca="1" si="1"/>
        <v>#NAME?</v>
      </c>
      <c r="I40" s="84" t="e">
        <f ca="1">_xll.cfyql_FuturesConvAdjustmentQuote($H40,IborIndex,$D40,$F40,Volatility,MeanReversion,Permanent,Trigger,ObjectOverwrite)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_xll.cfyql_MidSafe($T40,$U40)</f>
        <v>#NAME?</v>
      </c>
      <c r="Y40" s="78" t="e">
        <f t="shared" ca="1" si="2"/>
        <v>#NAME?</v>
      </c>
      <c r="Z40" s="66"/>
      <c r="AA40" s="79" t="e">
        <v>#NUM!</v>
      </c>
      <c r="AB40" s="66"/>
      <c r="AC40" s="78" t="e">
        <v>#NUM!</v>
      </c>
      <c r="AD40" s="137" t="e">
        <f ca="1">_xll.cfyql_SimpleQuoteSetValue(F40,AC40,Trigger)</f>
        <v>#NAME?</v>
      </c>
      <c r="AE40" s="36"/>
    </row>
    <row r="41" spans="1:31" x14ac:dyDescent="0.2">
      <c r="A41" s="71"/>
      <c r="B41" s="86">
        <v>37</v>
      </c>
      <c r="C41" s="87" t="b">
        <v>1</v>
      </c>
      <c r="D41" s="86" t="e">
        <f ca="1"/>
        <v>#NAME?</v>
      </c>
      <c r="E41" s="85" t="e">
        <f t="shared" ca="1" si="0"/>
        <v>#NAME?</v>
      </c>
      <c r="F41" s="84" t="e">
        <f ca="1">_xll.cfyql_SimpleQuote(E41,,PriceTickValue,Permanent,Trigger,ObjectOverwrite)</f>
        <v>#NAME?</v>
      </c>
      <c r="G41" s="83" t="e">
        <f ca="1">_xll.ohRangeRetrieveError(F41)</f>
        <v>#NAME?</v>
      </c>
      <c r="H41" s="85" t="e">
        <f t="shared" ca="1" si="1"/>
        <v>#NAME?</v>
      </c>
      <c r="I41" s="84" t="e">
        <f ca="1">_xll.cfyql_FuturesConvAdjustmentQuote($H41,IborIndex,$D41,$F41,Volatility,MeanReversion,Permanent,Trigger,ObjectOverwrite)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_xll.cfyql_MidSafe($T41,$U41)</f>
        <v>#NAME?</v>
      </c>
      <c r="Y41" s="78" t="e">
        <f t="shared" ca="1" si="2"/>
        <v>#NAME?</v>
      </c>
      <c r="Z41" s="66"/>
      <c r="AA41" s="79" t="e">
        <v>#NUM!</v>
      </c>
      <c r="AB41" s="66"/>
      <c r="AC41" s="78" t="e">
        <v>#NUM!</v>
      </c>
      <c r="AD41" s="137" t="e">
        <f ca="1">_xll.cfyql_SimpleQuoteSetValue(F41,AC41,Trigger)</f>
        <v>#NAME?</v>
      </c>
      <c r="AE41" s="36"/>
    </row>
    <row r="42" spans="1:31" x14ac:dyDescent="0.2">
      <c r="A42" s="71"/>
      <c r="B42" s="86">
        <v>38</v>
      </c>
      <c r="C42" s="87" t="b">
        <v>1</v>
      </c>
      <c r="D42" s="86" t="e">
        <f ca="1"/>
        <v>#NAME?</v>
      </c>
      <c r="E42" s="85" t="e">
        <f t="shared" ca="1" si="0"/>
        <v>#NAME?</v>
      </c>
      <c r="F42" s="84" t="e">
        <f ca="1">_xll.cfyql_SimpleQuote(E42,,PriceTickValue,Permanent,Trigger,ObjectOverwrite)</f>
        <v>#NAME?</v>
      </c>
      <c r="G42" s="83" t="e">
        <f ca="1">_xll.ohRangeRetrieveError(F42)</f>
        <v>#NAME?</v>
      </c>
      <c r="H42" s="85" t="e">
        <f t="shared" ca="1" si="1"/>
        <v>#NAME?</v>
      </c>
      <c r="I42" s="84" t="e">
        <f ca="1">_xll.cfyql_FuturesConvAdjustmentQuote($H42,IborIndex,$D42,$F42,Volatility,MeanReversion,Permanent,Trigger,ObjectOverwrite)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_xll.cfyql_MidSafe($T42,$U42)</f>
        <v>#NAME?</v>
      </c>
      <c r="Y42" s="78" t="e">
        <f t="shared" ca="1" si="2"/>
        <v>#NAME?</v>
      </c>
      <c r="Z42" s="66"/>
      <c r="AA42" s="79" t="e">
        <v>#NUM!</v>
      </c>
      <c r="AB42" s="66"/>
      <c r="AC42" s="78" t="e">
        <v>#NUM!</v>
      </c>
      <c r="AD42" s="137" t="e">
        <f ca="1">_xll.cfyql_SimpleQuoteSetValue(F42,AC42,Trigger)</f>
        <v>#NAME?</v>
      </c>
      <c r="AE42" s="36"/>
    </row>
    <row r="43" spans="1:31" x14ac:dyDescent="0.2">
      <c r="A43" s="71"/>
      <c r="B43" s="86">
        <v>39</v>
      </c>
      <c r="C43" s="87" t="b">
        <v>1</v>
      </c>
      <c r="D43" s="86" t="e">
        <f ca="1"/>
        <v>#NAME?</v>
      </c>
      <c r="E43" s="85" t="e">
        <f t="shared" ca="1" si="0"/>
        <v>#NAME?</v>
      </c>
      <c r="F43" s="84" t="e">
        <f ca="1">_xll.cfyql_SimpleQuote(E43,,PriceTickValue,Permanent,Trigger,ObjectOverwrite)</f>
        <v>#NAME?</v>
      </c>
      <c r="G43" s="83" t="e">
        <f ca="1">_xll.ohRangeRetrieveError(F43)</f>
        <v>#NAME?</v>
      </c>
      <c r="H43" s="85" t="e">
        <f t="shared" ca="1" si="1"/>
        <v>#NAME?</v>
      </c>
      <c r="I43" s="84" t="e">
        <f ca="1">_xll.cfyql_FuturesConvAdjustmentQuote($H43,IborIndex,$D43,$F43,Volatility,MeanReversion,Permanent,Trigger,ObjectOverwrite)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_xll.cfyql_MidSafe($T43,$U43)</f>
        <v>#NAME?</v>
      </c>
      <c r="Y43" s="78" t="e">
        <f t="shared" ca="1" si="2"/>
        <v>#NAME?</v>
      </c>
      <c r="Z43" s="66"/>
      <c r="AA43" s="79" t="e">
        <v>#NUM!</v>
      </c>
      <c r="AB43" s="66"/>
      <c r="AC43" s="78" t="e">
        <v>#NUM!</v>
      </c>
      <c r="AD43" s="137" t="e">
        <f ca="1">_xll.cfyql_SimpleQuoteSetValue(F43,AC43,Trigger)</f>
        <v>#NAME?</v>
      </c>
      <c r="AE43" s="36"/>
    </row>
    <row r="44" spans="1:31" x14ac:dyDescent="0.2">
      <c r="A44" s="71"/>
      <c r="B44" s="86">
        <v>40</v>
      </c>
      <c r="C44" s="87" t="b">
        <v>1</v>
      </c>
      <c r="D44" s="86" t="e">
        <f ca="1"/>
        <v>#NAME?</v>
      </c>
      <c r="E44" s="85" t="e">
        <f t="shared" ca="1" si="0"/>
        <v>#NAME?</v>
      </c>
      <c r="F44" s="84" t="e">
        <f ca="1">_xll.cfyql_SimpleQuote(E44,,PriceTickValue,Permanent,Trigger,ObjectOverwrite)</f>
        <v>#NAME?</v>
      </c>
      <c r="G44" s="83" t="e">
        <f ca="1">_xll.ohRangeRetrieveError(F44)</f>
        <v>#NAME?</v>
      </c>
      <c r="H44" s="85" t="e">
        <f t="shared" ca="1" si="1"/>
        <v>#NAME?</v>
      </c>
      <c r="I44" s="84" t="e">
        <f ca="1">_xll.cfyql_FuturesConvAdjustmentQuote($H44,IborIndex,$D44,$F44,Volatility,MeanReversion,Permanent,Trigger,ObjectOverwrite)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_xll.cfyql_MidSafe($T44,$U44)</f>
        <v>#NAME?</v>
      </c>
      <c r="Y44" s="78" t="e">
        <f t="shared" ca="1" si="2"/>
        <v>#NAME?</v>
      </c>
      <c r="Z44" s="66"/>
      <c r="AA44" s="79" t="e">
        <v>#NUM!</v>
      </c>
      <c r="AB44" s="66"/>
      <c r="AC44" s="78" t="e">
        <v>#NUM!</v>
      </c>
      <c r="AD44" s="137" t="e">
        <f ca="1">_xll.cfyql_SimpleQuoteSetValue(F44,AC44,Trigger)</f>
        <v>#NAME?</v>
      </c>
      <c r="AE44" s="36"/>
    </row>
    <row r="45" spans="1:31" x14ac:dyDescent="0.2">
      <c r="A45" s="71"/>
      <c r="B45" s="86">
        <v>41</v>
      </c>
      <c r="C45" s="87" t="b">
        <v>1</v>
      </c>
      <c r="D45" s="86" t="e">
        <f ca="1"/>
        <v>#NAME?</v>
      </c>
      <c r="E45" s="85" t="e">
        <f t="shared" ca="1" si="0"/>
        <v>#NAME?</v>
      </c>
      <c r="F45" s="84" t="e">
        <f ca="1">_xll.cfyql_SimpleQuote(E45,,PriceTickValue,Permanent,Trigger,ObjectOverwrite)</f>
        <v>#NAME?</v>
      </c>
      <c r="G45" s="83" t="e">
        <f ca="1">_xll.ohRangeRetrieveError(F45)</f>
        <v>#NAME?</v>
      </c>
      <c r="H45" s="85" t="e">
        <f t="shared" ca="1" si="1"/>
        <v>#NAME?</v>
      </c>
      <c r="I45" s="84" t="e">
        <f ca="1">_xll.cfyql_FuturesConvAdjustmentQuote($H45,IborIndex,$D45,$F45,Volatility,MeanReversion,Permanent,Trigger,ObjectOverwrite)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_xll.cfyql_MidSafe($T45,$U45)</f>
        <v>#NAME?</v>
      </c>
      <c r="Y45" s="78" t="e">
        <f t="shared" ca="1" si="2"/>
        <v>#NAME?</v>
      </c>
      <c r="Z45" s="66"/>
      <c r="AA45" s="79" t="e">
        <v>#NUM!</v>
      </c>
      <c r="AB45" s="66"/>
      <c r="AC45" s="78" t="e">
        <v>#NUM!</v>
      </c>
      <c r="AD45" s="137" t="e">
        <f ca="1">_xll.cfyql_SimpleQuoteSetValue(F45,AC45,Trigger)</f>
        <v>#NAME?</v>
      </c>
      <c r="AE45" s="36"/>
    </row>
    <row r="46" spans="1:31" x14ac:dyDescent="0.2">
      <c r="A46" s="71"/>
      <c r="B46" s="75">
        <v>42</v>
      </c>
      <c r="C46" s="76" t="b">
        <v>1</v>
      </c>
      <c r="D46" s="75" t="e">
        <f ca="1"/>
        <v>#NAME?</v>
      </c>
      <c r="E46" s="74" t="e">
        <f t="shared" ca="1" si="0"/>
        <v>#NAME?</v>
      </c>
      <c r="F46" s="73" t="e">
        <f ca="1">_xll.cfyql_SimpleQuote(E46,,PriceTickValue,Permanent,Trigger,ObjectOverwrite)</f>
        <v>#NAME?</v>
      </c>
      <c r="G46" s="72" t="e">
        <f ca="1">_xll.ohRangeRetrieveError(F46)</f>
        <v>#NAME?</v>
      </c>
      <c r="H46" s="74" t="e">
        <f t="shared" ca="1" si="1"/>
        <v>#NAME?</v>
      </c>
      <c r="I46" s="73" t="e">
        <f ca="1">_xll.cfyql_FuturesConvAdjustmentQuote($H46,IborIndex,$D46,$F46,Volatility,MeanReversion,Permanent,Trigger,ObjectOverwrite)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_xll.cfyql_MidSafe($T46,$U46)</f>
        <v>#NAME?</v>
      </c>
      <c r="Y46" s="65" t="e">
        <f t="shared" ca="1" si="2"/>
        <v>#NAME?</v>
      </c>
      <c r="Z46" s="66"/>
      <c r="AA46" s="67" t="e">
        <v>#NUM!</v>
      </c>
      <c r="AB46" s="66"/>
      <c r="AC46" s="65" t="e">
        <v>#NUM!</v>
      </c>
      <c r="AD46" s="130" t="e">
        <f ca="1">_xll.cfyql_SimpleQuoteSetValue(F46,AC46,Trigger)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workbookViewId="0"/>
  </sheetViews>
  <sheetFormatPr defaultRowHeight="11.25" outlineLevelCol="1" x14ac:dyDescent="0.2"/>
  <cols>
    <col min="1" max="1" width="2.7109375" style="30" customWidth="1" outlineLevel="1"/>
    <col min="2" max="2" width="26.5703125" style="30" customWidth="1" outlineLevel="1"/>
    <col min="3" max="3" width="31.7109375" style="30" customWidth="1" outlineLevel="1"/>
    <col min="4" max="4" width="25.7109375" style="30" customWidth="1" outlineLevel="1"/>
    <col min="5" max="5" width="2.7109375" style="30" customWidth="1" outlineLevel="1"/>
    <col min="6"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0"/>
      <c r="B1" s="54"/>
      <c r="C1" s="54"/>
      <c r="D1" s="54"/>
      <c r="E1" s="53"/>
      <c r="G1" s="126"/>
      <c r="H1" s="122"/>
      <c r="I1" s="122"/>
      <c r="J1" s="122"/>
      <c r="K1" s="122"/>
      <c r="L1" s="122"/>
      <c r="M1" s="122"/>
      <c r="N1" s="122"/>
      <c r="O1" s="122"/>
      <c r="P1" s="122"/>
      <c r="Q1" s="122"/>
      <c r="R1" s="122"/>
      <c r="S1" s="122"/>
      <c r="T1" s="122"/>
      <c r="U1" s="122"/>
      <c r="V1" s="170"/>
    </row>
    <row r="2" spans="1:25" ht="15" x14ac:dyDescent="0.25">
      <c r="A2" s="120"/>
      <c r="B2" s="109"/>
      <c r="C2" s="109"/>
      <c r="D2" s="189"/>
      <c r="E2" s="119"/>
      <c r="G2" s="112"/>
      <c r="H2" s="110"/>
      <c r="I2" s="110"/>
      <c r="J2" s="110"/>
      <c r="K2" s="110"/>
      <c r="L2" s="118" t="s">
        <v>124</v>
      </c>
      <c r="M2" s="110"/>
      <c r="N2" s="110"/>
      <c r="O2" s="110"/>
      <c r="P2" s="110"/>
      <c r="Q2" s="110"/>
      <c r="R2" s="110"/>
      <c r="S2" s="110"/>
      <c r="T2" s="110"/>
      <c r="U2" s="117" t="e">
        <f ca="1">_xll.ohTrigger(U5:U9)</f>
        <v>#NAME?</v>
      </c>
      <c r="V2" s="36"/>
      <c r="X2" s="1360" t="s">
        <v>529</v>
      </c>
      <c r="Y2" s="1363" t="e">
        <f ca="1">_xll.cfyql_Trigger('General Settings'!Trigger)</f>
        <v>#NAME?</v>
      </c>
    </row>
    <row r="3" spans="1:25" ht="15.75" thickBot="1" x14ac:dyDescent="0.3">
      <c r="A3" s="189"/>
      <c r="B3" s="109"/>
      <c r="C3" s="109"/>
      <c r="D3" s="109"/>
      <c r="E3" s="119"/>
      <c r="G3" s="112"/>
      <c r="H3" s="110"/>
      <c r="I3" s="110"/>
      <c r="J3" s="110"/>
      <c r="K3" s="110"/>
      <c r="L3" s="110"/>
      <c r="M3" s="110"/>
      <c r="N3" s="110"/>
      <c r="O3" s="110"/>
      <c r="P3" s="110"/>
      <c r="Q3" s="110"/>
      <c r="R3" s="110"/>
      <c r="S3" s="110"/>
      <c r="T3" s="110"/>
      <c r="U3" s="167"/>
      <c r="V3" s="36"/>
      <c r="X3" s="1361" t="s">
        <v>530</v>
      </c>
      <c r="Y3" s="1364" t="e">
        <f ca="1">_xll.cfyql_Trigger(U5:U6)</f>
        <v>#NAME?</v>
      </c>
    </row>
    <row r="4" spans="1:25" ht="21" customHeight="1" thickBot="1" x14ac:dyDescent="0.25">
      <c r="A4" s="112"/>
      <c r="B4" s="107" t="s">
        <v>91</v>
      </c>
      <c r="C4" s="212" t="s">
        <v>90</v>
      </c>
      <c r="D4" s="211" t="s">
        <v>59</v>
      </c>
      <c r="E4" s="36"/>
      <c r="G4" s="112"/>
      <c r="H4" s="210"/>
      <c r="I4" s="118"/>
      <c r="J4" s="145"/>
      <c r="K4" s="145"/>
      <c r="L4" s="209" t="e">
        <f ca="1">_xll.RData(L5,M4,,ReutersRtMode,,M5)</f>
        <v>#NAME?</v>
      </c>
      <c r="M4" s="208" t="s">
        <v>84</v>
      </c>
      <c r="N4" s="197"/>
      <c r="O4" s="1406" t="s">
        <v>123</v>
      </c>
      <c r="P4" s="1407"/>
      <c r="Q4" s="197"/>
      <c r="R4" s="146" t="s">
        <v>78</v>
      </c>
      <c r="S4" s="196"/>
      <c r="T4" s="146" t="s">
        <v>77</v>
      </c>
      <c r="U4" s="146" t="s">
        <v>76</v>
      </c>
      <c r="V4" s="36"/>
    </row>
    <row r="5" spans="1:25" x14ac:dyDescent="0.2">
      <c r="A5" s="112"/>
      <c r="B5" s="200" t="str">
        <f>Currency&amp;"HW_Volatility"&amp;QuoteSuffix</f>
        <v>EURHW_Volatility_Quote</v>
      </c>
      <c r="C5" s="200" t="e">
        <f ca="1">_xll.cfyql_SimpleQuote(B5,,,Permanent,Trigger,ObjectOverwrite)</f>
        <v>#NAME?</v>
      </c>
      <c r="D5" s="199" t="e">
        <f ca="1">_xll.ohRangeRetrieveError(C5)</f>
        <v>#NAME?</v>
      </c>
      <c r="E5" s="36"/>
      <c r="G5" s="112"/>
      <c r="H5" s="207" t="s">
        <v>52</v>
      </c>
      <c r="I5" s="206" t="s">
        <v>122</v>
      </c>
      <c r="J5" s="205" t="s">
        <v>121</v>
      </c>
      <c r="K5" s="205" t="str">
        <f>I5&amp;H5&amp;J5&amp;"ATM"</f>
        <v>EU4Y6LATM</v>
      </c>
      <c r="L5" s="204" t="str">
        <f>K5&amp;"="&amp;Contributor</f>
        <v>EU4Y6LATM=ICAP</v>
      </c>
      <c r="M5" s="203">
        <v>339.83</v>
      </c>
      <c r="N5" s="197"/>
      <c r="O5" s="202" t="s">
        <v>120</v>
      </c>
      <c r="P5" s="201">
        <f>M5/100*IF(ISNUMBER(Swap3M4Y),Swap3M4Y/100,Swap6M4Y/100)*0</f>
        <v>0</v>
      </c>
      <c r="Q5" s="197"/>
      <c r="R5" s="201">
        <v>0</v>
      </c>
      <c r="S5" s="196"/>
      <c r="T5" s="201">
        <f t="array" ref="T5:T6">QuoteStatic</f>
        <v>0</v>
      </c>
      <c r="U5" s="201" t="e">
        <f ca="1">_xll.cfyql_SimpleQuoteSetValue(C5,ROUND(T5,6),Trigger)</f>
        <v>#NAME?</v>
      </c>
      <c r="V5" s="36"/>
    </row>
    <row r="6" spans="1:25" x14ac:dyDescent="0.2">
      <c r="A6" s="112"/>
      <c r="B6" s="200" t="str">
        <f>Currency&amp;"HW_MeanReversion"&amp;QuoteSuffix</f>
        <v>EURHW_MeanReversion_Quote</v>
      </c>
      <c r="C6" s="200" t="e">
        <f ca="1">_xll.cfyql_SimpleQuote(B6,,,Permanent,Trigger,ObjectOverwrite)</f>
        <v>#NAME?</v>
      </c>
      <c r="D6" s="199" t="e">
        <f ca="1">_xll.ohRangeRetrieveError(C6)</f>
        <v>#NAME?</v>
      </c>
      <c r="E6" s="36"/>
      <c r="G6" s="112"/>
      <c r="H6" s="110"/>
      <c r="I6" s="110"/>
      <c r="J6" s="110"/>
      <c r="K6" s="110"/>
      <c r="L6" s="110"/>
      <c r="M6" s="110"/>
      <c r="N6" s="197"/>
      <c r="O6" s="198" t="s">
        <v>119</v>
      </c>
      <c r="P6" s="195">
        <v>0.03</v>
      </c>
      <c r="Q6" s="197"/>
      <c r="R6" s="195">
        <v>0.03</v>
      </c>
      <c r="S6" s="196"/>
      <c r="T6" s="195">
        <v>0.03</v>
      </c>
      <c r="U6" s="195" t="e">
        <f ca="1">_xll.cfyql_SimpleQuoteSetValue(C6,ROUND(T6,6),Trigger)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19"/>
      <c r="J1" s="152" t="s">
        <v>118</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9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EON</v>
      </c>
      <c r="D5" s="86" t="str">
        <f t="shared" ref="D5:D41" si="2">M5</f>
        <v>3E</v>
      </c>
      <c r="E5" s="85" t="str">
        <f t="shared" ref="E5:E41" si="3">IF(ISBLANK(C5),"#",Currency&amp;$C5&amp;$D5&amp;$B5&amp;QuoteSuffix)</f>
        <v>EUREON3E1Y_Quote</v>
      </c>
      <c r="F5" s="85" t="e">
        <f ca="1">_xll.cfyql_SimpleQuote(E5,,RateTickValue,Permanent,Trigger,ObjectOverwrite)</f>
        <v>#NAME?</v>
      </c>
      <c r="G5" s="42" t="e">
        <f ca="1">_xll.ohRangeRetrieveError(F5)</f>
        <v>#NAME?</v>
      </c>
      <c r="H5" s="36"/>
      <c r="J5" s="186"/>
      <c r="K5" s="140" t="s">
        <v>58</v>
      </c>
      <c r="L5" s="140" t="s">
        <v>117</v>
      </c>
      <c r="M5" s="140" t="s">
        <v>69</v>
      </c>
      <c r="N5" s="185" t="str">
        <f t="shared" ref="N5:N41" si="4">SUBSTITUTE(Currency,"R","")&amp;$L5&amp;SUBSTITUTE(Currency,"R","")&amp;$M5&amp;$K5</f>
        <v>EUEONEU3E1Y</v>
      </c>
      <c r="O5" s="139" t="str">
        <f t="array" ref="O5:O41">Instruments&amp;"="&amp;VLOOKUP(Contributor,ContributorTable,2,FALSE)</f>
        <v>EUEONEU3E1Y=ICAP</v>
      </c>
      <c r="P5" s="184">
        <v>9.3000000000000007</v>
      </c>
      <c r="Q5" s="184">
        <v>14.3</v>
      </c>
      <c r="R5" s="184" t="e">
        <f ca="1">_xll.cfyql_MidSafe(P5,Q5)</f>
        <v>#NAME?</v>
      </c>
      <c r="S5" s="184" t="e">
        <f t="shared" ref="S5:S41" ca="1" si="5">(R5-P5)*2</f>
        <v>#NAME?</v>
      </c>
      <c r="T5" s="182"/>
      <c r="U5" s="181">
        <v>11.8</v>
      </c>
      <c r="V5" s="111"/>
      <c r="W5" s="180">
        <f t="array" ref="W5:W41">QuoteStatic</f>
        <v>11.8</v>
      </c>
      <c r="X5" s="179" t="e">
        <f ca="1">_xll.cfyql_SimpleQuoteSetValue(F5,ROUND(W5/10000,6),Trigger)</f>
        <v>#NAME?</v>
      </c>
      <c r="Y5" s="129"/>
    </row>
    <row r="6" spans="1:28" ht="11.25" customHeight="1" x14ac:dyDescent="0.2">
      <c r="A6" s="134"/>
      <c r="B6" s="86" t="str">
        <f t="shared" si="0"/>
        <v>15M</v>
      </c>
      <c r="C6" s="86" t="str">
        <f t="shared" si="1"/>
        <v>EON</v>
      </c>
      <c r="D6" s="86" t="str">
        <f t="shared" si="2"/>
        <v>3E</v>
      </c>
      <c r="E6" s="85" t="str">
        <f t="shared" si="3"/>
        <v>EUREON3E15M_Quote</v>
      </c>
      <c r="F6" s="85" t="e">
        <f ca="1">_xll.cfyql_SimpleQuote(E6,,RateTickValue,Permanent,Trigger,ObjectOverwrite)</f>
        <v>#NAME?</v>
      </c>
      <c r="G6" s="42" t="e">
        <f ca="1">_xll.ohRangeRetrieveError(F6)</f>
        <v>#NAME?</v>
      </c>
      <c r="H6" s="36"/>
      <c r="J6" s="186"/>
      <c r="K6" s="140" t="s">
        <v>57</v>
      </c>
      <c r="L6" s="140" t="s">
        <v>117</v>
      </c>
      <c r="M6" s="140" t="s">
        <v>69</v>
      </c>
      <c r="N6" s="185" t="str">
        <f t="shared" si="4"/>
        <v>EUEONEU3E15M</v>
      </c>
      <c r="O6" s="139" t="str">
        <v>EUEONEU3E15M=ICAP</v>
      </c>
      <c r="P6" s="184" t="s">
        <v>109</v>
      </c>
      <c r="Q6" s="184" t="s">
        <v>109</v>
      </c>
      <c r="R6" s="184" t="e">
        <f ca="1">_xll.cfyql_MidSafe(P6,Q6)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EON</v>
      </c>
      <c r="D7" s="86" t="str">
        <f t="shared" si="2"/>
        <v>3E</v>
      </c>
      <c r="E7" s="85" t="str">
        <f t="shared" si="3"/>
        <v>EUREON3E18M_Quote</v>
      </c>
      <c r="F7" s="85" t="e">
        <f ca="1">_xll.cfyql_SimpleQuote(E7,,RateTickValue,Permanent,Trigger,ObjectOverwrite)</f>
        <v>#NAME?</v>
      </c>
      <c r="G7" s="42" t="e">
        <f ca="1">_xll.ohRangeRetrieveError(F7)</f>
        <v>#NAME?</v>
      </c>
      <c r="H7" s="36"/>
      <c r="J7" s="186"/>
      <c r="K7" s="140" t="s">
        <v>56</v>
      </c>
      <c r="L7" s="140" t="s">
        <v>117</v>
      </c>
      <c r="M7" s="140" t="s">
        <v>69</v>
      </c>
      <c r="N7" s="185" t="str">
        <f t="shared" si="4"/>
        <v>EUEONEU3E18M</v>
      </c>
      <c r="O7" s="139" t="str">
        <v>EUEONEU3E18M=ICAP</v>
      </c>
      <c r="P7" s="184">
        <v>10.1</v>
      </c>
      <c r="Q7" s="184">
        <v>15.1</v>
      </c>
      <c r="R7" s="184" t="e">
        <f ca="1">_xll.cfyql_MidSafe(P7,Q7)</f>
        <v>#NAME?</v>
      </c>
      <c r="S7" s="184" t="e">
        <f t="shared" ca="1" si="5"/>
        <v>#NAME?</v>
      </c>
      <c r="T7" s="182"/>
      <c r="U7" s="181">
        <v>12.6</v>
      </c>
      <c r="V7" s="111"/>
      <c r="W7" s="180">
        <v>12.6</v>
      </c>
      <c r="X7" s="179" t="e">
        <f ca="1">_xll.cfyql_SimpleQuoteSetValue(F7,ROUND(W7/10000,6),Trigger)</f>
        <v>#NAME?</v>
      </c>
      <c r="Y7" s="129"/>
    </row>
    <row r="8" spans="1:28" ht="11.25" customHeight="1" x14ac:dyDescent="0.2">
      <c r="A8" s="134"/>
      <c r="B8" s="86" t="str">
        <f t="shared" si="0"/>
        <v>21M</v>
      </c>
      <c r="C8" s="86" t="str">
        <f t="shared" si="1"/>
        <v>EON</v>
      </c>
      <c r="D8" s="86" t="str">
        <f t="shared" si="2"/>
        <v>3E</v>
      </c>
      <c r="E8" s="85" t="str">
        <f t="shared" si="3"/>
        <v>EUREON3E21M_Quote</v>
      </c>
      <c r="F8" s="85" t="e">
        <f ca="1">_xll.cfyql_SimpleQuote(E8,,RateTickValue,Permanent,Trigger,ObjectOverwrite)</f>
        <v>#NAME?</v>
      </c>
      <c r="G8" s="42" t="e">
        <f ca="1">_xll.ohRangeRetrieveError(F8)</f>
        <v>#NAME?</v>
      </c>
      <c r="H8" s="36"/>
      <c r="J8" s="186"/>
      <c r="K8" s="140" t="s">
        <v>55</v>
      </c>
      <c r="L8" s="140" t="s">
        <v>117</v>
      </c>
      <c r="M8" s="140" t="s">
        <v>69</v>
      </c>
      <c r="N8" s="185" t="str">
        <f t="shared" si="4"/>
        <v>EUEONEU3E21M</v>
      </c>
      <c r="O8" s="139" t="str">
        <v>EUEONEU3E21M=ICAP</v>
      </c>
      <c r="P8" s="184" t="s">
        <v>109</v>
      </c>
      <c r="Q8" s="184" t="s">
        <v>109</v>
      </c>
      <c r="R8" s="184" t="e">
        <f ca="1">_xll.cfyql_MidSafe(P8,Q8)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EON</v>
      </c>
      <c r="D9" s="86" t="str">
        <f t="shared" si="2"/>
        <v>3E</v>
      </c>
      <c r="E9" s="85" t="str">
        <f t="shared" si="3"/>
        <v>EUREON3E2Y_Quote</v>
      </c>
      <c r="F9" s="85" t="e">
        <f ca="1">_xll.cfyql_SimpleQuote(E9,,RateTickValue,Permanent,Trigger,ObjectOverwrite)</f>
        <v>#NAME?</v>
      </c>
      <c r="G9" s="42" t="e">
        <f ca="1">_xll.ohRangeRetrieveError(F9)</f>
        <v>#NAME?</v>
      </c>
      <c r="H9" s="36"/>
      <c r="J9" s="134"/>
      <c r="K9" s="140" t="s">
        <v>54</v>
      </c>
      <c r="L9" s="140" t="s">
        <v>117</v>
      </c>
      <c r="M9" s="140" t="s">
        <v>69</v>
      </c>
      <c r="N9" s="185" t="str">
        <f t="shared" si="4"/>
        <v>EUEONEU3E2Y</v>
      </c>
      <c r="O9" s="139" t="str">
        <v>EUEONEU3E2Y=ICAP</v>
      </c>
      <c r="P9" s="184">
        <v>10.6</v>
      </c>
      <c r="Q9" s="184">
        <v>15.6</v>
      </c>
      <c r="R9" s="184" t="e">
        <f ca="1">_xll.cfyql_MidSafe(P9,Q9)</f>
        <v>#NAME?</v>
      </c>
      <c r="S9" s="184" t="e">
        <f t="shared" ca="1" si="5"/>
        <v>#NAME?</v>
      </c>
      <c r="T9" s="182"/>
      <c r="U9" s="181">
        <v>13.1</v>
      </c>
      <c r="V9" s="111"/>
      <c r="W9" s="180">
        <v>13.1</v>
      </c>
      <c r="X9" s="179" t="e">
        <f ca="1">_xll.cfyql_SimpleQuoteSetValue(F9,ROUND(W9/10000,6),Trigger)</f>
        <v>#NAME?</v>
      </c>
      <c r="Y9" s="129"/>
    </row>
    <row r="10" spans="1:28" ht="11.25" customHeight="1" x14ac:dyDescent="0.2">
      <c r="A10" s="134"/>
      <c r="B10" s="86" t="str">
        <f t="shared" si="0"/>
        <v>3Y</v>
      </c>
      <c r="C10" s="86" t="str">
        <f t="shared" si="1"/>
        <v>EON</v>
      </c>
      <c r="D10" s="86" t="str">
        <f t="shared" si="2"/>
        <v>3E</v>
      </c>
      <c r="E10" s="85" t="str">
        <f t="shared" si="3"/>
        <v>EUREON3E3Y_Quote</v>
      </c>
      <c r="F10" s="85" t="e">
        <f ca="1">_xll.cfyql_SimpleQuote(E10,,RateTickValue,Permanent,Trigger,ObjectOverwrite)</f>
        <v>#NAME?</v>
      </c>
      <c r="G10" s="42" t="e">
        <f ca="1">_xll.ohRangeRetrieveError(F10)</f>
        <v>#NAME?</v>
      </c>
      <c r="H10" s="36"/>
      <c r="J10" s="134"/>
      <c r="K10" s="140" t="s">
        <v>53</v>
      </c>
      <c r="L10" s="140" t="s">
        <v>117</v>
      </c>
      <c r="M10" s="140" t="s">
        <v>69</v>
      </c>
      <c r="N10" s="185" t="str">
        <f t="shared" si="4"/>
        <v>EUEONEU3E3Y</v>
      </c>
      <c r="O10" s="139" t="str">
        <v>EUEONEU3E3Y=ICAP</v>
      </c>
      <c r="P10" s="184">
        <v>11.8</v>
      </c>
      <c r="Q10" s="184">
        <v>16.8</v>
      </c>
      <c r="R10" s="184" t="e">
        <f ca="1">_xll.cfyql_MidSafe(P10,Q10)</f>
        <v>#NAME?</v>
      </c>
      <c r="S10" s="184" t="e">
        <f t="shared" ca="1" si="5"/>
        <v>#NAME?</v>
      </c>
      <c r="T10" s="182"/>
      <c r="U10" s="181">
        <v>14.3</v>
      </c>
      <c r="V10" s="111"/>
      <c r="W10" s="180">
        <v>14.3</v>
      </c>
      <c r="X10" s="179" t="e">
        <f ca="1">_xll.cfyql_SimpleQuoteSetValue(F10,ROUND(W10/10000,6),Trigger)</f>
        <v>#NAME?</v>
      </c>
      <c r="Y10" s="129"/>
    </row>
    <row r="11" spans="1:28" ht="11.25" customHeight="1" x14ac:dyDescent="0.2">
      <c r="A11" s="134"/>
      <c r="B11" s="86" t="str">
        <f t="shared" si="0"/>
        <v>4Y</v>
      </c>
      <c r="C11" s="86" t="str">
        <f t="shared" si="1"/>
        <v>EON</v>
      </c>
      <c r="D11" s="86" t="str">
        <f t="shared" si="2"/>
        <v>3E</v>
      </c>
      <c r="E11" s="85" t="str">
        <f t="shared" si="3"/>
        <v>EUREON3E4Y_Quote</v>
      </c>
      <c r="F11" s="85" t="e">
        <f ca="1">_xll.cfyql_SimpleQuote(E11,,RateTickValue,Permanent,Trigger,ObjectOverwrite)</f>
        <v>#NAME?</v>
      </c>
      <c r="G11" s="42" t="e">
        <f ca="1">_xll.ohRangeRetrieveError(F11)</f>
        <v>#NAME?</v>
      </c>
      <c r="H11" s="36"/>
      <c r="J11" s="134"/>
      <c r="K11" s="140" t="s">
        <v>52</v>
      </c>
      <c r="L11" s="140" t="s">
        <v>117</v>
      </c>
      <c r="M11" s="140" t="s">
        <v>69</v>
      </c>
      <c r="N11" s="185" t="str">
        <f t="shared" si="4"/>
        <v>EUEONEU3E4Y</v>
      </c>
      <c r="O11" s="139" t="str">
        <v>EUEONEU3E4Y=ICAP</v>
      </c>
      <c r="P11" s="184">
        <v>12.6</v>
      </c>
      <c r="Q11" s="184">
        <v>17.600000000000001</v>
      </c>
      <c r="R11" s="184" t="e">
        <f ca="1">_xll.cfyql_MidSafe(P11,Q11)</f>
        <v>#NAME?</v>
      </c>
      <c r="S11" s="184" t="e">
        <f t="shared" ca="1" si="5"/>
        <v>#NAME?</v>
      </c>
      <c r="T11" s="182"/>
      <c r="U11" s="181">
        <v>15.100000000000001</v>
      </c>
      <c r="V11" s="111"/>
      <c r="W11" s="180">
        <v>15.100000000000001</v>
      </c>
      <c r="X11" s="179" t="e">
        <f ca="1">_xll.cfyql_SimpleQuoteSetValue(F11,ROUND(W11/10000,6),Trigger)</f>
        <v>#NAME?</v>
      </c>
      <c r="Y11" s="129"/>
    </row>
    <row r="12" spans="1:28" ht="11.25" customHeight="1" x14ac:dyDescent="0.2">
      <c r="A12" s="134"/>
      <c r="B12" s="86" t="str">
        <f t="shared" si="0"/>
        <v>5Y</v>
      </c>
      <c r="C12" s="86" t="str">
        <f t="shared" si="1"/>
        <v>EON</v>
      </c>
      <c r="D12" s="86" t="str">
        <f t="shared" si="2"/>
        <v>3E</v>
      </c>
      <c r="E12" s="85" t="str">
        <f t="shared" si="3"/>
        <v>EUREON3E5Y_Quote</v>
      </c>
      <c r="F12" s="85" t="e">
        <f ca="1">_xll.cfyql_SimpleQuote(E12,,RateTickValue,Permanent,Trigger,ObjectOverwrite)</f>
        <v>#NAME?</v>
      </c>
      <c r="G12" s="42" t="e">
        <f ca="1">_xll.ohRangeRetrieveError(F12)</f>
        <v>#NAME?</v>
      </c>
      <c r="H12" s="36"/>
      <c r="J12" s="134"/>
      <c r="K12" s="140" t="s">
        <v>51</v>
      </c>
      <c r="L12" s="140" t="s">
        <v>117</v>
      </c>
      <c r="M12" s="140" t="s">
        <v>69</v>
      </c>
      <c r="N12" s="185" t="str">
        <f t="shared" si="4"/>
        <v>EUEONEU3E5Y</v>
      </c>
      <c r="O12" s="139" t="str">
        <v>EUEONEU3E5Y=ICAP</v>
      </c>
      <c r="P12" s="184">
        <v>13.1</v>
      </c>
      <c r="Q12" s="184">
        <v>18.100000000000001</v>
      </c>
      <c r="R12" s="184" t="e">
        <f ca="1">_xll.cfyql_MidSafe(P12,Q12)</f>
        <v>#NAME?</v>
      </c>
      <c r="S12" s="184" t="e">
        <f t="shared" ca="1" si="5"/>
        <v>#NAME?</v>
      </c>
      <c r="T12" s="182"/>
      <c r="U12" s="181">
        <v>15.600000000000001</v>
      </c>
      <c r="V12" s="111"/>
      <c r="W12" s="180">
        <v>15.600000000000001</v>
      </c>
      <c r="X12" s="179" t="e">
        <f ca="1">_xll.cfyql_SimpleQuoteSetValue(F12,ROUND(W12/10000,6),Trigger)</f>
        <v>#NAME?</v>
      </c>
      <c r="Y12" s="129"/>
    </row>
    <row r="13" spans="1:28" ht="11.25" customHeight="1" x14ac:dyDescent="0.2">
      <c r="A13" s="134"/>
      <c r="B13" s="86" t="str">
        <f t="shared" si="0"/>
        <v>6Y</v>
      </c>
      <c r="C13" s="86" t="str">
        <f t="shared" si="1"/>
        <v>EON</v>
      </c>
      <c r="D13" s="86" t="str">
        <f t="shared" si="2"/>
        <v>3E</v>
      </c>
      <c r="E13" s="85" t="str">
        <f t="shared" si="3"/>
        <v>EUREON3E6Y_Quote</v>
      </c>
      <c r="F13" s="85" t="e">
        <f ca="1">_xll.cfyql_SimpleQuote(E13,,RateTickValue,Permanent,Trigger,ObjectOverwrite)</f>
        <v>#NAME?</v>
      </c>
      <c r="G13" s="42" t="e">
        <f ca="1">_xll.ohRangeRetrieveError(F13)</f>
        <v>#NAME?</v>
      </c>
      <c r="H13" s="36"/>
      <c r="J13" s="134"/>
      <c r="K13" s="140" t="s">
        <v>50</v>
      </c>
      <c r="L13" s="140" t="s">
        <v>117</v>
      </c>
      <c r="M13" s="140" t="s">
        <v>69</v>
      </c>
      <c r="N13" s="185" t="str">
        <f t="shared" si="4"/>
        <v>EUEONEU3E6Y</v>
      </c>
      <c r="O13" s="139" t="str">
        <v>EUEONEU3E6Y=ICAP</v>
      </c>
      <c r="P13" s="184">
        <v>13.1</v>
      </c>
      <c r="Q13" s="184">
        <v>18.100000000000001</v>
      </c>
      <c r="R13" s="184" t="e">
        <f ca="1">_xll.cfyql_MidSafe(P13,Q13)</f>
        <v>#NAME?</v>
      </c>
      <c r="S13" s="184" t="e">
        <f t="shared" ca="1" si="5"/>
        <v>#NAME?</v>
      </c>
      <c r="T13" s="182"/>
      <c r="U13" s="181">
        <v>15.600000000000001</v>
      </c>
      <c r="V13" s="111"/>
      <c r="W13" s="180">
        <v>15.600000000000001</v>
      </c>
      <c r="X13" s="179" t="e">
        <f ca="1">_xll.cfyql_SimpleQuoteSetValue(F13,ROUND(W13/10000,6),Trigger)</f>
        <v>#NAME?</v>
      </c>
      <c r="Y13" s="129"/>
    </row>
    <row r="14" spans="1:28" ht="11.25" customHeight="1" x14ac:dyDescent="0.2">
      <c r="A14" s="134"/>
      <c r="B14" s="86" t="str">
        <f t="shared" si="0"/>
        <v>7Y</v>
      </c>
      <c r="C14" s="86" t="str">
        <f t="shared" si="1"/>
        <v>EON</v>
      </c>
      <c r="D14" s="86" t="str">
        <f t="shared" si="2"/>
        <v>3E</v>
      </c>
      <c r="E14" s="85" t="str">
        <f t="shared" si="3"/>
        <v>EUREON3E7Y_Quote</v>
      </c>
      <c r="F14" s="85" t="e">
        <f ca="1">_xll.cfyql_SimpleQuote(E14,,RateTickValue,Permanent,Trigger,ObjectOverwrite)</f>
        <v>#NAME?</v>
      </c>
      <c r="G14" s="42" t="e">
        <f ca="1">_xll.ohRangeRetrieveError(F14)</f>
        <v>#NAME?</v>
      </c>
      <c r="H14" s="36"/>
      <c r="J14" s="134"/>
      <c r="K14" s="140" t="s">
        <v>49</v>
      </c>
      <c r="L14" s="140" t="s">
        <v>117</v>
      </c>
      <c r="M14" s="140" t="s">
        <v>69</v>
      </c>
      <c r="N14" s="185" t="str">
        <f t="shared" si="4"/>
        <v>EUEONEU3E7Y</v>
      </c>
      <c r="O14" s="139" t="str">
        <v>EUEONEU3E7Y=ICAP</v>
      </c>
      <c r="P14" s="184">
        <v>13</v>
      </c>
      <c r="Q14" s="184">
        <v>18</v>
      </c>
      <c r="R14" s="184" t="e">
        <f ca="1">_xll.cfyql_MidSafe(P14,Q14)</f>
        <v>#NAME?</v>
      </c>
      <c r="S14" s="184" t="e">
        <f t="shared" ca="1" si="5"/>
        <v>#NAME?</v>
      </c>
      <c r="T14" s="182"/>
      <c r="U14" s="181">
        <v>15.5</v>
      </c>
      <c r="V14" s="111"/>
      <c r="W14" s="180">
        <v>15.5</v>
      </c>
      <c r="X14" s="179" t="e">
        <f ca="1">_xll.cfyql_SimpleQuoteSetValue(F14,ROUND(W14/10000,6),Trigger)</f>
        <v>#NAME?</v>
      </c>
      <c r="Y14" s="129"/>
    </row>
    <row r="15" spans="1:28" ht="11.25" customHeight="1" x14ac:dyDescent="0.2">
      <c r="A15" s="134"/>
      <c r="B15" s="86" t="str">
        <f t="shared" si="0"/>
        <v>8Y</v>
      </c>
      <c r="C15" s="86" t="str">
        <f t="shared" si="1"/>
        <v>EON</v>
      </c>
      <c r="D15" s="86" t="str">
        <f t="shared" si="2"/>
        <v>3E</v>
      </c>
      <c r="E15" s="85" t="str">
        <f t="shared" si="3"/>
        <v>EUREON3E8Y_Quote</v>
      </c>
      <c r="F15" s="85" t="e">
        <f ca="1">_xll.cfyql_SimpleQuote(E15,,RateTickValue,Permanent,Trigger,ObjectOverwrite)</f>
        <v>#NAME?</v>
      </c>
      <c r="G15" s="42" t="e">
        <f ca="1">_xll.ohRangeRetrieveError(F15)</f>
        <v>#NAME?</v>
      </c>
      <c r="H15" s="36"/>
      <c r="J15" s="134"/>
      <c r="K15" s="140" t="s">
        <v>48</v>
      </c>
      <c r="L15" s="140" t="s">
        <v>117</v>
      </c>
      <c r="M15" s="140" t="s">
        <v>69</v>
      </c>
      <c r="N15" s="185" t="str">
        <f t="shared" si="4"/>
        <v>EUEONEU3E8Y</v>
      </c>
      <c r="O15" s="139" t="str">
        <v>EUEONEU3E8Y=ICAP</v>
      </c>
      <c r="P15" s="184">
        <v>12.9</v>
      </c>
      <c r="Q15" s="184">
        <v>17.899999999999999</v>
      </c>
      <c r="R15" s="184" t="e">
        <f ca="1">_xll.cfyql_MidSafe(P15,Q15)</f>
        <v>#NAME?</v>
      </c>
      <c r="S15" s="184" t="e">
        <f t="shared" ca="1" si="5"/>
        <v>#NAME?</v>
      </c>
      <c r="T15" s="182"/>
      <c r="U15" s="181">
        <v>15.399999999999999</v>
      </c>
      <c r="V15" s="111"/>
      <c r="W15" s="180">
        <v>15.399999999999999</v>
      </c>
      <c r="X15" s="179" t="e">
        <f ca="1">_xll.cfyql_SimpleQuoteSetValue(F15,ROUND(W15/10000,6),Trigger)</f>
        <v>#NAME?</v>
      </c>
      <c r="Y15" s="129"/>
    </row>
    <row r="16" spans="1:28" ht="11.25" customHeight="1" x14ac:dyDescent="0.2">
      <c r="A16" s="134"/>
      <c r="B16" s="86" t="str">
        <f t="shared" si="0"/>
        <v>9Y</v>
      </c>
      <c r="C16" s="86" t="str">
        <f t="shared" si="1"/>
        <v>EON</v>
      </c>
      <c r="D16" s="86" t="str">
        <f t="shared" si="2"/>
        <v>3E</v>
      </c>
      <c r="E16" s="85" t="str">
        <f t="shared" si="3"/>
        <v>EUREON3E9Y_Quote</v>
      </c>
      <c r="F16" s="85" t="e">
        <f ca="1">_xll.cfyql_SimpleQuote(E16,,RateTickValue,Permanent,Trigger,ObjectOverwrite)</f>
        <v>#NAME?</v>
      </c>
      <c r="G16" s="42" t="e">
        <f ca="1">_xll.ohRangeRetrieveError(F16)</f>
        <v>#NAME?</v>
      </c>
      <c r="H16" s="36"/>
      <c r="J16" s="134"/>
      <c r="K16" s="140" t="s">
        <v>47</v>
      </c>
      <c r="L16" s="140" t="s">
        <v>117</v>
      </c>
      <c r="M16" s="140" t="s">
        <v>69</v>
      </c>
      <c r="N16" s="185" t="str">
        <f t="shared" si="4"/>
        <v>EUEONEU3E9Y</v>
      </c>
      <c r="O16" s="139" t="str">
        <v>EUEONEU3E9Y=ICAP</v>
      </c>
      <c r="P16" s="184">
        <v>12.8</v>
      </c>
      <c r="Q16" s="184">
        <v>17.8</v>
      </c>
      <c r="R16" s="184" t="e">
        <f ca="1">_xll.cfyql_MidSafe(P16,Q16)</f>
        <v>#NAME?</v>
      </c>
      <c r="S16" s="184" t="e">
        <f t="shared" ca="1" si="5"/>
        <v>#NAME?</v>
      </c>
      <c r="T16" s="182"/>
      <c r="U16" s="181">
        <v>15.3</v>
      </c>
      <c r="V16" s="111"/>
      <c r="W16" s="180">
        <v>15.3</v>
      </c>
      <c r="X16" s="179" t="e">
        <f ca="1">_xll.cfyql_SimpleQuoteSetValue(F16,ROUND(W16/10000,6),Trigger)</f>
        <v>#NAME?</v>
      </c>
      <c r="Y16" s="129"/>
    </row>
    <row r="17" spans="1:25" ht="11.25" customHeight="1" x14ac:dyDescent="0.2">
      <c r="A17" s="134"/>
      <c r="B17" s="86" t="str">
        <f t="shared" si="0"/>
        <v>10Y</v>
      </c>
      <c r="C17" s="86" t="str">
        <f t="shared" si="1"/>
        <v>EON</v>
      </c>
      <c r="D17" s="86" t="str">
        <f t="shared" si="2"/>
        <v>3E</v>
      </c>
      <c r="E17" s="85" t="str">
        <f t="shared" si="3"/>
        <v>EUREON3E10Y_Quote</v>
      </c>
      <c r="F17" s="85" t="e">
        <f ca="1">_xll.cfyql_SimpleQuote(E17,,RateTickValue,Permanent,Trigger,ObjectOverwrite)</f>
        <v>#NAME?</v>
      </c>
      <c r="G17" s="42" t="e">
        <f ca="1">_xll.ohRangeRetrieveError(F17)</f>
        <v>#NAME?</v>
      </c>
      <c r="H17" s="36"/>
      <c r="J17" s="134"/>
      <c r="K17" s="140" t="s">
        <v>46</v>
      </c>
      <c r="L17" s="140" t="s">
        <v>117</v>
      </c>
      <c r="M17" s="140" t="s">
        <v>69</v>
      </c>
      <c r="N17" s="185" t="str">
        <f t="shared" si="4"/>
        <v>EUEONEU3E10Y</v>
      </c>
      <c r="O17" s="139" t="str">
        <v>EUEONEU3E10Y=ICAP</v>
      </c>
      <c r="P17" s="184">
        <v>12.7</v>
      </c>
      <c r="Q17" s="184">
        <v>17.7</v>
      </c>
      <c r="R17" s="184" t="e">
        <f ca="1">_xll.cfyql_MidSafe(P17,Q17)</f>
        <v>#NAME?</v>
      </c>
      <c r="S17" s="184" t="e">
        <f t="shared" ca="1" si="5"/>
        <v>#NAME?</v>
      </c>
      <c r="T17" s="182"/>
      <c r="U17" s="181">
        <v>15.2</v>
      </c>
      <c r="V17" s="111"/>
      <c r="W17" s="180">
        <v>15.2</v>
      </c>
      <c r="X17" s="179" t="e">
        <f ca="1">_xll.cfyql_SimpleQuoteSetValue(F17,ROUND(W17/10000,6),Trigger)</f>
        <v>#NAME?</v>
      </c>
      <c r="Y17" s="129"/>
    </row>
    <row r="18" spans="1:25" ht="11.25" customHeight="1" x14ac:dyDescent="0.2">
      <c r="A18" s="134"/>
      <c r="B18" s="86" t="str">
        <f t="shared" si="0"/>
        <v>11Y</v>
      </c>
      <c r="C18" s="86" t="str">
        <f t="shared" si="1"/>
        <v>EON</v>
      </c>
      <c r="D18" s="86" t="str">
        <f t="shared" si="2"/>
        <v>3E</v>
      </c>
      <c r="E18" s="85" t="str">
        <f t="shared" si="3"/>
        <v>EUREON3E11Y_Quote</v>
      </c>
      <c r="F18" s="85" t="e">
        <f ca="1">_xll.cfyql_SimpleQuote(E18,,RateTickValue,Permanent,Trigger,ObjectOverwrite)</f>
        <v>#NAME?</v>
      </c>
      <c r="G18" s="42" t="e">
        <f ca="1">_xll.ohRangeRetrieveError(F18)</f>
        <v>#NAME?</v>
      </c>
      <c r="H18" s="36"/>
      <c r="J18" s="134"/>
      <c r="K18" s="140" t="s">
        <v>45</v>
      </c>
      <c r="L18" s="140" t="s">
        <v>117</v>
      </c>
      <c r="M18" s="140" t="s">
        <v>69</v>
      </c>
      <c r="N18" s="185" t="str">
        <f t="shared" si="4"/>
        <v>EUEONEU3E11Y</v>
      </c>
      <c r="O18" s="139" t="str">
        <v>EUEONEU3E11Y=ICAP</v>
      </c>
      <c r="P18" s="184">
        <v>12.6</v>
      </c>
      <c r="Q18" s="184">
        <v>17.600000000000001</v>
      </c>
      <c r="R18" s="184" t="e">
        <f ca="1">_xll.cfyql_MidSafe(P18,Q18)</f>
        <v>#NAME?</v>
      </c>
      <c r="S18" s="184" t="e">
        <f t="shared" ca="1" si="5"/>
        <v>#NAME?</v>
      </c>
      <c r="T18" s="182"/>
      <c r="U18" s="181">
        <v>15.100000000000001</v>
      </c>
      <c r="V18" s="111"/>
      <c r="W18" s="180">
        <v>15.100000000000001</v>
      </c>
      <c r="X18" s="179" t="e">
        <f ca="1">_xll.cfyql_SimpleQuoteSetValue(F18,ROUND(W18/10000,6),Trigger)</f>
        <v>#NAME?</v>
      </c>
      <c r="Y18" s="129"/>
    </row>
    <row r="19" spans="1:25" ht="11.25" customHeight="1" x14ac:dyDescent="0.2">
      <c r="A19" s="134"/>
      <c r="B19" s="86" t="str">
        <f t="shared" si="0"/>
        <v>12Y</v>
      </c>
      <c r="C19" s="86" t="str">
        <f t="shared" si="1"/>
        <v>EON</v>
      </c>
      <c r="D19" s="86" t="str">
        <f t="shared" si="2"/>
        <v>3E</v>
      </c>
      <c r="E19" s="85" t="str">
        <f t="shared" si="3"/>
        <v>EUREON3E12Y_Quote</v>
      </c>
      <c r="F19" s="85" t="e">
        <f ca="1">_xll.cfyql_SimpleQuote(E19,,RateTickValue,Permanent,Trigger,ObjectOverwrite)</f>
        <v>#NAME?</v>
      </c>
      <c r="G19" s="42" t="e">
        <f ca="1">_xll.ohRangeRetrieveError(F19)</f>
        <v>#NAME?</v>
      </c>
      <c r="H19" s="36"/>
      <c r="J19" s="134"/>
      <c r="K19" s="140" t="s">
        <v>44</v>
      </c>
      <c r="L19" s="140" t="s">
        <v>117</v>
      </c>
      <c r="M19" s="140" t="s">
        <v>69</v>
      </c>
      <c r="N19" s="185" t="str">
        <f t="shared" si="4"/>
        <v>EUEONEU3E12Y</v>
      </c>
      <c r="O19" s="139" t="str">
        <v>EUEONEU3E12Y=ICAP</v>
      </c>
      <c r="P19" s="184">
        <v>12.4</v>
      </c>
      <c r="Q19" s="184">
        <v>17.399999999999999</v>
      </c>
      <c r="R19" s="184" t="e">
        <f ca="1">_xll.cfyql_MidSafe(P19,Q19)</f>
        <v>#NAME?</v>
      </c>
      <c r="S19" s="184" t="e">
        <f t="shared" ca="1" si="5"/>
        <v>#NAME?</v>
      </c>
      <c r="T19" s="182"/>
      <c r="U19" s="181">
        <v>14.899999999999999</v>
      </c>
      <c r="V19" s="111"/>
      <c r="W19" s="180">
        <v>14.899999999999999</v>
      </c>
      <c r="X19" s="179" t="e">
        <f ca="1">_xll.cfyql_SimpleQuoteSetValue(F19,ROUND(W19/10000,6),Trigger)</f>
        <v>#NAME?</v>
      </c>
      <c r="Y19" s="129"/>
    </row>
    <row r="20" spans="1:25" ht="11.25" customHeight="1" x14ac:dyDescent="0.2">
      <c r="A20" s="134"/>
      <c r="B20" s="86" t="str">
        <f t="shared" si="0"/>
        <v>13Y</v>
      </c>
      <c r="C20" s="86" t="str">
        <f t="shared" si="1"/>
        <v>EON</v>
      </c>
      <c r="D20" s="86" t="str">
        <f t="shared" si="2"/>
        <v>3E</v>
      </c>
      <c r="E20" s="85" t="str">
        <f t="shared" si="3"/>
        <v>EUREON3E13Y_Quote</v>
      </c>
      <c r="F20" s="85" t="e">
        <f ca="1">_xll.cfyql_SimpleQuote(E20,,RateTickValue,Permanent,Trigger,ObjectOverwrite)</f>
        <v>#NAME?</v>
      </c>
      <c r="G20" s="42" t="e">
        <f ca="1">_xll.ohRangeRetrieveError(F20)</f>
        <v>#NAME?</v>
      </c>
      <c r="H20" s="36"/>
      <c r="J20" s="134"/>
      <c r="K20" s="140" t="s">
        <v>43</v>
      </c>
      <c r="L20" s="140" t="s">
        <v>117</v>
      </c>
      <c r="M20" s="140" t="s">
        <v>69</v>
      </c>
      <c r="N20" s="185" t="str">
        <f t="shared" si="4"/>
        <v>EUEONEU3E13Y</v>
      </c>
      <c r="O20" s="139" t="str">
        <v>EUEONEU3E13Y=ICAP</v>
      </c>
      <c r="P20" s="184" t="s">
        <v>109</v>
      </c>
      <c r="Q20" s="184" t="s">
        <v>109</v>
      </c>
      <c r="R20" s="184" t="e">
        <f ca="1">_xll.cfyql_MidSafe(P20,Q20)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EON</v>
      </c>
      <c r="D21" s="86" t="str">
        <f t="shared" si="2"/>
        <v>3E</v>
      </c>
      <c r="E21" s="85" t="str">
        <f t="shared" si="3"/>
        <v>EUREON3E14Y_Quote</v>
      </c>
      <c r="F21" s="85" t="e">
        <f ca="1">_xll.cfyql_SimpleQuote(E21,,RateTickValue,Permanent,Trigger,ObjectOverwrite)</f>
        <v>#NAME?</v>
      </c>
      <c r="G21" s="42" t="e">
        <f ca="1">_xll.ohRangeRetrieveError(F21)</f>
        <v>#NAME?</v>
      </c>
      <c r="H21" s="36"/>
      <c r="J21" s="134"/>
      <c r="K21" s="140" t="s">
        <v>42</v>
      </c>
      <c r="L21" s="140" t="s">
        <v>117</v>
      </c>
      <c r="M21" s="140" t="s">
        <v>69</v>
      </c>
      <c r="N21" s="185" t="str">
        <f t="shared" si="4"/>
        <v>EUEONEU3E14Y</v>
      </c>
      <c r="O21" s="139" t="str">
        <v>EUEONEU3E14Y=ICAP</v>
      </c>
      <c r="P21" s="184" t="s">
        <v>109</v>
      </c>
      <c r="Q21" s="184" t="s">
        <v>109</v>
      </c>
      <c r="R21" s="184" t="e">
        <f ca="1">_xll.cfyql_MidSafe(P21,Q21)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EON</v>
      </c>
      <c r="D22" s="86" t="str">
        <f t="shared" si="2"/>
        <v>3E</v>
      </c>
      <c r="E22" s="85" t="str">
        <f t="shared" si="3"/>
        <v>EUREON3E15Y_Quote</v>
      </c>
      <c r="F22" s="85" t="e">
        <f ca="1">_xll.cfyql_SimpleQuote(E22,,RateTickValue,Permanent,Trigger,ObjectOverwrite)</f>
        <v>#NAME?</v>
      </c>
      <c r="G22" s="42" t="e">
        <f ca="1">_xll.ohRangeRetrieveError(F22)</f>
        <v>#NAME?</v>
      </c>
      <c r="H22" s="36"/>
      <c r="J22" s="134"/>
      <c r="K22" s="140" t="s">
        <v>41</v>
      </c>
      <c r="L22" s="140" t="s">
        <v>117</v>
      </c>
      <c r="M22" s="140" t="s">
        <v>69</v>
      </c>
      <c r="N22" s="185" t="str">
        <f t="shared" si="4"/>
        <v>EUEONEU3E15Y</v>
      </c>
      <c r="O22" s="139" t="str">
        <v>EUEONEU3E15Y=ICAP</v>
      </c>
      <c r="P22" s="184">
        <v>11.5</v>
      </c>
      <c r="Q22" s="184">
        <v>16.5</v>
      </c>
      <c r="R22" s="184" t="e">
        <f ca="1">_xll.cfyql_MidSafe(P22,Q22)</f>
        <v>#NAME?</v>
      </c>
      <c r="S22" s="184" t="e">
        <f t="shared" ca="1" si="5"/>
        <v>#NAME?</v>
      </c>
      <c r="T22" s="182"/>
      <c r="U22" s="181">
        <v>14</v>
      </c>
      <c r="V22" s="111"/>
      <c r="W22" s="180">
        <v>14</v>
      </c>
      <c r="X22" s="179" t="e">
        <f ca="1">_xll.cfyql_SimpleQuoteSetValue(F22,ROUND(W22/10000,6),Trigger)</f>
        <v>#NAME?</v>
      </c>
      <c r="Y22" s="129"/>
    </row>
    <row r="23" spans="1:25" ht="11.25" customHeight="1" x14ac:dyDescent="0.2">
      <c r="A23" s="134"/>
      <c r="B23" s="86" t="str">
        <f t="shared" si="0"/>
        <v>16Y</v>
      </c>
      <c r="C23" s="86" t="str">
        <f t="shared" si="1"/>
        <v>EON</v>
      </c>
      <c r="D23" s="86" t="str">
        <f t="shared" si="2"/>
        <v>3E</v>
      </c>
      <c r="E23" s="85" t="str">
        <f t="shared" si="3"/>
        <v>EUREON3E16Y_Quote</v>
      </c>
      <c r="F23" s="85" t="e">
        <f ca="1">_xll.cfyql_SimpleQuote(E23,,RateTickValue,Permanent,Trigger,ObjectOverwrite)</f>
        <v>#NAME?</v>
      </c>
      <c r="G23" s="42" t="e">
        <f ca="1">_xll.ohRangeRetrieveError(F23)</f>
        <v>#NAME?</v>
      </c>
      <c r="H23" s="36"/>
      <c r="J23" s="134"/>
      <c r="K23" s="140" t="s">
        <v>40</v>
      </c>
      <c r="L23" s="140" t="s">
        <v>117</v>
      </c>
      <c r="M23" s="140" t="s">
        <v>69</v>
      </c>
      <c r="N23" s="185" t="str">
        <f t="shared" si="4"/>
        <v>EUEONEU3E16Y</v>
      </c>
      <c r="O23" s="139" t="str">
        <v>EUEONEU3E16Y=ICAP</v>
      </c>
      <c r="P23" s="184" t="s">
        <v>109</v>
      </c>
      <c r="Q23" s="184" t="s">
        <v>109</v>
      </c>
      <c r="R23" s="184" t="e">
        <f ca="1">_xll.cfyql_MidSafe(P23,Q23)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EON</v>
      </c>
      <c r="D24" s="86" t="str">
        <f t="shared" si="2"/>
        <v>3E</v>
      </c>
      <c r="E24" s="85" t="str">
        <f t="shared" si="3"/>
        <v>EUREON3E17Y_Quote</v>
      </c>
      <c r="F24" s="85" t="e">
        <f ca="1">_xll.cfyql_SimpleQuote(E24,,RateTickValue,Permanent,Trigger,ObjectOverwrite)</f>
        <v>#NAME?</v>
      </c>
      <c r="G24" s="42" t="e">
        <f ca="1">_xll.ohRangeRetrieveError(F24)</f>
        <v>#NAME?</v>
      </c>
      <c r="H24" s="36"/>
      <c r="J24" s="134"/>
      <c r="K24" s="140" t="s">
        <v>39</v>
      </c>
      <c r="L24" s="140" t="s">
        <v>117</v>
      </c>
      <c r="M24" s="140" t="s">
        <v>69</v>
      </c>
      <c r="N24" s="185" t="str">
        <f t="shared" si="4"/>
        <v>EUEONEU3E17Y</v>
      </c>
      <c r="O24" s="139" t="str">
        <v>EUEONEU3E17Y=ICAP</v>
      </c>
      <c r="P24" s="184" t="s">
        <v>109</v>
      </c>
      <c r="Q24" s="184" t="s">
        <v>109</v>
      </c>
      <c r="R24" s="184" t="e">
        <f ca="1">_xll.cfyql_MidSafe(P24,Q24)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EON</v>
      </c>
      <c r="D25" s="86" t="str">
        <f t="shared" si="2"/>
        <v>3E</v>
      </c>
      <c r="E25" s="85" t="str">
        <f t="shared" si="3"/>
        <v>EUREON3E18Y_Quote</v>
      </c>
      <c r="F25" s="85" t="e">
        <f ca="1">_xll.cfyql_SimpleQuote(E25,,RateTickValue,Permanent,Trigger,ObjectOverwrite)</f>
        <v>#NAME?</v>
      </c>
      <c r="G25" s="42" t="e">
        <f ca="1">_xll.ohRangeRetrieveError(F25)</f>
        <v>#NAME?</v>
      </c>
      <c r="H25" s="36"/>
      <c r="J25" s="134"/>
      <c r="K25" s="140" t="s">
        <v>38</v>
      </c>
      <c r="L25" s="140" t="s">
        <v>117</v>
      </c>
      <c r="M25" s="140" t="s">
        <v>69</v>
      </c>
      <c r="N25" s="185" t="str">
        <f t="shared" si="4"/>
        <v>EUEONEU3E18Y</v>
      </c>
      <c r="O25" s="139" t="str">
        <v>EUEONEU3E18Y=ICAP</v>
      </c>
      <c r="P25" s="184" t="s">
        <v>109</v>
      </c>
      <c r="Q25" s="184" t="s">
        <v>109</v>
      </c>
      <c r="R25" s="184" t="e">
        <f ca="1">_xll.cfyql_MidSafe(P25,Q25)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EON</v>
      </c>
      <c r="D26" s="86" t="str">
        <f t="shared" si="2"/>
        <v>3E</v>
      </c>
      <c r="E26" s="85" t="str">
        <f t="shared" si="3"/>
        <v>EUREON3E19Y_Quote</v>
      </c>
      <c r="F26" s="85" t="e">
        <f ca="1">_xll.cfyql_SimpleQuote(E26,,RateTickValue,Permanent,Trigger,ObjectOverwrite)</f>
        <v>#NAME?</v>
      </c>
      <c r="G26" s="42" t="e">
        <f ca="1">_xll.ohRangeRetrieveError(F26)</f>
        <v>#NAME?</v>
      </c>
      <c r="H26" s="36"/>
      <c r="J26" s="134"/>
      <c r="K26" s="140" t="s">
        <v>37</v>
      </c>
      <c r="L26" s="140" t="s">
        <v>117</v>
      </c>
      <c r="M26" s="140" t="s">
        <v>69</v>
      </c>
      <c r="N26" s="185" t="str">
        <f t="shared" si="4"/>
        <v>EUEONEU3E19Y</v>
      </c>
      <c r="O26" s="139" t="str">
        <v>EUEONEU3E19Y=ICAP</v>
      </c>
      <c r="P26" s="184" t="s">
        <v>109</v>
      </c>
      <c r="Q26" s="184" t="s">
        <v>109</v>
      </c>
      <c r="R26" s="184" t="e">
        <f ca="1">_xll.cfyql_MidSafe(P26,Q26)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EON</v>
      </c>
      <c r="D27" s="86" t="str">
        <f t="shared" si="2"/>
        <v>3E</v>
      </c>
      <c r="E27" s="85" t="str">
        <f t="shared" si="3"/>
        <v>EUREON3E20Y_Quote</v>
      </c>
      <c r="F27" s="85" t="e">
        <f ca="1">_xll.cfyql_SimpleQuote(E27,,RateTickValue,Permanent,Trigger,ObjectOverwrite)</f>
        <v>#NAME?</v>
      </c>
      <c r="G27" s="42" t="e">
        <f ca="1">_xll.ohRangeRetrieveError(F27)</f>
        <v>#NAME?</v>
      </c>
      <c r="H27" s="36"/>
      <c r="J27" s="134"/>
      <c r="K27" s="140" t="s">
        <v>36</v>
      </c>
      <c r="L27" s="140" t="s">
        <v>117</v>
      </c>
      <c r="M27" s="140" t="s">
        <v>69</v>
      </c>
      <c r="N27" s="185" t="str">
        <f t="shared" si="4"/>
        <v>EUEONEU3E20Y</v>
      </c>
      <c r="O27" s="139" t="str">
        <v>EUEONEU3E20Y=ICAP</v>
      </c>
      <c r="P27" s="184">
        <v>9.8000000000000007</v>
      </c>
      <c r="Q27" s="184">
        <v>14.8</v>
      </c>
      <c r="R27" s="184" t="e">
        <f ca="1">_xll.cfyql_MidSafe(P27,Q27)</f>
        <v>#NAME?</v>
      </c>
      <c r="S27" s="184" t="e">
        <f t="shared" ca="1" si="5"/>
        <v>#NAME?</v>
      </c>
      <c r="T27" s="182"/>
      <c r="U27" s="181">
        <v>12.3</v>
      </c>
      <c r="V27" s="111"/>
      <c r="W27" s="180">
        <v>12.3</v>
      </c>
      <c r="X27" s="179" t="e">
        <f ca="1">_xll.cfyql_SimpleQuoteSetValue(F27,ROUND(W27/10000,6),Trigger)</f>
        <v>#NAME?</v>
      </c>
      <c r="Y27" s="129"/>
    </row>
    <row r="28" spans="1:25" ht="11.25" customHeight="1" x14ac:dyDescent="0.2">
      <c r="A28" s="134"/>
      <c r="B28" s="86" t="str">
        <f t="shared" si="0"/>
        <v>21Y</v>
      </c>
      <c r="C28" s="86" t="str">
        <f t="shared" si="1"/>
        <v>EON</v>
      </c>
      <c r="D28" s="86" t="str">
        <f t="shared" si="2"/>
        <v>3E</v>
      </c>
      <c r="E28" s="85" t="str">
        <f t="shared" si="3"/>
        <v>EUREON3E21Y_Quote</v>
      </c>
      <c r="F28" s="85" t="e">
        <f ca="1">_xll.cfyql_SimpleQuote(E28,,RateTickValue,Permanent,Trigger,ObjectOverwrite)</f>
        <v>#NAME?</v>
      </c>
      <c r="G28" s="42" t="e">
        <f ca="1">_xll.ohRangeRetrieveError(F28)</f>
        <v>#NAME?</v>
      </c>
      <c r="H28" s="36"/>
      <c r="J28" s="134"/>
      <c r="K28" s="140" t="s">
        <v>35</v>
      </c>
      <c r="L28" s="140" t="s">
        <v>117</v>
      </c>
      <c r="M28" s="140" t="s">
        <v>69</v>
      </c>
      <c r="N28" s="185" t="str">
        <f t="shared" si="4"/>
        <v>EUEONEU3E21Y</v>
      </c>
      <c r="O28" s="139" t="str">
        <v>EUEONEU3E21Y=ICAP</v>
      </c>
      <c r="P28" s="184" t="s">
        <v>109</v>
      </c>
      <c r="Q28" s="184" t="s">
        <v>109</v>
      </c>
      <c r="R28" s="184" t="e">
        <f ca="1">_xll.cfyql_MidSafe(P28,Q28)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EON</v>
      </c>
      <c r="D29" s="86" t="str">
        <f t="shared" si="2"/>
        <v>3E</v>
      </c>
      <c r="E29" s="85" t="str">
        <f t="shared" si="3"/>
        <v>EUREON3E22Y_Quote</v>
      </c>
      <c r="F29" s="85" t="e">
        <f ca="1">_xll.cfyql_SimpleQuote(E29,,RateTickValue,Permanent,Trigger,ObjectOverwrite)</f>
        <v>#NAME?</v>
      </c>
      <c r="G29" s="42" t="e">
        <f ca="1">_xll.ohRangeRetrieveError(F29)</f>
        <v>#NAME?</v>
      </c>
      <c r="H29" s="36"/>
      <c r="J29" s="134"/>
      <c r="K29" s="140" t="s">
        <v>34</v>
      </c>
      <c r="L29" s="140" t="s">
        <v>117</v>
      </c>
      <c r="M29" s="140" t="s">
        <v>69</v>
      </c>
      <c r="N29" s="185" t="str">
        <f t="shared" si="4"/>
        <v>EUEONEU3E22Y</v>
      </c>
      <c r="O29" s="139" t="str">
        <v>EUEONEU3E22Y=ICAP</v>
      </c>
      <c r="P29" s="184" t="s">
        <v>109</v>
      </c>
      <c r="Q29" s="184" t="s">
        <v>109</v>
      </c>
      <c r="R29" s="184" t="e">
        <f ca="1">_xll.cfyql_MidSafe(P29,Q29)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EON</v>
      </c>
      <c r="D30" s="86" t="str">
        <f t="shared" si="2"/>
        <v>3E</v>
      </c>
      <c r="E30" s="85" t="str">
        <f t="shared" si="3"/>
        <v>EUREON3E23Y_Quote</v>
      </c>
      <c r="F30" s="85" t="e">
        <f ca="1">_xll.cfyql_SimpleQuote(E30,,RateTickValue,Permanent,Trigger,ObjectOverwrite)</f>
        <v>#NAME?</v>
      </c>
      <c r="G30" s="42" t="e">
        <f ca="1">_xll.ohRangeRetrieveError(F30)</f>
        <v>#NAME?</v>
      </c>
      <c r="H30" s="36"/>
      <c r="J30" s="134"/>
      <c r="K30" s="140" t="s">
        <v>33</v>
      </c>
      <c r="L30" s="140" t="s">
        <v>117</v>
      </c>
      <c r="M30" s="140" t="s">
        <v>69</v>
      </c>
      <c r="N30" s="185" t="str">
        <f t="shared" si="4"/>
        <v>EUEONEU3E23Y</v>
      </c>
      <c r="O30" s="139" t="str">
        <v>EUEONEU3E23Y=ICAP</v>
      </c>
      <c r="P30" s="184" t="s">
        <v>109</v>
      </c>
      <c r="Q30" s="184" t="s">
        <v>109</v>
      </c>
      <c r="R30" s="184" t="e">
        <f ca="1">_xll.cfyql_MidSafe(P30,Q30)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EON</v>
      </c>
      <c r="D31" s="86" t="str">
        <f t="shared" si="2"/>
        <v>3E</v>
      </c>
      <c r="E31" s="85" t="str">
        <f t="shared" si="3"/>
        <v>EUREON3E24Y_Quote</v>
      </c>
      <c r="F31" s="85" t="e">
        <f ca="1">_xll.cfyql_SimpleQuote(E31,,RateTickValue,Permanent,Trigger,ObjectOverwrite)</f>
        <v>#NAME?</v>
      </c>
      <c r="G31" s="42" t="e">
        <f ca="1">_xll.ohRangeRetrieveError(F31)</f>
        <v>#NAME?</v>
      </c>
      <c r="H31" s="36"/>
      <c r="J31" s="134"/>
      <c r="K31" s="140" t="s">
        <v>32</v>
      </c>
      <c r="L31" s="140" t="s">
        <v>117</v>
      </c>
      <c r="M31" s="140" t="s">
        <v>69</v>
      </c>
      <c r="N31" s="185" t="str">
        <f t="shared" si="4"/>
        <v>EUEONEU3E24Y</v>
      </c>
      <c r="O31" s="139" t="str">
        <v>EUEONEU3E24Y=ICAP</v>
      </c>
      <c r="P31" s="184" t="s">
        <v>109</v>
      </c>
      <c r="Q31" s="184" t="s">
        <v>109</v>
      </c>
      <c r="R31" s="184" t="e">
        <f ca="1">_xll.cfyql_MidSafe(P31,Q31)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EON</v>
      </c>
      <c r="D32" s="86" t="str">
        <f t="shared" si="2"/>
        <v>3E</v>
      </c>
      <c r="E32" s="85" t="str">
        <f t="shared" si="3"/>
        <v>EUREON3E25Y_Quote</v>
      </c>
      <c r="F32" s="85" t="e">
        <f ca="1">_xll.cfyql_SimpleQuote(E32,,RateTickValue,Permanent,Trigger,ObjectOverwrite)</f>
        <v>#NAME?</v>
      </c>
      <c r="G32" s="42" t="e">
        <f ca="1">_xll.ohRangeRetrieveError(F32)</f>
        <v>#NAME?</v>
      </c>
      <c r="H32" s="36"/>
      <c r="J32" s="134"/>
      <c r="K32" s="140" t="s">
        <v>31</v>
      </c>
      <c r="L32" s="140" t="s">
        <v>117</v>
      </c>
      <c r="M32" s="140" t="s">
        <v>69</v>
      </c>
      <c r="N32" s="185" t="str">
        <f t="shared" si="4"/>
        <v>EUEONEU3E25Y</v>
      </c>
      <c r="O32" s="139" t="str">
        <v>EUEONEU3E25Y=ICAP</v>
      </c>
      <c r="P32" s="184">
        <v>8.5</v>
      </c>
      <c r="Q32" s="184">
        <v>13.5</v>
      </c>
      <c r="R32" s="184" t="e">
        <f ca="1">_xll.cfyql_MidSafe(P32,Q32)</f>
        <v>#NAME?</v>
      </c>
      <c r="S32" s="184" t="e">
        <f t="shared" ca="1" si="5"/>
        <v>#NAME?</v>
      </c>
      <c r="T32" s="182"/>
      <c r="U32" s="181">
        <v>11</v>
      </c>
      <c r="V32" s="111"/>
      <c r="W32" s="180">
        <v>11</v>
      </c>
      <c r="X32" s="179" t="e">
        <f ca="1">_xll.cfyql_SimpleQuoteSetValue(F32,ROUND(W32/10000,6),Trigger)</f>
        <v>#NAME?</v>
      </c>
      <c r="Y32" s="129"/>
    </row>
    <row r="33" spans="1:25" ht="11.25" customHeight="1" x14ac:dyDescent="0.2">
      <c r="A33" s="134"/>
      <c r="B33" s="86" t="str">
        <f t="shared" si="0"/>
        <v>26Y</v>
      </c>
      <c r="C33" s="86" t="str">
        <f t="shared" si="1"/>
        <v>EON</v>
      </c>
      <c r="D33" s="86" t="str">
        <f t="shared" si="2"/>
        <v>3E</v>
      </c>
      <c r="E33" s="85" t="str">
        <f t="shared" si="3"/>
        <v>EUREON3E26Y_Quote</v>
      </c>
      <c r="F33" s="85" t="e">
        <f ca="1">_xll.cfyql_SimpleQuote(E33,,RateTickValue,Permanent,Trigger,ObjectOverwrite)</f>
        <v>#NAME?</v>
      </c>
      <c r="G33" s="42" t="e">
        <f ca="1">_xll.ohRangeRetrieveError(F33)</f>
        <v>#NAME?</v>
      </c>
      <c r="H33" s="36"/>
      <c r="J33" s="134"/>
      <c r="K33" s="140" t="s">
        <v>30</v>
      </c>
      <c r="L33" s="140" t="s">
        <v>117</v>
      </c>
      <c r="M33" s="140" t="s">
        <v>69</v>
      </c>
      <c r="N33" s="185" t="str">
        <f t="shared" si="4"/>
        <v>EUEONEU3E26Y</v>
      </c>
      <c r="O33" s="139" t="str">
        <v>EUEONEU3E26Y=ICAP</v>
      </c>
      <c r="P33" s="184" t="s">
        <v>109</v>
      </c>
      <c r="Q33" s="184" t="s">
        <v>109</v>
      </c>
      <c r="R33" s="184" t="e">
        <f ca="1">_xll.cfyql_MidSafe(P33,Q33)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EON</v>
      </c>
      <c r="D34" s="86" t="str">
        <f t="shared" si="2"/>
        <v>3E</v>
      </c>
      <c r="E34" s="85" t="str">
        <f t="shared" si="3"/>
        <v>EUREON3E27Y_Quote</v>
      </c>
      <c r="F34" s="85" t="e">
        <f ca="1">_xll.cfyql_SimpleQuote(E34,,RateTickValue,Permanent,Trigger,ObjectOverwrite)</f>
        <v>#NAME?</v>
      </c>
      <c r="G34" s="42" t="e">
        <f ca="1">_xll.ohRangeRetrieveError(F34)</f>
        <v>#NAME?</v>
      </c>
      <c r="H34" s="36"/>
      <c r="J34" s="134"/>
      <c r="K34" s="140" t="s">
        <v>29</v>
      </c>
      <c r="L34" s="140" t="s">
        <v>117</v>
      </c>
      <c r="M34" s="140" t="s">
        <v>69</v>
      </c>
      <c r="N34" s="185" t="str">
        <f t="shared" si="4"/>
        <v>EUEONEU3E27Y</v>
      </c>
      <c r="O34" s="139" t="str">
        <v>EUEONEU3E27Y=ICAP</v>
      </c>
      <c r="P34" s="184" t="s">
        <v>109</v>
      </c>
      <c r="Q34" s="184" t="s">
        <v>109</v>
      </c>
      <c r="R34" s="184" t="e">
        <f ca="1">_xll.cfyql_MidSafe(P34,Q34)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EON</v>
      </c>
      <c r="D35" s="86" t="str">
        <f t="shared" si="2"/>
        <v>3E</v>
      </c>
      <c r="E35" s="85" t="str">
        <f t="shared" si="3"/>
        <v>EUREON3E28Y_Quote</v>
      </c>
      <c r="F35" s="85" t="e">
        <f ca="1">_xll.cfyql_SimpleQuote(E35,,RateTickValue,Permanent,Trigger,ObjectOverwrite)</f>
        <v>#NAME?</v>
      </c>
      <c r="G35" s="42" t="e">
        <f ca="1">_xll.ohRangeRetrieveError(F35)</f>
        <v>#NAME?</v>
      </c>
      <c r="H35" s="36"/>
      <c r="J35" s="134"/>
      <c r="K35" s="140" t="s">
        <v>28</v>
      </c>
      <c r="L35" s="140" t="s">
        <v>117</v>
      </c>
      <c r="M35" s="140" t="s">
        <v>69</v>
      </c>
      <c r="N35" s="185" t="str">
        <f t="shared" si="4"/>
        <v>EUEONEU3E28Y</v>
      </c>
      <c r="O35" s="139" t="str">
        <v>EUEONEU3E28Y=ICAP</v>
      </c>
      <c r="P35" s="184" t="s">
        <v>109</v>
      </c>
      <c r="Q35" s="184" t="s">
        <v>109</v>
      </c>
      <c r="R35" s="184" t="e">
        <f ca="1">_xll.cfyql_MidSafe(P35,Q35)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EON</v>
      </c>
      <c r="D36" s="86" t="str">
        <f t="shared" si="2"/>
        <v>3E</v>
      </c>
      <c r="E36" s="85" t="str">
        <f t="shared" si="3"/>
        <v>EUREON3E29Y_Quote</v>
      </c>
      <c r="F36" s="85" t="e">
        <f ca="1">_xll.cfyql_SimpleQuote(E36,,RateTickValue,Permanent,Trigger,ObjectOverwrite)</f>
        <v>#NAME?</v>
      </c>
      <c r="G36" s="42" t="e">
        <f ca="1">_xll.ohRangeRetrieveError(F36)</f>
        <v>#NAME?</v>
      </c>
      <c r="H36" s="36"/>
      <c r="J36" s="134"/>
      <c r="K36" s="140" t="s">
        <v>27</v>
      </c>
      <c r="L36" s="140" t="s">
        <v>117</v>
      </c>
      <c r="M36" s="140" t="s">
        <v>69</v>
      </c>
      <c r="N36" s="185" t="str">
        <f t="shared" si="4"/>
        <v>EUEONEU3E29Y</v>
      </c>
      <c r="O36" s="139" t="str">
        <v>EUEONEU3E29Y=ICAP</v>
      </c>
      <c r="P36" s="184" t="s">
        <v>109</v>
      </c>
      <c r="Q36" s="184" t="s">
        <v>109</v>
      </c>
      <c r="R36" s="184" t="e">
        <f ca="1">_xll.cfyql_MidSafe(P36,Q36)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EON</v>
      </c>
      <c r="D37" s="86" t="str">
        <f t="shared" si="2"/>
        <v>3E</v>
      </c>
      <c r="E37" s="85" t="str">
        <f t="shared" si="3"/>
        <v>EUREON3E30Y_Quote</v>
      </c>
      <c r="F37" s="85" t="e">
        <f ca="1">_xll.cfyql_SimpleQuote(E37,,RateTickValue,Permanent,Trigger,ObjectOverwrite)</f>
        <v>#NAME?</v>
      </c>
      <c r="G37" s="42" t="e">
        <f ca="1">_xll.ohRangeRetrieveError(F37)</f>
        <v>#NAME?</v>
      </c>
      <c r="H37" s="36"/>
      <c r="J37" s="134"/>
      <c r="K37" s="140" t="s">
        <v>26</v>
      </c>
      <c r="L37" s="140" t="s">
        <v>117</v>
      </c>
      <c r="M37" s="140" t="s">
        <v>69</v>
      </c>
      <c r="N37" s="185" t="str">
        <f t="shared" si="4"/>
        <v>EUEONEU3E30Y</v>
      </c>
      <c r="O37" s="139" t="str">
        <v>EUEONEU3E30Y=ICAP</v>
      </c>
      <c r="P37" s="184">
        <v>7.6</v>
      </c>
      <c r="Q37" s="184">
        <v>12.6</v>
      </c>
      <c r="R37" s="184" t="e">
        <f ca="1">_xll.cfyql_MidSafe(P37,Q37)</f>
        <v>#NAME?</v>
      </c>
      <c r="S37" s="184" t="e">
        <f t="shared" ca="1" si="5"/>
        <v>#NAME?</v>
      </c>
      <c r="T37" s="182"/>
      <c r="U37" s="181">
        <v>10.1</v>
      </c>
      <c r="V37" s="111"/>
      <c r="W37" s="180">
        <v>10.1</v>
      </c>
      <c r="X37" s="179" t="e">
        <f ca="1">_xll.cfyql_SimpleQuoteSetValue(F37,ROUND(W37/10000,6),Trigger)</f>
        <v>#NAME?</v>
      </c>
      <c r="Y37" s="129"/>
    </row>
    <row r="38" spans="1:25" ht="11.25" customHeight="1" x14ac:dyDescent="0.2">
      <c r="A38" s="134"/>
      <c r="B38" s="86" t="str">
        <f t="shared" si="0"/>
        <v>35Y</v>
      </c>
      <c r="C38" s="86" t="str">
        <f t="shared" si="1"/>
        <v>EON</v>
      </c>
      <c r="D38" s="86" t="str">
        <f t="shared" si="2"/>
        <v>3E</v>
      </c>
      <c r="E38" s="85" t="str">
        <f t="shared" si="3"/>
        <v>EUREON3E35Y_Quote</v>
      </c>
      <c r="F38" s="85" t="e">
        <f ca="1">_xll.cfyql_SimpleQuote(E38,,RateTickValue,Permanent,Trigger,ObjectOverwrite)</f>
        <v>#NAME?</v>
      </c>
      <c r="G38" s="42" t="e">
        <f ca="1">_xll.ohRangeRetrieveError(F38)</f>
        <v>#NAME?</v>
      </c>
      <c r="H38" s="36"/>
      <c r="J38" s="134"/>
      <c r="K38" s="140" t="s">
        <v>25</v>
      </c>
      <c r="L38" s="140" t="s">
        <v>117</v>
      </c>
      <c r="M38" s="140" t="s">
        <v>69</v>
      </c>
      <c r="N38" s="185" t="str">
        <f t="shared" si="4"/>
        <v>EUEONEU3E35Y</v>
      </c>
      <c r="O38" s="139" t="str">
        <v>EUEONEU3E35Y=ICAP</v>
      </c>
      <c r="P38" s="184" t="s">
        <v>109</v>
      </c>
      <c r="Q38" s="184" t="s">
        <v>109</v>
      </c>
      <c r="R38" s="184" t="e">
        <f ca="1">_xll.cfyql_MidSafe(P38,Q38)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EON</v>
      </c>
      <c r="D39" s="86" t="str">
        <f t="shared" si="2"/>
        <v>3E</v>
      </c>
      <c r="E39" s="85" t="str">
        <f t="shared" si="3"/>
        <v>EUREON3E40Y_Quote</v>
      </c>
      <c r="F39" s="85" t="e">
        <f ca="1">_xll.cfyql_SimpleQuote(E39,,RateTickValue,Permanent,Trigger,ObjectOverwrite)</f>
        <v>#NAME?</v>
      </c>
      <c r="G39" s="42" t="e">
        <f ca="1">_xll.ohRangeRetrieveError(F39)</f>
        <v>#NAME?</v>
      </c>
      <c r="H39" s="36"/>
      <c r="J39" s="134"/>
      <c r="K39" s="140" t="s">
        <v>24</v>
      </c>
      <c r="L39" s="140" t="s">
        <v>117</v>
      </c>
      <c r="M39" s="140" t="s">
        <v>69</v>
      </c>
      <c r="N39" s="185" t="str">
        <f t="shared" si="4"/>
        <v>EUEONEU3E40Y</v>
      </c>
      <c r="O39" s="139" t="str">
        <v>EUEONEU3E40Y=ICAP</v>
      </c>
      <c r="P39" s="184">
        <v>6.1</v>
      </c>
      <c r="Q39" s="184">
        <v>11.1</v>
      </c>
      <c r="R39" s="184" t="e">
        <f ca="1">_xll.cfyql_MidSafe(P39,Q39)</f>
        <v>#NAME?</v>
      </c>
      <c r="S39" s="184" t="e">
        <f t="shared" ca="1" si="5"/>
        <v>#NAME?</v>
      </c>
      <c r="T39" s="182"/>
      <c r="U39" s="181">
        <v>8.6</v>
      </c>
      <c r="V39" s="111"/>
      <c r="W39" s="180">
        <v>8.6</v>
      </c>
      <c r="X39" s="179" t="e">
        <f ca="1">_xll.cfyql_SimpleQuoteSetValue(F39,ROUND(W39/10000,6),Trigger)</f>
        <v>#NAME?</v>
      </c>
      <c r="Y39" s="129"/>
    </row>
    <row r="40" spans="1:25" ht="11.25" customHeight="1" x14ac:dyDescent="0.2">
      <c r="A40" s="134"/>
      <c r="B40" s="86" t="str">
        <f t="shared" si="0"/>
        <v>50Y</v>
      </c>
      <c r="C40" s="86" t="str">
        <f t="shared" si="1"/>
        <v>EON</v>
      </c>
      <c r="D40" s="86" t="str">
        <f t="shared" si="2"/>
        <v>3E</v>
      </c>
      <c r="E40" s="85" t="str">
        <f t="shared" si="3"/>
        <v>EUREON3E50Y_Quote</v>
      </c>
      <c r="F40" s="85" t="e">
        <f ca="1">_xll.cfyql_SimpleQuote(E40,,RateTickValue,Permanent,Trigger,ObjectOverwrite)</f>
        <v>#NAME?</v>
      </c>
      <c r="G40" s="42" t="e">
        <f ca="1">_xll.ohRangeRetrieveError(F40)</f>
        <v>#NAME?</v>
      </c>
      <c r="H40" s="36"/>
      <c r="J40" s="134"/>
      <c r="K40" s="140" t="s">
        <v>23</v>
      </c>
      <c r="L40" s="140" t="s">
        <v>117</v>
      </c>
      <c r="M40" s="140" t="s">
        <v>69</v>
      </c>
      <c r="N40" s="185" t="str">
        <f t="shared" si="4"/>
        <v>EUEONEU3E50Y</v>
      </c>
      <c r="O40" s="139" t="str">
        <v>EUEONEU3E50Y=ICAP</v>
      </c>
      <c r="P40" s="184">
        <v>5.0999999999999996</v>
      </c>
      <c r="Q40" s="184">
        <v>10.1</v>
      </c>
      <c r="R40" s="184" t="e">
        <f ca="1">_xll.cfyql_MidSafe(P40,Q40)</f>
        <v>#NAME?</v>
      </c>
      <c r="S40" s="184" t="e">
        <f t="shared" ca="1" si="5"/>
        <v>#NAME?</v>
      </c>
      <c r="T40" s="182"/>
      <c r="U40" s="181">
        <v>7.6</v>
      </c>
      <c r="V40" s="111"/>
      <c r="W40" s="180">
        <v>7.6</v>
      </c>
      <c r="X40" s="179" t="e">
        <f ca="1">_xll.cfyql_SimpleQuoteSetValue(F40,ROUND(W40/10000,6),Trigger)</f>
        <v>#NAME?</v>
      </c>
      <c r="Y40" s="129"/>
    </row>
    <row r="41" spans="1:25" ht="11.25" customHeight="1" x14ac:dyDescent="0.2">
      <c r="A41" s="134"/>
      <c r="B41" s="75" t="str">
        <f t="shared" si="0"/>
        <v>60Y</v>
      </c>
      <c r="C41" s="75" t="str">
        <f t="shared" si="1"/>
        <v>EON</v>
      </c>
      <c r="D41" s="75" t="str">
        <f t="shared" si="2"/>
        <v>3E</v>
      </c>
      <c r="E41" s="74" t="str">
        <f t="shared" si="3"/>
        <v>EUREON3E60Y_Quote</v>
      </c>
      <c r="F41" s="74" t="e">
        <f ca="1">_xll.cfyql_SimpleQuote(E41,,RateTickValue,Permanent,Trigger,ObjectOverwrite)</f>
        <v>#NAME?</v>
      </c>
      <c r="G41" s="37" t="e">
        <f ca="1">_xll.ohRangeRetrieveError(F41)</f>
        <v>#NAME?</v>
      </c>
      <c r="H41" s="36"/>
      <c r="J41" s="134"/>
      <c r="K41" s="133" t="s">
        <v>22</v>
      </c>
      <c r="L41" s="133" t="s">
        <v>117</v>
      </c>
      <c r="M41" s="133" t="s">
        <v>69</v>
      </c>
      <c r="N41" s="193" t="str">
        <f t="shared" si="4"/>
        <v>EUEONEU3E60Y</v>
      </c>
      <c r="O41" s="132" t="str">
        <v>EUEONEU3E60Y=ICAP</v>
      </c>
      <c r="P41" s="183">
        <v>4.4000000000000004</v>
      </c>
      <c r="Q41" s="183">
        <v>9.4</v>
      </c>
      <c r="R41" s="183" t="e">
        <f ca="1">_xll.cfyql_MidSafe(P41,Q41)</f>
        <v>#NAME?</v>
      </c>
      <c r="S41" s="183" t="e">
        <f t="shared" ca="1" si="5"/>
        <v>#NAME?</v>
      </c>
      <c r="T41" s="182"/>
      <c r="U41" s="194">
        <v>6.9</v>
      </c>
      <c r="V41" s="172"/>
      <c r="W41" s="192">
        <v>6.9</v>
      </c>
      <c r="X41" s="191" t="e">
        <f ca="1">_xll.cfyql_SimpleQuoteSetValue(F41,ROUND(W41/10000,6),Trigger)</f>
        <v>#NAME?</v>
      </c>
      <c r="Y41" s="129"/>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0"/>
      <c r="B1" s="109"/>
      <c r="C1" s="109"/>
      <c r="D1" s="109"/>
      <c r="E1" s="109"/>
      <c r="F1" s="150"/>
      <c r="G1" s="109"/>
      <c r="H1" s="119"/>
      <c r="J1" s="152" t="s">
        <v>116</v>
      </c>
      <c r="K1" s="122"/>
      <c r="L1" s="122"/>
      <c r="M1" s="122"/>
      <c r="N1" s="122"/>
      <c r="O1" s="122"/>
      <c r="P1" s="122"/>
      <c r="Q1" s="122"/>
      <c r="R1" s="122"/>
      <c r="S1" s="122"/>
      <c r="T1" s="122"/>
      <c r="U1" s="122"/>
      <c r="V1" s="122"/>
      <c r="W1" s="122"/>
      <c r="X1" s="122"/>
      <c r="Y1" s="170"/>
    </row>
    <row r="2" spans="1:28" ht="15" x14ac:dyDescent="0.25">
      <c r="A2" s="109"/>
      <c r="B2" s="109"/>
      <c r="C2" s="109"/>
      <c r="D2" s="109"/>
      <c r="E2" s="109"/>
      <c r="F2" s="150"/>
      <c r="G2" s="109"/>
      <c r="H2" s="119"/>
      <c r="J2" s="112"/>
      <c r="K2" s="111"/>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5.75" thickBot="1" x14ac:dyDescent="0.3">
      <c r="A3" s="189"/>
      <c r="B3" s="109"/>
      <c r="C3" s="109"/>
      <c r="D3" s="109"/>
      <c r="E3" s="109"/>
      <c r="F3" s="150"/>
      <c r="G3" s="109"/>
      <c r="H3" s="119"/>
      <c r="J3" s="134"/>
      <c r="K3" s="111"/>
      <c r="L3" s="110"/>
      <c r="M3" s="110"/>
      <c r="N3" s="110"/>
      <c r="O3" s="110"/>
      <c r="P3" s="110"/>
      <c r="Q3" s="110"/>
      <c r="R3" s="110"/>
      <c r="S3" s="110"/>
      <c r="T3" s="111"/>
      <c r="U3" s="111"/>
      <c r="V3" s="111"/>
      <c r="W3" s="110"/>
      <c r="X3" s="189"/>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1E</v>
      </c>
      <c r="D5" s="86" t="str">
        <f t="shared" ref="D5:D41" si="2">M5</f>
        <v>6E</v>
      </c>
      <c r="E5" s="85" t="str">
        <f t="shared" ref="E5:E41" si="3">IF(ISBLANK(C5),"#",Currency&amp;$C5&amp;$D5&amp;$B5&amp;QuoteSuffix)</f>
        <v>EUR1E6E1Y_Quote</v>
      </c>
      <c r="F5" s="85" t="e">
        <f ca="1">_xll.cfyql_SimpleQuote(E5,,RateTickValue,Permanent,Trigger,ObjectOverwrite)</f>
        <v>#NAME?</v>
      </c>
      <c r="G5" s="42" t="e">
        <f ca="1">_xll.ohRangeRetrieveError(F5)</f>
        <v>#NAME?</v>
      </c>
      <c r="H5" s="36"/>
      <c r="J5" s="186"/>
      <c r="K5" s="140" t="s">
        <v>58</v>
      </c>
      <c r="L5" s="140" t="s">
        <v>71</v>
      </c>
      <c r="M5" s="140" t="s">
        <v>66</v>
      </c>
      <c r="N5" s="185" t="str">
        <f t="shared" ref="N5:N41" si="4">Currency&amp;$L5&amp;$M5&amp;$K5</f>
        <v>EUR1E6E1Y</v>
      </c>
      <c r="O5" s="139" t="str">
        <f t="array" ref="O5:O41">Instruments&amp;"="&amp;VLOOKUP(Contributor,ContributorTable,2,FALSE)</f>
        <v>EUR1E6E1Y=ICAP</v>
      </c>
      <c r="P5" s="184">
        <v>16.399999999999999</v>
      </c>
      <c r="Q5" s="184">
        <v>0</v>
      </c>
      <c r="R5" s="184" t="e">
        <f ca="1">_xll.cfyql_MidEquivalent(P5,Q5)</f>
        <v>#NAME?</v>
      </c>
      <c r="S5" s="184" t="e">
        <f t="shared" ref="S5:S41" ca="1" si="5">(R5-P5)*2</f>
        <v>#NAME?</v>
      </c>
      <c r="T5" s="182"/>
      <c r="U5" s="181">
        <v>16.399999999999999</v>
      </c>
      <c r="V5" s="111"/>
      <c r="W5" s="180">
        <f t="array" ref="W5:W41">QuoteStatic</f>
        <v>16.399999999999999</v>
      </c>
      <c r="X5" s="179" t="e">
        <f ca="1">_xll.cfyql_SimpleQuoteSetValue(F5,ROUND(W5/10000,6),Trigger)</f>
        <v>#NAME?</v>
      </c>
      <c r="Y5" s="129"/>
    </row>
    <row r="6" spans="1:28" ht="11.25" customHeight="1" x14ac:dyDescent="0.2">
      <c r="A6" s="134"/>
      <c r="B6" s="86" t="str">
        <f t="shared" si="0"/>
        <v>15M</v>
      </c>
      <c r="C6" s="86" t="str">
        <f t="shared" si="1"/>
        <v>1E</v>
      </c>
      <c r="D6" s="86" t="str">
        <f t="shared" si="2"/>
        <v>6E</v>
      </c>
      <c r="E6" s="85" t="str">
        <f t="shared" si="3"/>
        <v>EUR1E6E15M_Quote</v>
      </c>
      <c r="F6" s="85" t="e">
        <f ca="1">_xll.cfyql_SimpleQuote(E6,,RateTickValue,Permanent,Trigger,ObjectOverwrite)</f>
        <v>#NAME?</v>
      </c>
      <c r="G6" s="42" t="e">
        <f ca="1">_xll.ohRangeRetrieveError(F6)</f>
        <v>#NAME?</v>
      </c>
      <c r="H6" s="36"/>
      <c r="J6" s="186"/>
      <c r="K6" s="140" t="s">
        <v>57</v>
      </c>
      <c r="L6" s="140" t="s">
        <v>71</v>
      </c>
      <c r="M6" s="140" t="s">
        <v>66</v>
      </c>
      <c r="N6" s="185" t="str">
        <f t="shared" si="4"/>
        <v>EUR1E6E15M</v>
      </c>
      <c r="O6" s="139" t="str">
        <v>EUR1E6E15M=ICAP</v>
      </c>
      <c r="P6" s="184" t="s">
        <v>109</v>
      </c>
      <c r="Q6" s="184" t="s">
        <v>109</v>
      </c>
      <c r="R6" s="184" t="e">
        <f ca="1">_xll.cfyql_MidEquivalent(P6,Q6)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1E</v>
      </c>
      <c r="D7" s="86" t="str">
        <f t="shared" si="2"/>
        <v>6E</v>
      </c>
      <c r="E7" s="85" t="str">
        <f t="shared" si="3"/>
        <v>EUR1E6E18M_Quote</v>
      </c>
      <c r="F7" s="85" t="e">
        <f ca="1">_xll.cfyql_SimpleQuote(E7,,RateTickValue,Permanent,Trigger,ObjectOverwrite)</f>
        <v>#NAME?</v>
      </c>
      <c r="G7" s="42" t="e">
        <f ca="1">_xll.ohRangeRetrieveError(F7)</f>
        <v>#NAME?</v>
      </c>
      <c r="H7" s="36"/>
      <c r="J7" s="186"/>
      <c r="K7" s="140" t="s">
        <v>56</v>
      </c>
      <c r="L7" s="140" t="s">
        <v>71</v>
      </c>
      <c r="M7" s="140" t="s">
        <v>66</v>
      </c>
      <c r="N7" s="185" t="str">
        <f t="shared" si="4"/>
        <v>EUR1E6E18M</v>
      </c>
      <c r="O7" s="139" t="str">
        <v>EUR1E6E18M=ICAP</v>
      </c>
      <c r="P7" s="184" t="s">
        <v>109</v>
      </c>
      <c r="Q7" s="184" t="s">
        <v>109</v>
      </c>
      <c r="R7" s="184" t="e">
        <f ca="1">_xll.cfyql_MidEquivalent(P7,Q7)</f>
        <v>#NAME?</v>
      </c>
      <c r="S7" s="184" t="e">
        <f t="shared" ca="1" si="5"/>
        <v>#NAME?</v>
      </c>
      <c r="T7" s="182"/>
      <c r="U7" s="181" t="e">
        <v>#NUM!</v>
      </c>
      <c r="V7" s="111"/>
      <c r="W7" s="180" t="e">
        <v>#NUM!</v>
      </c>
      <c r="X7" s="179" t="e">
        <f ca="1">_xll.cfyql_SimpleQuoteSetValue(F7,ROUND(W7/10000,6),Trigger)</f>
        <v>#NAME?</v>
      </c>
      <c r="Y7" s="129"/>
    </row>
    <row r="8" spans="1:28" ht="11.25" customHeight="1" x14ac:dyDescent="0.2">
      <c r="A8" s="134"/>
      <c r="B8" s="86" t="str">
        <f t="shared" si="0"/>
        <v>21M</v>
      </c>
      <c r="C8" s="86" t="str">
        <f t="shared" si="1"/>
        <v>1E</v>
      </c>
      <c r="D8" s="86" t="str">
        <f t="shared" si="2"/>
        <v>6E</v>
      </c>
      <c r="E8" s="85" t="str">
        <f t="shared" si="3"/>
        <v>EUR1E6E21M_Quote</v>
      </c>
      <c r="F8" s="85" t="e">
        <f ca="1">_xll.cfyql_SimpleQuote(E8,,RateTickValue,Permanent,Trigger,ObjectOverwrite)</f>
        <v>#NAME?</v>
      </c>
      <c r="G8" s="42" t="e">
        <f ca="1">_xll.ohRangeRetrieveError(F8)</f>
        <v>#NAME?</v>
      </c>
      <c r="H8" s="36"/>
      <c r="J8" s="186"/>
      <c r="K8" s="140" t="s">
        <v>55</v>
      </c>
      <c r="L8" s="140" t="s">
        <v>71</v>
      </c>
      <c r="M8" s="140" t="s">
        <v>66</v>
      </c>
      <c r="N8" s="185" t="str">
        <f t="shared" si="4"/>
        <v>EUR1E6E21M</v>
      </c>
      <c r="O8" s="139" t="str">
        <v>EUR1E6E21M=ICAP</v>
      </c>
      <c r="P8" s="184" t="s">
        <v>109</v>
      </c>
      <c r="Q8" s="184" t="s">
        <v>109</v>
      </c>
      <c r="R8" s="184" t="e">
        <f ca="1">_xll.cfyql_MidEquivalent(P8,Q8)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1E</v>
      </c>
      <c r="D9" s="86" t="str">
        <f t="shared" si="2"/>
        <v>6E</v>
      </c>
      <c r="E9" s="85" t="str">
        <f t="shared" si="3"/>
        <v>EUR1E6E2Y_Quote</v>
      </c>
      <c r="F9" s="85" t="e">
        <f ca="1">_xll.cfyql_SimpleQuote(E9,,RateTickValue,Permanent,Trigger,ObjectOverwrite)</f>
        <v>#NAME?</v>
      </c>
      <c r="G9" s="42" t="e">
        <f ca="1">_xll.ohRangeRetrieveError(F9)</f>
        <v>#NAME?</v>
      </c>
      <c r="H9" s="36"/>
      <c r="J9" s="134"/>
      <c r="K9" s="140" t="s">
        <v>54</v>
      </c>
      <c r="L9" s="140" t="s">
        <v>71</v>
      </c>
      <c r="M9" s="140" t="s">
        <v>66</v>
      </c>
      <c r="N9" s="185" t="str">
        <f t="shared" si="4"/>
        <v>EUR1E6E2Y</v>
      </c>
      <c r="O9" s="139" t="str">
        <v>EUR1E6E2Y=ICAP</v>
      </c>
      <c r="P9" s="184">
        <v>17.899999999999999</v>
      </c>
      <c r="Q9" s="184">
        <v>0</v>
      </c>
      <c r="R9" s="184" t="e">
        <f ca="1">_xll.cfyql_MidEquivalent(P9,Q9)</f>
        <v>#NAME?</v>
      </c>
      <c r="S9" s="184" t="e">
        <f t="shared" ca="1" si="5"/>
        <v>#NAME?</v>
      </c>
      <c r="T9" s="182"/>
      <c r="U9" s="181">
        <v>17.899999999999999</v>
      </c>
      <c r="V9" s="111"/>
      <c r="W9" s="180">
        <v>17.899999999999999</v>
      </c>
      <c r="X9" s="179" t="e">
        <f ca="1">_xll.cfyql_SimpleQuoteSetValue(F9,ROUND(W9/10000,6),Trigger)</f>
        <v>#NAME?</v>
      </c>
      <c r="Y9" s="129"/>
    </row>
    <row r="10" spans="1:28" ht="11.25" customHeight="1" x14ac:dyDescent="0.2">
      <c r="A10" s="134"/>
      <c r="B10" s="86" t="str">
        <f t="shared" si="0"/>
        <v>3Y</v>
      </c>
      <c r="C10" s="86" t="str">
        <f t="shared" si="1"/>
        <v>1E</v>
      </c>
      <c r="D10" s="86" t="str">
        <f t="shared" si="2"/>
        <v>6E</v>
      </c>
      <c r="E10" s="85" t="str">
        <f t="shared" si="3"/>
        <v>EUR1E6E3Y_Quote</v>
      </c>
      <c r="F10" s="85" t="e">
        <f ca="1">_xll.cfyql_SimpleQuote(E10,,RateTickValue,Permanent,Trigger,ObjectOverwrite)</f>
        <v>#NAME?</v>
      </c>
      <c r="G10" s="42" t="e">
        <f ca="1">_xll.ohRangeRetrieveError(F10)</f>
        <v>#NAME?</v>
      </c>
      <c r="H10" s="36"/>
      <c r="J10" s="134"/>
      <c r="K10" s="140" t="s">
        <v>53</v>
      </c>
      <c r="L10" s="140" t="s">
        <v>71</v>
      </c>
      <c r="M10" s="140" t="s">
        <v>66</v>
      </c>
      <c r="N10" s="185" t="str">
        <f t="shared" si="4"/>
        <v>EUR1E6E3Y</v>
      </c>
      <c r="O10" s="139" t="str">
        <v>EUR1E6E3Y=ICAP</v>
      </c>
      <c r="P10" s="184">
        <v>19.5</v>
      </c>
      <c r="Q10" s="184">
        <v>0</v>
      </c>
      <c r="R10" s="184" t="e">
        <f ca="1">_xll.cfyql_MidEquivalent(P10,Q10)</f>
        <v>#NAME?</v>
      </c>
      <c r="S10" s="184" t="e">
        <f t="shared" ca="1" si="5"/>
        <v>#NAME?</v>
      </c>
      <c r="T10" s="182"/>
      <c r="U10" s="181">
        <v>19.5</v>
      </c>
      <c r="V10" s="111"/>
      <c r="W10" s="180">
        <v>19.5</v>
      </c>
      <c r="X10" s="179" t="e">
        <f ca="1">_xll.cfyql_SimpleQuoteSetValue(F10,ROUND(W10/10000,6),Trigger)</f>
        <v>#NAME?</v>
      </c>
      <c r="Y10" s="129"/>
    </row>
    <row r="11" spans="1:28" ht="11.25" customHeight="1" x14ac:dyDescent="0.2">
      <c r="A11" s="134"/>
      <c r="B11" s="86" t="str">
        <f t="shared" si="0"/>
        <v>4Y</v>
      </c>
      <c r="C11" s="86" t="str">
        <f t="shared" si="1"/>
        <v>1E</v>
      </c>
      <c r="D11" s="86" t="str">
        <f t="shared" si="2"/>
        <v>6E</v>
      </c>
      <c r="E11" s="85" t="str">
        <f t="shared" si="3"/>
        <v>EUR1E6E4Y_Quote</v>
      </c>
      <c r="F11" s="85" t="e">
        <f ca="1">_xll.cfyql_SimpleQuote(E11,,RateTickValue,Permanent,Trigger,ObjectOverwrite)</f>
        <v>#NAME?</v>
      </c>
      <c r="G11" s="42" t="e">
        <f ca="1">_xll.ohRangeRetrieveError(F11)</f>
        <v>#NAME?</v>
      </c>
      <c r="H11" s="36"/>
      <c r="J11" s="134"/>
      <c r="K11" s="140" t="s">
        <v>52</v>
      </c>
      <c r="L11" s="140" t="s">
        <v>71</v>
      </c>
      <c r="M11" s="140" t="s">
        <v>66</v>
      </c>
      <c r="N11" s="185" t="str">
        <f t="shared" si="4"/>
        <v>EUR1E6E4Y</v>
      </c>
      <c r="O11" s="139" t="str">
        <v>EUR1E6E4Y=ICAP</v>
      </c>
      <c r="P11" s="184">
        <v>20.7</v>
      </c>
      <c r="Q11" s="184">
        <v>0</v>
      </c>
      <c r="R11" s="184" t="e">
        <f ca="1">_xll.cfyql_MidEquivalent(P11,Q11)</f>
        <v>#NAME?</v>
      </c>
      <c r="S11" s="184" t="e">
        <f t="shared" ca="1" si="5"/>
        <v>#NAME?</v>
      </c>
      <c r="T11" s="182"/>
      <c r="U11" s="181">
        <v>20.7</v>
      </c>
      <c r="V11" s="111"/>
      <c r="W11" s="180">
        <v>20.7</v>
      </c>
      <c r="X11" s="179" t="e">
        <f ca="1">_xll.cfyql_SimpleQuoteSetValue(F11,ROUND(W11/10000,6),Trigger)</f>
        <v>#NAME?</v>
      </c>
      <c r="Y11" s="129"/>
    </row>
    <row r="12" spans="1:28" x14ac:dyDescent="0.2">
      <c r="A12" s="134"/>
      <c r="B12" s="86" t="str">
        <f t="shared" si="0"/>
        <v>5Y</v>
      </c>
      <c r="C12" s="86" t="str">
        <f t="shared" si="1"/>
        <v>1E</v>
      </c>
      <c r="D12" s="86" t="str">
        <f t="shared" si="2"/>
        <v>6E</v>
      </c>
      <c r="E12" s="85" t="str">
        <f t="shared" si="3"/>
        <v>EUR1E6E5Y_Quote</v>
      </c>
      <c r="F12" s="85" t="e">
        <f ca="1">_xll.cfyql_SimpleQuote(E12,,RateTickValue,Permanent,Trigger,ObjectOverwrite)</f>
        <v>#NAME?</v>
      </c>
      <c r="G12" s="42" t="e">
        <f ca="1">_xll.ohRangeRetrieveError(F12)</f>
        <v>#NAME?</v>
      </c>
      <c r="H12" s="36"/>
      <c r="J12" s="134"/>
      <c r="K12" s="140" t="s">
        <v>51</v>
      </c>
      <c r="L12" s="140" t="s">
        <v>71</v>
      </c>
      <c r="M12" s="140" t="s">
        <v>66</v>
      </c>
      <c r="N12" s="185" t="str">
        <f t="shared" si="4"/>
        <v>EUR1E6E5Y</v>
      </c>
      <c r="O12" s="139" t="str">
        <v>EUR1E6E5Y=ICAP</v>
      </c>
      <c r="P12" s="184">
        <v>21.5</v>
      </c>
      <c r="Q12" s="184">
        <v>0</v>
      </c>
      <c r="R12" s="184" t="e">
        <f ca="1">_xll.cfyql_MidEquivalent(P12,Q12)</f>
        <v>#NAME?</v>
      </c>
      <c r="S12" s="184" t="e">
        <f t="shared" ca="1" si="5"/>
        <v>#NAME?</v>
      </c>
      <c r="T12" s="182"/>
      <c r="U12" s="181">
        <v>21.5</v>
      </c>
      <c r="V12" s="111"/>
      <c r="W12" s="180">
        <v>21.5</v>
      </c>
      <c r="X12" s="179" t="e">
        <f ca="1">_xll.cfyql_SimpleQuoteSetValue(F12,ROUND(W12/10000,6),Trigger)</f>
        <v>#NAME?</v>
      </c>
      <c r="Y12" s="129"/>
    </row>
    <row r="13" spans="1:28" x14ac:dyDescent="0.2">
      <c r="A13" s="134"/>
      <c r="B13" s="86" t="str">
        <f t="shared" si="0"/>
        <v>6Y</v>
      </c>
      <c r="C13" s="86" t="str">
        <f t="shared" si="1"/>
        <v>1E</v>
      </c>
      <c r="D13" s="86" t="str">
        <f t="shared" si="2"/>
        <v>6E</v>
      </c>
      <c r="E13" s="85" t="str">
        <f t="shared" si="3"/>
        <v>EUR1E6E6Y_Quote</v>
      </c>
      <c r="F13" s="85" t="e">
        <f ca="1">_xll.cfyql_SimpleQuote(E13,,RateTickValue,Permanent,Trigger,ObjectOverwrite)</f>
        <v>#NAME?</v>
      </c>
      <c r="G13" s="42" t="e">
        <f ca="1">_xll.ohRangeRetrieveError(F13)</f>
        <v>#NAME?</v>
      </c>
      <c r="H13" s="36"/>
      <c r="J13" s="134"/>
      <c r="K13" s="140" t="s">
        <v>50</v>
      </c>
      <c r="L13" s="140" t="s">
        <v>71</v>
      </c>
      <c r="M13" s="140" t="s">
        <v>66</v>
      </c>
      <c r="N13" s="185" t="str">
        <f t="shared" si="4"/>
        <v>EUR1E6E6Y</v>
      </c>
      <c r="O13" s="139" t="str">
        <v>EUR1E6E6Y=ICAP</v>
      </c>
      <c r="P13" s="184">
        <v>21.6</v>
      </c>
      <c r="Q13" s="184">
        <v>0</v>
      </c>
      <c r="R13" s="184" t="e">
        <f ca="1">_xll.cfyql_MidEquivalent(P13,Q13)</f>
        <v>#NAME?</v>
      </c>
      <c r="S13" s="184" t="e">
        <f t="shared" ca="1" si="5"/>
        <v>#NAME?</v>
      </c>
      <c r="T13" s="182"/>
      <c r="U13" s="181">
        <v>21.6</v>
      </c>
      <c r="V13" s="111"/>
      <c r="W13" s="180">
        <v>21.6</v>
      </c>
      <c r="X13" s="179" t="e">
        <f ca="1">_xll.cfyql_SimpleQuoteSetValue(F13,ROUND(W13/10000,6),Trigger)</f>
        <v>#NAME?</v>
      </c>
      <c r="Y13" s="129"/>
    </row>
    <row r="14" spans="1:28" x14ac:dyDescent="0.2">
      <c r="A14" s="134"/>
      <c r="B14" s="86" t="str">
        <f t="shared" si="0"/>
        <v>7Y</v>
      </c>
      <c r="C14" s="86" t="str">
        <f t="shared" si="1"/>
        <v>1E</v>
      </c>
      <c r="D14" s="86" t="str">
        <f t="shared" si="2"/>
        <v>6E</v>
      </c>
      <c r="E14" s="85" t="str">
        <f t="shared" si="3"/>
        <v>EUR1E6E7Y_Quote</v>
      </c>
      <c r="F14" s="85" t="e">
        <f ca="1">_xll.cfyql_SimpleQuote(E14,,RateTickValue,Permanent,Trigger,ObjectOverwrite)</f>
        <v>#NAME?</v>
      </c>
      <c r="G14" s="42" t="e">
        <f ca="1">_xll.ohRangeRetrieveError(F14)</f>
        <v>#NAME?</v>
      </c>
      <c r="H14" s="36"/>
      <c r="J14" s="134"/>
      <c r="K14" s="140" t="s">
        <v>49</v>
      </c>
      <c r="L14" s="140" t="s">
        <v>71</v>
      </c>
      <c r="M14" s="140" t="s">
        <v>66</v>
      </c>
      <c r="N14" s="185" t="str">
        <f t="shared" si="4"/>
        <v>EUR1E6E7Y</v>
      </c>
      <c r="O14" s="139" t="str">
        <v>EUR1E6E7Y=ICAP</v>
      </c>
      <c r="P14" s="184">
        <v>21.5</v>
      </c>
      <c r="Q14" s="184">
        <v>0</v>
      </c>
      <c r="R14" s="184" t="e">
        <f ca="1">_xll.cfyql_MidEquivalent(P14,Q14)</f>
        <v>#NAME?</v>
      </c>
      <c r="S14" s="184" t="e">
        <f t="shared" ca="1" si="5"/>
        <v>#NAME?</v>
      </c>
      <c r="T14" s="182"/>
      <c r="U14" s="181">
        <v>21.5</v>
      </c>
      <c r="V14" s="111"/>
      <c r="W14" s="180">
        <v>21.5</v>
      </c>
      <c r="X14" s="179" t="e">
        <f ca="1">_xll.cfyql_SimpleQuoteSetValue(F14,ROUND(W14/10000,6),Trigger)</f>
        <v>#NAME?</v>
      </c>
      <c r="Y14" s="129"/>
    </row>
    <row r="15" spans="1:28" x14ac:dyDescent="0.2">
      <c r="A15" s="134"/>
      <c r="B15" s="86" t="str">
        <f t="shared" si="0"/>
        <v>8Y</v>
      </c>
      <c r="C15" s="86" t="str">
        <f t="shared" si="1"/>
        <v>1E</v>
      </c>
      <c r="D15" s="86" t="str">
        <f t="shared" si="2"/>
        <v>6E</v>
      </c>
      <c r="E15" s="85" t="str">
        <f t="shared" si="3"/>
        <v>EUR1E6E8Y_Quote</v>
      </c>
      <c r="F15" s="85" t="e">
        <f ca="1">_xll.cfyql_SimpleQuote(E15,,RateTickValue,Permanent,Trigger,ObjectOverwrite)</f>
        <v>#NAME?</v>
      </c>
      <c r="G15" s="42" t="e">
        <f ca="1">_xll.ohRangeRetrieveError(F15)</f>
        <v>#NAME?</v>
      </c>
      <c r="H15" s="36"/>
      <c r="J15" s="134"/>
      <c r="K15" s="140" t="s">
        <v>48</v>
      </c>
      <c r="L15" s="140" t="s">
        <v>71</v>
      </c>
      <c r="M15" s="140" t="s">
        <v>66</v>
      </c>
      <c r="N15" s="185" t="str">
        <f t="shared" si="4"/>
        <v>EUR1E6E8Y</v>
      </c>
      <c r="O15" s="139" t="str">
        <v>EUR1E6E8Y=ICAP</v>
      </c>
      <c r="P15" s="184">
        <v>21.2</v>
      </c>
      <c r="Q15" s="184">
        <v>0</v>
      </c>
      <c r="R15" s="184" t="e">
        <f ca="1">_xll.cfyql_MidEquivalent(P15,Q15)</f>
        <v>#NAME?</v>
      </c>
      <c r="S15" s="184" t="e">
        <f t="shared" ca="1" si="5"/>
        <v>#NAME?</v>
      </c>
      <c r="T15" s="182"/>
      <c r="U15" s="181">
        <v>21.2</v>
      </c>
      <c r="V15" s="111"/>
      <c r="W15" s="180">
        <v>21.2</v>
      </c>
      <c r="X15" s="179" t="e">
        <f ca="1">_xll.cfyql_SimpleQuoteSetValue(F15,ROUND(W15/10000,6),Trigger)</f>
        <v>#NAME?</v>
      </c>
      <c r="Y15" s="129"/>
    </row>
    <row r="16" spans="1:28" x14ac:dyDescent="0.2">
      <c r="A16" s="134"/>
      <c r="B16" s="86" t="str">
        <f t="shared" si="0"/>
        <v>9Y</v>
      </c>
      <c r="C16" s="86" t="str">
        <f t="shared" si="1"/>
        <v>1E</v>
      </c>
      <c r="D16" s="86" t="str">
        <f t="shared" si="2"/>
        <v>6E</v>
      </c>
      <c r="E16" s="85" t="str">
        <f t="shared" si="3"/>
        <v>EUR1E6E9Y_Quote</v>
      </c>
      <c r="F16" s="85" t="e">
        <f ca="1">_xll.cfyql_SimpleQuote(E16,,RateTickValue,Permanent,Trigger,ObjectOverwrite)</f>
        <v>#NAME?</v>
      </c>
      <c r="G16" s="42" t="e">
        <f ca="1">_xll.ohRangeRetrieveError(F16)</f>
        <v>#NAME?</v>
      </c>
      <c r="H16" s="36"/>
      <c r="J16" s="134"/>
      <c r="K16" s="140" t="s">
        <v>47</v>
      </c>
      <c r="L16" s="140" t="s">
        <v>71</v>
      </c>
      <c r="M16" s="140" t="s">
        <v>66</v>
      </c>
      <c r="N16" s="185" t="str">
        <f t="shared" si="4"/>
        <v>EUR1E6E9Y</v>
      </c>
      <c r="O16" s="139" t="str">
        <v>EUR1E6E9Y=ICAP</v>
      </c>
      <c r="P16" s="184">
        <v>20.7</v>
      </c>
      <c r="Q16" s="184">
        <v>0</v>
      </c>
      <c r="R16" s="184" t="e">
        <f ca="1">_xll.cfyql_MidEquivalent(P16,Q16)</f>
        <v>#NAME?</v>
      </c>
      <c r="S16" s="184" t="e">
        <f t="shared" ca="1" si="5"/>
        <v>#NAME?</v>
      </c>
      <c r="T16" s="182"/>
      <c r="U16" s="181">
        <v>20.7</v>
      </c>
      <c r="V16" s="111"/>
      <c r="W16" s="180">
        <v>20.7</v>
      </c>
      <c r="X16" s="179" t="e">
        <f ca="1">_xll.cfyql_SimpleQuoteSetValue(F16,ROUND(W16/10000,6),Trigger)</f>
        <v>#NAME?</v>
      </c>
      <c r="Y16" s="129"/>
    </row>
    <row r="17" spans="1:25" x14ac:dyDescent="0.2">
      <c r="A17" s="134"/>
      <c r="B17" s="86" t="str">
        <f t="shared" si="0"/>
        <v>10Y</v>
      </c>
      <c r="C17" s="86" t="str">
        <f t="shared" si="1"/>
        <v>1E</v>
      </c>
      <c r="D17" s="86" t="str">
        <f t="shared" si="2"/>
        <v>6E</v>
      </c>
      <c r="E17" s="85" t="str">
        <f t="shared" si="3"/>
        <v>EUR1E6E10Y_Quote</v>
      </c>
      <c r="F17" s="85" t="e">
        <f ca="1">_xll.cfyql_SimpleQuote(E17,,RateTickValue,Permanent,Trigger,ObjectOverwrite)</f>
        <v>#NAME?</v>
      </c>
      <c r="G17" s="42" t="e">
        <f ca="1">_xll.ohRangeRetrieveError(F17)</f>
        <v>#NAME?</v>
      </c>
      <c r="H17" s="36"/>
      <c r="J17" s="134"/>
      <c r="K17" s="140" t="s">
        <v>46</v>
      </c>
      <c r="L17" s="140" t="s">
        <v>71</v>
      </c>
      <c r="M17" s="140" t="s">
        <v>66</v>
      </c>
      <c r="N17" s="185" t="str">
        <f t="shared" si="4"/>
        <v>EUR1E6E10Y</v>
      </c>
      <c r="O17" s="139" t="str">
        <v>EUR1E6E10Y=ICAP</v>
      </c>
      <c r="P17" s="184">
        <v>20.100000000000001</v>
      </c>
      <c r="Q17" s="184">
        <v>0</v>
      </c>
      <c r="R17" s="184" t="e">
        <f ca="1">_xll.cfyql_MidEquivalent(P17,Q17)</f>
        <v>#NAME?</v>
      </c>
      <c r="S17" s="184" t="e">
        <f t="shared" ca="1" si="5"/>
        <v>#NAME?</v>
      </c>
      <c r="T17" s="182"/>
      <c r="U17" s="181">
        <v>20.100000000000001</v>
      </c>
      <c r="V17" s="111"/>
      <c r="W17" s="180">
        <v>20.100000000000001</v>
      </c>
      <c r="X17" s="179" t="e">
        <f ca="1">_xll.cfyql_SimpleQuoteSetValue(F17,ROUND(W17/10000,6),Trigger)</f>
        <v>#NAME?</v>
      </c>
      <c r="Y17" s="129"/>
    </row>
    <row r="18" spans="1:25" x14ac:dyDescent="0.2">
      <c r="A18" s="134"/>
      <c r="B18" s="86" t="str">
        <f t="shared" si="0"/>
        <v>11Y</v>
      </c>
      <c r="C18" s="86" t="str">
        <f t="shared" si="1"/>
        <v>1E</v>
      </c>
      <c r="D18" s="86" t="str">
        <f t="shared" si="2"/>
        <v>6E</v>
      </c>
      <c r="E18" s="85" t="str">
        <f t="shared" si="3"/>
        <v>EUR1E6E11Y_Quote</v>
      </c>
      <c r="F18" s="85" t="e">
        <f ca="1">_xll.cfyql_SimpleQuote(E18,,RateTickValue,Permanent,Trigger,ObjectOverwrite)</f>
        <v>#NAME?</v>
      </c>
      <c r="G18" s="42" t="e">
        <f ca="1">_xll.ohRangeRetrieveError(F18)</f>
        <v>#NAME?</v>
      </c>
      <c r="H18" s="36"/>
      <c r="J18" s="134"/>
      <c r="K18" s="140" t="s">
        <v>45</v>
      </c>
      <c r="L18" s="140" t="s">
        <v>71</v>
      </c>
      <c r="M18" s="140" t="s">
        <v>66</v>
      </c>
      <c r="N18" s="185" t="str">
        <f t="shared" si="4"/>
        <v>EUR1E6E11Y</v>
      </c>
      <c r="O18" s="139" t="str">
        <v>EUR1E6E11Y=ICAP</v>
      </c>
      <c r="P18" s="184">
        <v>19.600000000000001</v>
      </c>
      <c r="Q18" s="184">
        <v>0</v>
      </c>
      <c r="R18" s="184" t="e">
        <f ca="1">_xll.cfyql_MidEquivalent(P18,Q18)</f>
        <v>#NAME?</v>
      </c>
      <c r="S18" s="184" t="e">
        <f t="shared" ca="1" si="5"/>
        <v>#NAME?</v>
      </c>
      <c r="T18" s="182"/>
      <c r="U18" s="181">
        <v>19.600000000000001</v>
      </c>
      <c r="V18" s="111"/>
      <c r="W18" s="180">
        <v>19.600000000000001</v>
      </c>
      <c r="X18" s="179" t="e">
        <f ca="1">_xll.cfyql_SimpleQuoteSetValue(F18,ROUND(W18/10000,6),Trigger)</f>
        <v>#NAME?</v>
      </c>
      <c r="Y18" s="129"/>
    </row>
    <row r="19" spans="1:25" x14ac:dyDescent="0.2">
      <c r="A19" s="134"/>
      <c r="B19" s="86" t="str">
        <f t="shared" si="0"/>
        <v>12Y</v>
      </c>
      <c r="C19" s="86" t="str">
        <f t="shared" si="1"/>
        <v>1E</v>
      </c>
      <c r="D19" s="86" t="str">
        <f t="shared" si="2"/>
        <v>6E</v>
      </c>
      <c r="E19" s="85" t="str">
        <f t="shared" si="3"/>
        <v>EUR1E6E12Y_Quote</v>
      </c>
      <c r="F19" s="85" t="e">
        <f ca="1">_xll.cfyql_SimpleQuote(E19,,RateTickValue,Permanent,Trigger,ObjectOverwrite)</f>
        <v>#NAME?</v>
      </c>
      <c r="G19" s="42" t="e">
        <f ca="1">_xll.ohRangeRetrieveError(F19)</f>
        <v>#NAME?</v>
      </c>
      <c r="H19" s="36"/>
      <c r="J19" s="134"/>
      <c r="K19" s="140" t="s">
        <v>44</v>
      </c>
      <c r="L19" s="140" t="s">
        <v>71</v>
      </c>
      <c r="M19" s="140" t="s">
        <v>66</v>
      </c>
      <c r="N19" s="185" t="str">
        <f t="shared" si="4"/>
        <v>EUR1E6E12Y</v>
      </c>
      <c r="O19" s="139" t="str">
        <v>EUR1E6E12Y=ICAP</v>
      </c>
      <c r="P19" s="184">
        <v>19</v>
      </c>
      <c r="Q19" s="184">
        <v>0</v>
      </c>
      <c r="R19" s="184" t="e">
        <f ca="1">_xll.cfyql_MidEquivalent(P19,Q19)</f>
        <v>#NAME?</v>
      </c>
      <c r="S19" s="184" t="e">
        <f t="shared" ca="1" si="5"/>
        <v>#NAME?</v>
      </c>
      <c r="T19" s="182"/>
      <c r="U19" s="181">
        <v>19</v>
      </c>
      <c r="V19" s="111"/>
      <c r="W19" s="180">
        <v>19</v>
      </c>
      <c r="X19" s="179" t="e">
        <f ca="1">_xll.cfyql_SimpleQuoteSetValue(F19,ROUND(W19/10000,6),Trigger)</f>
        <v>#NAME?</v>
      </c>
      <c r="Y19" s="129"/>
    </row>
    <row r="20" spans="1:25" x14ac:dyDescent="0.2">
      <c r="A20" s="134"/>
      <c r="B20" s="86" t="str">
        <f t="shared" si="0"/>
        <v>13Y</v>
      </c>
      <c r="C20" s="86" t="str">
        <f t="shared" si="1"/>
        <v>1E</v>
      </c>
      <c r="D20" s="86" t="str">
        <f t="shared" si="2"/>
        <v>6E</v>
      </c>
      <c r="E20" s="85" t="str">
        <f t="shared" si="3"/>
        <v>EUR1E6E13Y_Quote</v>
      </c>
      <c r="F20" s="85" t="e">
        <f ca="1">_xll.cfyql_SimpleQuote(E20,,RateTickValue,Permanent,Trigger,ObjectOverwrite)</f>
        <v>#NAME?</v>
      </c>
      <c r="G20" s="42" t="e">
        <f ca="1">_xll.ohRangeRetrieveError(F20)</f>
        <v>#NAME?</v>
      </c>
      <c r="H20" s="36"/>
      <c r="J20" s="134"/>
      <c r="K20" s="140" t="s">
        <v>43</v>
      </c>
      <c r="L20" s="140" t="s">
        <v>71</v>
      </c>
      <c r="M20" s="140" t="s">
        <v>66</v>
      </c>
      <c r="N20" s="185" t="str">
        <f t="shared" si="4"/>
        <v>EUR1E6E13Y</v>
      </c>
      <c r="O20" s="139" t="str">
        <v>EUR1E6E13Y=ICAP</v>
      </c>
      <c r="P20" s="184" t="s">
        <v>109</v>
      </c>
      <c r="Q20" s="184" t="s">
        <v>109</v>
      </c>
      <c r="R20" s="184" t="e">
        <f ca="1">_xll.cfyql_MidEquivalent(P20,Q20)</f>
        <v>#NAME?</v>
      </c>
      <c r="S20" s="184" t="e">
        <f t="shared" ca="1" si="5"/>
        <v>#NAME?</v>
      </c>
      <c r="T20" s="182"/>
      <c r="U20" s="181" t="e">
        <v>#NUM!</v>
      </c>
      <c r="V20" s="111"/>
      <c r="W20" s="180" t="e">
        <v>#NUM!</v>
      </c>
      <c r="X20" s="179" t="e">
        <f ca="1">_xll.cfyql_SimpleQuoteSetValue(F20,ROUND(W20/10000,6),Trigger)</f>
        <v>#NAME?</v>
      </c>
      <c r="Y20" s="129"/>
    </row>
    <row r="21" spans="1:25" x14ac:dyDescent="0.2">
      <c r="A21" s="134"/>
      <c r="B21" s="86" t="str">
        <f t="shared" si="0"/>
        <v>14Y</v>
      </c>
      <c r="C21" s="86" t="str">
        <f t="shared" si="1"/>
        <v>1E</v>
      </c>
      <c r="D21" s="86" t="str">
        <f t="shared" si="2"/>
        <v>6E</v>
      </c>
      <c r="E21" s="85" t="str">
        <f t="shared" si="3"/>
        <v>EUR1E6E14Y_Quote</v>
      </c>
      <c r="F21" s="85" t="e">
        <f ca="1">_xll.cfyql_SimpleQuote(E21,,RateTickValue,Permanent,Trigger,ObjectOverwrite)</f>
        <v>#NAME?</v>
      </c>
      <c r="G21" s="42" t="e">
        <f ca="1">_xll.ohRangeRetrieveError(F21)</f>
        <v>#NAME?</v>
      </c>
      <c r="H21" s="36"/>
      <c r="J21" s="134"/>
      <c r="K21" s="140" t="s">
        <v>42</v>
      </c>
      <c r="L21" s="140" t="s">
        <v>71</v>
      </c>
      <c r="M21" s="140" t="s">
        <v>66</v>
      </c>
      <c r="N21" s="185" t="str">
        <f t="shared" si="4"/>
        <v>EUR1E6E14Y</v>
      </c>
      <c r="O21" s="139" t="str">
        <v>EUR1E6E14Y=ICAP</v>
      </c>
      <c r="P21" s="184" t="s">
        <v>109</v>
      </c>
      <c r="Q21" s="184" t="s">
        <v>109</v>
      </c>
      <c r="R21" s="184" t="e">
        <f ca="1">_xll.cfyql_MidEquivalent(P21,Q21)</f>
        <v>#NAME?</v>
      </c>
      <c r="S21" s="184" t="e">
        <f t="shared" ca="1" si="5"/>
        <v>#NAME?</v>
      </c>
      <c r="T21" s="182"/>
      <c r="U21" s="181" t="e">
        <v>#NUM!</v>
      </c>
      <c r="V21" s="111"/>
      <c r="W21" s="180" t="e">
        <v>#NUM!</v>
      </c>
      <c r="X21" s="179" t="e">
        <f ca="1">_xll.cfyql_SimpleQuoteSetValue(F21,ROUND(W21/10000,6),Trigger)</f>
        <v>#NAME?</v>
      </c>
      <c r="Y21" s="129"/>
    </row>
    <row r="22" spans="1:25" x14ac:dyDescent="0.2">
      <c r="A22" s="134"/>
      <c r="B22" s="86" t="str">
        <f t="shared" si="0"/>
        <v>15Y</v>
      </c>
      <c r="C22" s="86" t="str">
        <f t="shared" si="1"/>
        <v>1E</v>
      </c>
      <c r="D22" s="86" t="str">
        <f t="shared" si="2"/>
        <v>6E</v>
      </c>
      <c r="E22" s="85" t="str">
        <f t="shared" si="3"/>
        <v>EUR1E6E15Y_Quote</v>
      </c>
      <c r="F22" s="85" t="e">
        <f ca="1">_xll.cfyql_SimpleQuote(E22,,RateTickValue,Permanent,Trigger,ObjectOverwrite)</f>
        <v>#NAME?</v>
      </c>
      <c r="G22" s="42" t="e">
        <f ca="1">_xll.ohRangeRetrieveError(F22)</f>
        <v>#NAME?</v>
      </c>
      <c r="H22" s="36"/>
      <c r="J22" s="134"/>
      <c r="K22" s="140" t="s">
        <v>41</v>
      </c>
      <c r="L22" s="140" t="s">
        <v>71</v>
      </c>
      <c r="M22" s="140" t="s">
        <v>66</v>
      </c>
      <c r="N22" s="185" t="str">
        <f t="shared" si="4"/>
        <v>EUR1E6E15Y</v>
      </c>
      <c r="O22" s="139" t="str">
        <v>EUR1E6E15Y=ICAP</v>
      </c>
      <c r="P22" s="184">
        <v>17.3</v>
      </c>
      <c r="Q22" s="184">
        <v>0</v>
      </c>
      <c r="R22" s="184" t="e">
        <f ca="1">_xll.cfyql_MidEquivalent(P22,Q22)</f>
        <v>#NAME?</v>
      </c>
      <c r="S22" s="184" t="e">
        <f t="shared" ca="1" si="5"/>
        <v>#NAME?</v>
      </c>
      <c r="T22" s="182"/>
      <c r="U22" s="181">
        <v>17.3</v>
      </c>
      <c r="V22" s="111"/>
      <c r="W22" s="180">
        <v>17.3</v>
      </c>
      <c r="X22" s="179" t="e">
        <f ca="1">_xll.cfyql_SimpleQuoteSetValue(F22,ROUND(W22/10000,6),Trigger)</f>
        <v>#NAME?</v>
      </c>
      <c r="Y22" s="129"/>
    </row>
    <row r="23" spans="1:25" x14ac:dyDescent="0.2">
      <c r="A23" s="134"/>
      <c r="B23" s="86" t="str">
        <f t="shared" si="0"/>
        <v>16Y</v>
      </c>
      <c r="C23" s="86" t="str">
        <f t="shared" si="1"/>
        <v>1E</v>
      </c>
      <c r="D23" s="86" t="str">
        <f t="shared" si="2"/>
        <v>6E</v>
      </c>
      <c r="E23" s="85" t="str">
        <f t="shared" si="3"/>
        <v>EUR1E6E16Y_Quote</v>
      </c>
      <c r="F23" s="85" t="e">
        <f ca="1">_xll.cfyql_SimpleQuote(E23,,RateTickValue,Permanent,Trigger,ObjectOverwrite)</f>
        <v>#NAME?</v>
      </c>
      <c r="G23" s="42" t="e">
        <f ca="1">_xll.ohRangeRetrieveError(F23)</f>
        <v>#NAME?</v>
      </c>
      <c r="H23" s="36"/>
      <c r="J23" s="134"/>
      <c r="K23" s="140" t="s">
        <v>40</v>
      </c>
      <c r="L23" s="140" t="s">
        <v>71</v>
      </c>
      <c r="M23" s="140" t="s">
        <v>66</v>
      </c>
      <c r="N23" s="185" t="str">
        <f t="shared" si="4"/>
        <v>EUR1E6E16Y</v>
      </c>
      <c r="O23" s="139" t="str">
        <v>EUR1E6E16Y=ICAP</v>
      </c>
      <c r="P23" s="184" t="s">
        <v>109</v>
      </c>
      <c r="Q23" s="184" t="s">
        <v>109</v>
      </c>
      <c r="R23" s="184" t="e">
        <f ca="1">_xll.cfyql_MidEquivalent(P23,Q23)</f>
        <v>#NAME?</v>
      </c>
      <c r="S23" s="184" t="e">
        <f t="shared" ca="1" si="5"/>
        <v>#NAME?</v>
      </c>
      <c r="T23" s="182"/>
      <c r="U23" s="181" t="e">
        <v>#NUM!</v>
      </c>
      <c r="V23" s="111"/>
      <c r="W23" s="180" t="e">
        <v>#NUM!</v>
      </c>
      <c r="X23" s="179" t="e">
        <f ca="1">_xll.cfyql_SimpleQuoteSetValue(F23,ROUND(W23/10000,6),Trigger)</f>
        <v>#NAME?</v>
      </c>
      <c r="Y23" s="129"/>
    </row>
    <row r="24" spans="1:25" x14ac:dyDescent="0.2">
      <c r="A24" s="134"/>
      <c r="B24" s="86" t="str">
        <f t="shared" si="0"/>
        <v>17Y</v>
      </c>
      <c r="C24" s="86" t="str">
        <f t="shared" si="1"/>
        <v>1E</v>
      </c>
      <c r="D24" s="86" t="str">
        <f t="shared" si="2"/>
        <v>6E</v>
      </c>
      <c r="E24" s="85" t="str">
        <f t="shared" si="3"/>
        <v>EUR1E6E17Y_Quote</v>
      </c>
      <c r="F24" s="85" t="e">
        <f ca="1">_xll.cfyql_SimpleQuote(E24,,RateTickValue,Permanent,Trigger,ObjectOverwrite)</f>
        <v>#NAME?</v>
      </c>
      <c r="G24" s="42" t="e">
        <f ca="1">_xll.ohRangeRetrieveError(F24)</f>
        <v>#NAME?</v>
      </c>
      <c r="H24" s="36"/>
      <c r="J24" s="134"/>
      <c r="K24" s="140" t="s">
        <v>39</v>
      </c>
      <c r="L24" s="140" t="s">
        <v>71</v>
      </c>
      <c r="M24" s="140" t="s">
        <v>66</v>
      </c>
      <c r="N24" s="185" t="str">
        <f t="shared" si="4"/>
        <v>EUR1E6E17Y</v>
      </c>
      <c r="O24" s="139" t="str">
        <v>EUR1E6E17Y=ICAP</v>
      </c>
      <c r="P24" s="184" t="s">
        <v>109</v>
      </c>
      <c r="Q24" s="184" t="s">
        <v>109</v>
      </c>
      <c r="R24" s="184" t="e">
        <f ca="1">_xll.cfyql_MidEquivalent(P24,Q24)</f>
        <v>#NAME?</v>
      </c>
      <c r="S24" s="184" t="e">
        <f t="shared" ca="1" si="5"/>
        <v>#NAME?</v>
      </c>
      <c r="T24" s="182"/>
      <c r="U24" s="181" t="e">
        <v>#NUM!</v>
      </c>
      <c r="V24" s="111"/>
      <c r="W24" s="180" t="e">
        <v>#NUM!</v>
      </c>
      <c r="X24" s="179" t="e">
        <f ca="1">_xll.cfyql_SimpleQuoteSetValue(F24,ROUND(W24/10000,6),Trigger)</f>
        <v>#NAME?</v>
      </c>
      <c r="Y24" s="129"/>
    </row>
    <row r="25" spans="1:25" x14ac:dyDescent="0.2">
      <c r="A25" s="134"/>
      <c r="B25" s="86" t="str">
        <f t="shared" si="0"/>
        <v>18Y</v>
      </c>
      <c r="C25" s="86" t="str">
        <f t="shared" si="1"/>
        <v>1E</v>
      </c>
      <c r="D25" s="86" t="str">
        <f t="shared" si="2"/>
        <v>6E</v>
      </c>
      <c r="E25" s="85" t="str">
        <f t="shared" si="3"/>
        <v>EUR1E6E18Y_Quote</v>
      </c>
      <c r="F25" s="85" t="e">
        <f ca="1">_xll.cfyql_SimpleQuote(E25,,RateTickValue,Permanent,Trigger,ObjectOverwrite)</f>
        <v>#NAME?</v>
      </c>
      <c r="G25" s="42" t="e">
        <f ca="1">_xll.ohRangeRetrieveError(F25)</f>
        <v>#NAME?</v>
      </c>
      <c r="H25" s="36"/>
      <c r="J25" s="134"/>
      <c r="K25" s="140" t="s">
        <v>38</v>
      </c>
      <c r="L25" s="140" t="s">
        <v>71</v>
      </c>
      <c r="M25" s="140" t="s">
        <v>66</v>
      </c>
      <c r="N25" s="185" t="str">
        <f t="shared" si="4"/>
        <v>EUR1E6E18Y</v>
      </c>
      <c r="O25" s="139" t="str">
        <v>EUR1E6E18Y=ICAP</v>
      </c>
      <c r="P25" s="184" t="s">
        <v>109</v>
      </c>
      <c r="Q25" s="184" t="s">
        <v>109</v>
      </c>
      <c r="R25" s="184" t="e">
        <f ca="1">_xll.cfyql_MidEquivalent(P25,Q25)</f>
        <v>#NAME?</v>
      </c>
      <c r="S25" s="184" t="e">
        <f t="shared" ca="1" si="5"/>
        <v>#NAME?</v>
      </c>
      <c r="T25" s="182"/>
      <c r="U25" s="181" t="e">
        <v>#NUM!</v>
      </c>
      <c r="V25" s="111"/>
      <c r="W25" s="180" t="e">
        <v>#NUM!</v>
      </c>
      <c r="X25" s="179" t="e">
        <f ca="1">_xll.cfyql_SimpleQuoteSetValue(F25,ROUND(W25/10000,6),Trigger)</f>
        <v>#NAME?</v>
      </c>
      <c r="Y25" s="129"/>
    </row>
    <row r="26" spans="1:25" x14ac:dyDescent="0.2">
      <c r="A26" s="134"/>
      <c r="B26" s="86" t="str">
        <f t="shared" si="0"/>
        <v>19Y</v>
      </c>
      <c r="C26" s="86" t="str">
        <f t="shared" si="1"/>
        <v>1E</v>
      </c>
      <c r="D26" s="86" t="str">
        <f t="shared" si="2"/>
        <v>6E</v>
      </c>
      <c r="E26" s="85" t="str">
        <f t="shared" si="3"/>
        <v>EUR1E6E19Y_Quote</v>
      </c>
      <c r="F26" s="85" t="e">
        <f ca="1">_xll.cfyql_SimpleQuote(E26,,RateTickValue,Permanent,Trigger,ObjectOverwrite)</f>
        <v>#NAME?</v>
      </c>
      <c r="G26" s="42" t="e">
        <f ca="1">_xll.ohRangeRetrieveError(F26)</f>
        <v>#NAME?</v>
      </c>
      <c r="H26" s="36"/>
      <c r="J26" s="134"/>
      <c r="K26" s="140" t="s">
        <v>37</v>
      </c>
      <c r="L26" s="140" t="s">
        <v>71</v>
      </c>
      <c r="M26" s="140" t="s">
        <v>66</v>
      </c>
      <c r="N26" s="185" t="str">
        <f t="shared" si="4"/>
        <v>EUR1E6E19Y</v>
      </c>
      <c r="O26" s="139" t="str">
        <v>EUR1E6E19Y=ICAP</v>
      </c>
      <c r="P26" s="184" t="s">
        <v>109</v>
      </c>
      <c r="Q26" s="184" t="s">
        <v>109</v>
      </c>
      <c r="R26" s="184" t="e">
        <f ca="1">_xll.cfyql_MidEquivalent(P26,Q26)</f>
        <v>#NAME?</v>
      </c>
      <c r="S26" s="184" t="e">
        <f t="shared" ca="1" si="5"/>
        <v>#NAME?</v>
      </c>
      <c r="T26" s="182"/>
      <c r="U26" s="181" t="e">
        <v>#NUM!</v>
      </c>
      <c r="V26" s="111"/>
      <c r="W26" s="180" t="e">
        <v>#NUM!</v>
      </c>
      <c r="X26" s="179" t="e">
        <f ca="1">_xll.cfyql_SimpleQuoteSetValue(F26,ROUND(W26/10000,6),Trigger)</f>
        <v>#NAME?</v>
      </c>
      <c r="Y26" s="129"/>
    </row>
    <row r="27" spans="1:25" x14ac:dyDescent="0.2">
      <c r="A27" s="134"/>
      <c r="B27" s="86" t="str">
        <f t="shared" si="0"/>
        <v>20Y</v>
      </c>
      <c r="C27" s="86" t="str">
        <f t="shared" si="1"/>
        <v>1E</v>
      </c>
      <c r="D27" s="86" t="str">
        <f t="shared" si="2"/>
        <v>6E</v>
      </c>
      <c r="E27" s="85" t="str">
        <f t="shared" si="3"/>
        <v>EUR1E6E20Y_Quote</v>
      </c>
      <c r="F27" s="85" t="e">
        <f ca="1">_xll.cfyql_SimpleQuote(E27,,RateTickValue,Permanent,Trigger,ObjectOverwrite)</f>
        <v>#NAME?</v>
      </c>
      <c r="G27" s="42" t="e">
        <f ca="1">_xll.ohRangeRetrieveError(F27)</f>
        <v>#NAME?</v>
      </c>
      <c r="H27" s="36"/>
      <c r="J27" s="134"/>
      <c r="K27" s="140" t="s">
        <v>36</v>
      </c>
      <c r="L27" s="140" t="s">
        <v>71</v>
      </c>
      <c r="M27" s="140" t="s">
        <v>66</v>
      </c>
      <c r="N27" s="185" t="str">
        <f t="shared" si="4"/>
        <v>EUR1E6E20Y</v>
      </c>
      <c r="O27" s="139" t="str">
        <v>EUR1E6E20Y=ICAP</v>
      </c>
      <c r="P27" s="184">
        <v>15</v>
      </c>
      <c r="Q27" s="184">
        <v>0</v>
      </c>
      <c r="R27" s="184" t="e">
        <f ca="1">_xll.cfyql_MidEquivalent(P27,Q27)</f>
        <v>#NAME?</v>
      </c>
      <c r="S27" s="184" t="e">
        <f t="shared" ca="1" si="5"/>
        <v>#NAME?</v>
      </c>
      <c r="T27" s="182"/>
      <c r="U27" s="181">
        <v>15</v>
      </c>
      <c r="V27" s="111"/>
      <c r="W27" s="180">
        <v>15</v>
      </c>
      <c r="X27" s="179" t="e">
        <f ca="1">_xll.cfyql_SimpleQuoteSetValue(F27,ROUND(W27/10000,6),Trigger)</f>
        <v>#NAME?</v>
      </c>
      <c r="Y27" s="129"/>
    </row>
    <row r="28" spans="1:25" x14ac:dyDescent="0.2">
      <c r="A28" s="134"/>
      <c r="B28" s="86" t="str">
        <f t="shared" si="0"/>
        <v>21Y</v>
      </c>
      <c r="C28" s="86" t="str">
        <f t="shared" si="1"/>
        <v>1E</v>
      </c>
      <c r="D28" s="86" t="str">
        <f t="shared" si="2"/>
        <v>6E</v>
      </c>
      <c r="E28" s="85" t="str">
        <f t="shared" si="3"/>
        <v>EUR1E6E21Y_Quote</v>
      </c>
      <c r="F28" s="85" t="e">
        <f ca="1">_xll.cfyql_SimpleQuote(E28,,RateTickValue,Permanent,Trigger,ObjectOverwrite)</f>
        <v>#NAME?</v>
      </c>
      <c r="G28" s="42" t="e">
        <f ca="1">_xll.ohRangeRetrieveError(F28)</f>
        <v>#NAME?</v>
      </c>
      <c r="H28" s="36"/>
      <c r="J28" s="134"/>
      <c r="K28" s="140" t="s">
        <v>35</v>
      </c>
      <c r="L28" s="140" t="s">
        <v>71</v>
      </c>
      <c r="M28" s="140" t="s">
        <v>66</v>
      </c>
      <c r="N28" s="185" t="str">
        <f t="shared" si="4"/>
        <v>EUR1E6E21Y</v>
      </c>
      <c r="O28" s="139" t="str">
        <v>EUR1E6E21Y=ICAP</v>
      </c>
      <c r="P28" s="184" t="s">
        <v>109</v>
      </c>
      <c r="Q28" s="184" t="s">
        <v>109</v>
      </c>
      <c r="R28" s="184" t="e">
        <f ca="1">_xll.cfyql_MidEquivalent(P28,Q28)</f>
        <v>#NAME?</v>
      </c>
      <c r="S28" s="184" t="e">
        <f t="shared" ca="1" si="5"/>
        <v>#NAME?</v>
      </c>
      <c r="T28" s="182"/>
      <c r="U28" s="181" t="e">
        <v>#NUM!</v>
      </c>
      <c r="V28" s="111"/>
      <c r="W28" s="180" t="e">
        <v>#NUM!</v>
      </c>
      <c r="X28" s="179" t="e">
        <f ca="1">_xll.cfyql_SimpleQuoteSetValue(F28,ROUND(W28/10000,6),Trigger)</f>
        <v>#NAME?</v>
      </c>
      <c r="Y28" s="129"/>
    </row>
    <row r="29" spans="1:25" x14ac:dyDescent="0.2">
      <c r="A29" s="134"/>
      <c r="B29" s="86" t="str">
        <f t="shared" si="0"/>
        <v>22Y</v>
      </c>
      <c r="C29" s="86" t="str">
        <f t="shared" si="1"/>
        <v>1E</v>
      </c>
      <c r="D29" s="86" t="str">
        <f t="shared" si="2"/>
        <v>6E</v>
      </c>
      <c r="E29" s="85" t="str">
        <f t="shared" si="3"/>
        <v>EUR1E6E22Y_Quote</v>
      </c>
      <c r="F29" s="85" t="e">
        <f ca="1">_xll.cfyql_SimpleQuote(E29,,RateTickValue,Permanent,Trigger,ObjectOverwrite)</f>
        <v>#NAME?</v>
      </c>
      <c r="G29" s="42" t="e">
        <f ca="1">_xll.ohRangeRetrieveError(F29)</f>
        <v>#NAME?</v>
      </c>
      <c r="H29" s="36"/>
      <c r="J29" s="134"/>
      <c r="K29" s="140" t="s">
        <v>34</v>
      </c>
      <c r="L29" s="140" t="s">
        <v>71</v>
      </c>
      <c r="M29" s="140" t="s">
        <v>66</v>
      </c>
      <c r="N29" s="185" t="str">
        <f t="shared" si="4"/>
        <v>EUR1E6E22Y</v>
      </c>
      <c r="O29" s="139" t="str">
        <v>EUR1E6E22Y=ICAP</v>
      </c>
      <c r="P29" s="184" t="s">
        <v>109</v>
      </c>
      <c r="Q29" s="184" t="s">
        <v>109</v>
      </c>
      <c r="R29" s="184" t="e">
        <f ca="1">_xll.cfyql_MidEquivalent(P29,Q29)</f>
        <v>#NAME?</v>
      </c>
      <c r="S29" s="184" t="e">
        <f t="shared" ca="1" si="5"/>
        <v>#NAME?</v>
      </c>
      <c r="T29" s="182"/>
      <c r="U29" s="181" t="e">
        <v>#NUM!</v>
      </c>
      <c r="V29" s="111"/>
      <c r="W29" s="180" t="e">
        <v>#NUM!</v>
      </c>
      <c r="X29" s="179" t="e">
        <f ca="1">_xll.cfyql_SimpleQuoteSetValue(F29,ROUND(W29/10000,6),Trigger)</f>
        <v>#NAME?</v>
      </c>
      <c r="Y29" s="129"/>
    </row>
    <row r="30" spans="1:25" x14ac:dyDescent="0.2">
      <c r="A30" s="134"/>
      <c r="B30" s="86" t="str">
        <f t="shared" si="0"/>
        <v>23Y</v>
      </c>
      <c r="C30" s="86" t="str">
        <f t="shared" si="1"/>
        <v>1E</v>
      </c>
      <c r="D30" s="86" t="str">
        <f t="shared" si="2"/>
        <v>6E</v>
      </c>
      <c r="E30" s="85" t="str">
        <f t="shared" si="3"/>
        <v>EUR1E6E23Y_Quote</v>
      </c>
      <c r="F30" s="85" t="e">
        <f ca="1">_xll.cfyql_SimpleQuote(E30,,RateTickValue,Permanent,Trigger,ObjectOverwrite)</f>
        <v>#NAME?</v>
      </c>
      <c r="G30" s="42" t="e">
        <f ca="1">_xll.ohRangeRetrieveError(F30)</f>
        <v>#NAME?</v>
      </c>
      <c r="H30" s="36"/>
      <c r="J30" s="134"/>
      <c r="K30" s="140" t="s">
        <v>33</v>
      </c>
      <c r="L30" s="140" t="s">
        <v>71</v>
      </c>
      <c r="M30" s="140" t="s">
        <v>66</v>
      </c>
      <c r="N30" s="185" t="str">
        <f t="shared" si="4"/>
        <v>EUR1E6E23Y</v>
      </c>
      <c r="O30" s="139" t="str">
        <v>EUR1E6E23Y=ICAP</v>
      </c>
      <c r="P30" s="184" t="s">
        <v>109</v>
      </c>
      <c r="Q30" s="184" t="s">
        <v>109</v>
      </c>
      <c r="R30" s="184" t="e">
        <f ca="1">_xll.cfyql_MidEquivalent(P30,Q30)</f>
        <v>#NAME?</v>
      </c>
      <c r="S30" s="184" t="e">
        <f t="shared" ca="1" si="5"/>
        <v>#NAME?</v>
      </c>
      <c r="T30" s="182"/>
      <c r="U30" s="181" t="e">
        <v>#NUM!</v>
      </c>
      <c r="V30" s="111"/>
      <c r="W30" s="180" t="e">
        <v>#NUM!</v>
      </c>
      <c r="X30" s="179" t="e">
        <f ca="1">_xll.cfyql_SimpleQuoteSetValue(F30,ROUND(W30/10000,6),Trigger)</f>
        <v>#NAME?</v>
      </c>
      <c r="Y30" s="129"/>
    </row>
    <row r="31" spans="1:25" x14ac:dyDescent="0.2">
      <c r="A31" s="134"/>
      <c r="B31" s="86" t="str">
        <f t="shared" si="0"/>
        <v>24Y</v>
      </c>
      <c r="C31" s="86" t="str">
        <f t="shared" si="1"/>
        <v>1E</v>
      </c>
      <c r="D31" s="86" t="str">
        <f t="shared" si="2"/>
        <v>6E</v>
      </c>
      <c r="E31" s="85" t="str">
        <f t="shared" si="3"/>
        <v>EUR1E6E24Y_Quote</v>
      </c>
      <c r="F31" s="85" t="e">
        <f ca="1">_xll.cfyql_SimpleQuote(E31,,RateTickValue,Permanent,Trigger,ObjectOverwrite)</f>
        <v>#NAME?</v>
      </c>
      <c r="G31" s="42" t="e">
        <f ca="1">_xll.ohRangeRetrieveError(F31)</f>
        <v>#NAME?</v>
      </c>
      <c r="H31" s="36"/>
      <c r="J31" s="134"/>
      <c r="K31" s="140" t="s">
        <v>32</v>
      </c>
      <c r="L31" s="140" t="s">
        <v>71</v>
      </c>
      <c r="M31" s="140" t="s">
        <v>66</v>
      </c>
      <c r="N31" s="185" t="str">
        <f t="shared" si="4"/>
        <v>EUR1E6E24Y</v>
      </c>
      <c r="O31" s="139" t="str">
        <v>EUR1E6E24Y=ICAP</v>
      </c>
      <c r="P31" s="184" t="s">
        <v>109</v>
      </c>
      <c r="Q31" s="184" t="s">
        <v>109</v>
      </c>
      <c r="R31" s="184" t="e">
        <f ca="1">_xll.cfyql_MidEquivalent(P31,Q31)</f>
        <v>#NAME?</v>
      </c>
      <c r="S31" s="184" t="e">
        <f t="shared" ca="1" si="5"/>
        <v>#NAME?</v>
      </c>
      <c r="T31" s="182"/>
      <c r="U31" s="181" t="e">
        <v>#NUM!</v>
      </c>
      <c r="V31" s="111"/>
      <c r="W31" s="180" t="e">
        <v>#NUM!</v>
      </c>
      <c r="X31" s="179" t="e">
        <f ca="1">_xll.cfyql_SimpleQuoteSetValue(F31,ROUND(W31/10000,6),Trigger)</f>
        <v>#NAME?</v>
      </c>
      <c r="Y31" s="129"/>
    </row>
    <row r="32" spans="1:25" x14ac:dyDescent="0.2">
      <c r="A32" s="134"/>
      <c r="B32" s="86" t="str">
        <f t="shared" si="0"/>
        <v>25Y</v>
      </c>
      <c r="C32" s="86" t="str">
        <f t="shared" si="1"/>
        <v>1E</v>
      </c>
      <c r="D32" s="86" t="str">
        <f t="shared" si="2"/>
        <v>6E</v>
      </c>
      <c r="E32" s="85" t="str">
        <f t="shared" si="3"/>
        <v>EUR1E6E25Y_Quote</v>
      </c>
      <c r="F32" s="85" t="e">
        <f ca="1">_xll.cfyql_SimpleQuote(E32,,RateTickValue,Permanent,Trigger,ObjectOverwrite)</f>
        <v>#NAME?</v>
      </c>
      <c r="G32" s="42" t="e">
        <f ca="1">_xll.ohRangeRetrieveError(F32)</f>
        <v>#NAME?</v>
      </c>
      <c r="H32" s="36"/>
      <c r="J32" s="134"/>
      <c r="K32" s="140" t="s">
        <v>31</v>
      </c>
      <c r="L32" s="140" t="s">
        <v>71</v>
      </c>
      <c r="M32" s="140" t="s">
        <v>66</v>
      </c>
      <c r="N32" s="185" t="str">
        <f t="shared" si="4"/>
        <v>EUR1E6E25Y</v>
      </c>
      <c r="O32" s="139" t="str">
        <v>EUR1E6E25Y=ICAP</v>
      </c>
      <c r="P32" s="184">
        <v>13.3</v>
      </c>
      <c r="Q32" s="184">
        <v>0</v>
      </c>
      <c r="R32" s="184" t="e">
        <f ca="1">_xll.cfyql_MidEquivalent(P32,Q32)</f>
        <v>#NAME?</v>
      </c>
      <c r="S32" s="184" t="e">
        <f t="shared" ca="1" si="5"/>
        <v>#NAME?</v>
      </c>
      <c r="T32" s="182"/>
      <c r="U32" s="181">
        <v>13.3</v>
      </c>
      <c r="V32" s="111"/>
      <c r="W32" s="180">
        <v>13.3</v>
      </c>
      <c r="X32" s="179" t="e">
        <f ca="1">_xll.cfyql_SimpleQuoteSetValue(F32,ROUND(W32/10000,6),Trigger)</f>
        <v>#NAME?</v>
      </c>
      <c r="Y32" s="129"/>
    </row>
    <row r="33" spans="1:25" x14ac:dyDescent="0.2">
      <c r="A33" s="134"/>
      <c r="B33" s="86" t="str">
        <f t="shared" si="0"/>
        <v>26Y</v>
      </c>
      <c r="C33" s="86" t="str">
        <f t="shared" si="1"/>
        <v>1E</v>
      </c>
      <c r="D33" s="86" t="str">
        <f t="shared" si="2"/>
        <v>6E</v>
      </c>
      <c r="E33" s="85" t="str">
        <f t="shared" si="3"/>
        <v>EUR1E6E26Y_Quote</v>
      </c>
      <c r="F33" s="85" t="e">
        <f ca="1">_xll.cfyql_SimpleQuote(E33,,RateTickValue,Permanent,Trigger,ObjectOverwrite)</f>
        <v>#NAME?</v>
      </c>
      <c r="G33" s="42" t="e">
        <f ca="1">_xll.ohRangeRetrieveError(F33)</f>
        <v>#NAME?</v>
      </c>
      <c r="H33" s="36"/>
      <c r="J33" s="134"/>
      <c r="K33" s="140" t="s">
        <v>30</v>
      </c>
      <c r="L33" s="140" t="s">
        <v>71</v>
      </c>
      <c r="M33" s="140" t="s">
        <v>66</v>
      </c>
      <c r="N33" s="185" t="str">
        <f t="shared" si="4"/>
        <v>EUR1E6E26Y</v>
      </c>
      <c r="O33" s="139" t="str">
        <v>EUR1E6E26Y=ICAP</v>
      </c>
      <c r="P33" s="184" t="s">
        <v>109</v>
      </c>
      <c r="Q33" s="184" t="s">
        <v>109</v>
      </c>
      <c r="R33" s="184" t="e">
        <f ca="1">_xll.cfyql_MidEquivalent(P33,Q33)</f>
        <v>#NAME?</v>
      </c>
      <c r="S33" s="184" t="e">
        <f t="shared" ca="1" si="5"/>
        <v>#NAME?</v>
      </c>
      <c r="T33" s="182"/>
      <c r="U33" s="181" t="e">
        <v>#NUM!</v>
      </c>
      <c r="V33" s="111"/>
      <c r="W33" s="180" t="e">
        <v>#NUM!</v>
      </c>
      <c r="X33" s="179" t="e">
        <f ca="1">_xll.cfyql_SimpleQuoteSetValue(F33,ROUND(W33/10000,6),Trigger)</f>
        <v>#NAME?</v>
      </c>
      <c r="Y33" s="129"/>
    </row>
    <row r="34" spans="1:25" x14ac:dyDescent="0.2">
      <c r="A34" s="134"/>
      <c r="B34" s="86" t="str">
        <f t="shared" si="0"/>
        <v>27Y</v>
      </c>
      <c r="C34" s="86" t="str">
        <f t="shared" si="1"/>
        <v>1E</v>
      </c>
      <c r="D34" s="86" t="str">
        <f t="shared" si="2"/>
        <v>6E</v>
      </c>
      <c r="E34" s="85" t="str">
        <f t="shared" si="3"/>
        <v>EUR1E6E27Y_Quote</v>
      </c>
      <c r="F34" s="85" t="e">
        <f ca="1">_xll.cfyql_SimpleQuote(E34,,RateTickValue,Permanent,Trigger,ObjectOverwrite)</f>
        <v>#NAME?</v>
      </c>
      <c r="G34" s="42" t="e">
        <f ca="1">_xll.ohRangeRetrieveError(F34)</f>
        <v>#NAME?</v>
      </c>
      <c r="H34" s="36"/>
      <c r="J34" s="134"/>
      <c r="K34" s="140" t="s">
        <v>29</v>
      </c>
      <c r="L34" s="140" t="s">
        <v>71</v>
      </c>
      <c r="M34" s="140" t="s">
        <v>66</v>
      </c>
      <c r="N34" s="185" t="str">
        <f t="shared" si="4"/>
        <v>EUR1E6E27Y</v>
      </c>
      <c r="O34" s="139" t="str">
        <v>EUR1E6E27Y=ICAP</v>
      </c>
      <c r="P34" s="184" t="s">
        <v>109</v>
      </c>
      <c r="Q34" s="184" t="s">
        <v>109</v>
      </c>
      <c r="R34" s="184" t="e">
        <f ca="1">_xll.cfyql_MidEquivalent(P34,Q34)</f>
        <v>#NAME?</v>
      </c>
      <c r="S34" s="184" t="e">
        <f t="shared" ca="1" si="5"/>
        <v>#NAME?</v>
      </c>
      <c r="T34" s="182"/>
      <c r="U34" s="181" t="e">
        <v>#NUM!</v>
      </c>
      <c r="V34" s="111"/>
      <c r="W34" s="180" t="e">
        <v>#NUM!</v>
      </c>
      <c r="X34" s="179" t="e">
        <f ca="1">_xll.cfyql_SimpleQuoteSetValue(F34,ROUND(W34/10000,6),Trigger)</f>
        <v>#NAME?</v>
      </c>
      <c r="Y34" s="129"/>
    </row>
    <row r="35" spans="1:25" x14ac:dyDescent="0.2">
      <c r="A35" s="134"/>
      <c r="B35" s="86" t="str">
        <f t="shared" si="0"/>
        <v>28Y</v>
      </c>
      <c r="C35" s="86" t="str">
        <f t="shared" si="1"/>
        <v>1E</v>
      </c>
      <c r="D35" s="86" t="str">
        <f t="shared" si="2"/>
        <v>6E</v>
      </c>
      <c r="E35" s="85" t="str">
        <f t="shared" si="3"/>
        <v>EUR1E6E28Y_Quote</v>
      </c>
      <c r="F35" s="85" t="e">
        <f ca="1">_xll.cfyql_SimpleQuote(E35,,RateTickValue,Permanent,Trigger,ObjectOverwrite)</f>
        <v>#NAME?</v>
      </c>
      <c r="G35" s="42" t="e">
        <f ca="1">_xll.ohRangeRetrieveError(F35)</f>
        <v>#NAME?</v>
      </c>
      <c r="H35" s="36"/>
      <c r="J35" s="134"/>
      <c r="K35" s="140" t="s">
        <v>28</v>
      </c>
      <c r="L35" s="140" t="s">
        <v>71</v>
      </c>
      <c r="M35" s="140" t="s">
        <v>66</v>
      </c>
      <c r="N35" s="185" t="str">
        <f t="shared" si="4"/>
        <v>EUR1E6E28Y</v>
      </c>
      <c r="O35" s="139" t="str">
        <v>EUR1E6E28Y=ICAP</v>
      </c>
      <c r="P35" s="184" t="s">
        <v>109</v>
      </c>
      <c r="Q35" s="184" t="s">
        <v>109</v>
      </c>
      <c r="R35" s="184" t="e">
        <f ca="1">_xll.cfyql_MidEquivalent(P35,Q35)</f>
        <v>#NAME?</v>
      </c>
      <c r="S35" s="184" t="e">
        <f t="shared" ca="1" si="5"/>
        <v>#NAME?</v>
      </c>
      <c r="T35" s="182"/>
      <c r="U35" s="181" t="e">
        <v>#NUM!</v>
      </c>
      <c r="V35" s="111"/>
      <c r="W35" s="180" t="e">
        <v>#NUM!</v>
      </c>
      <c r="X35" s="179" t="e">
        <f ca="1">_xll.cfyql_SimpleQuoteSetValue(F35,ROUND(W35/10000,6),Trigger)</f>
        <v>#NAME?</v>
      </c>
      <c r="Y35" s="129"/>
    </row>
    <row r="36" spans="1:25" x14ac:dyDescent="0.2">
      <c r="A36" s="134"/>
      <c r="B36" s="86" t="str">
        <f t="shared" si="0"/>
        <v>29Y</v>
      </c>
      <c r="C36" s="86" t="str">
        <f t="shared" si="1"/>
        <v>1E</v>
      </c>
      <c r="D36" s="86" t="str">
        <f t="shared" si="2"/>
        <v>6E</v>
      </c>
      <c r="E36" s="85" t="str">
        <f t="shared" si="3"/>
        <v>EUR1E6E29Y_Quote</v>
      </c>
      <c r="F36" s="85" t="e">
        <f ca="1">_xll.cfyql_SimpleQuote(E36,,RateTickValue,Permanent,Trigger,ObjectOverwrite)</f>
        <v>#NAME?</v>
      </c>
      <c r="G36" s="42" t="e">
        <f ca="1">_xll.ohRangeRetrieveError(F36)</f>
        <v>#NAME?</v>
      </c>
      <c r="H36" s="36"/>
      <c r="J36" s="134"/>
      <c r="K36" s="140" t="s">
        <v>27</v>
      </c>
      <c r="L36" s="140" t="s">
        <v>71</v>
      </c>
      <c r="M36" s="140" t="s">
        <v>66</v>
      </c>
      <c r="N36" s="185" t="str">
        <f t="shared" si="4"/>
        <v>EUR1E6E29Y</v>
      </c>
      <c r="O36" s="139" t="str">
        <v>EUR1E6E29Y=ICAP</v>
      </c>
      <c r="P36" s="184" t="s">
        <v>109</v>
      </c>
      <c r="Q36" s="184" t="s">
        <v>109</v>
      </c>
      <c r="R36" s="184" t="e">
        <f ca="1">_xll.cfyql_MidEquivalent(P36,Q36)</f>
        <v>#NAME?</v>
      </c>
      <c r="S36" s="184" t="e">
        <f t="shared" ca="1" si="5"/>
        <v>#NAME?</v>
      </c>
      <c r="T36" s="182"/>
      <c r="U36" s="181" t="e">
        <v>#NUM!</v>
      </c>
      <c r="V36" s="111"/>
      <c r="W36" s="180" t="e">
        <v>#NUM!</v>
      </c>
      <c r="X36" s="179" t="e">
        <f ca="1">_xll.cfyql_SimpleQuoteSetValue(F36,ROUND(W36/10000,6),Trigger)</f>
        <v>#NAME?</v>
      </c>
      <c r="Y36" s="129"/>
    </row>
    <row r="37" spans="1:25" x14ac:dyDescent="0.2">
      <c r="A37" s="134"/>
      <c r="B37" s="86" t="str">
        <f t="shared" si="0"/>
        <v>30Y</v>
      </c>
      <c r="C37" s="86" t="str">
        <f t="shared" si="1"/>
        <v>1E</v>
      </c>
      <c r="D37" s="86" t="str">
        <f t="shared" si="2"/>
        <v>6E</v>
      </c>
      <c r="E37" s="85" t="str">
        <f t="shared" si="3"/>
        <v>EUR1E6E30Y_Quote</v>
      </c>
      <c r="F37" s="85" t="e">
        <f ca="1">_xll.cfyql_SimpleQuote(E37,,RateTickValue,Permanent,Trigger,ObjectOverwrite)</f>
        <v>#NAME?</v>
      </c>
      <c r="G37" s="42" t="e">
        <f ca="1">_xll.ohRangeRetrieveError(F37)</f>
        <v>#NAME?</v>
      </c>
      <c r="H37" s="36"/>
      <c r="J37" s="134"/>
      <c r="K37" s="140" t="s">
        <v>26</v>
      </c>
      <c r="L37" s="140" t="s">
        <v>71</v>
      </c>
      <c r="M37" s="140" t="s">
        <v>66</v>
      </c>
      <c r="N37" s="185" t="str">
        <f t="shared" si="4"/>
        <v>EUR1E6E30Y</v>
      </c>
      <c r="O37" s="139" t="str">
        <v>EUR1E6E30Y=ICAP</v>
      </c>
      <c r="P37" s="184">
        <v>12.1</v>
      </c>
      <c r="Q37" s="184">
        <v>0</v>
      </c>
      <c r="R37" s="184" t="e">
        <f ca="1">_xll.cfyql_MidEquivalent(P37,Q37)</f>
        <v>#NAME?</v>
      </c>
      <c r="S37" s="184" t="e">
        <f t="shared" ca="1" si="5"/>
        <v>#NAME?</v>
      </c>
      <c r="T37" s="182"/>
      <c r="U37" s="181">
        <v>12.1</v>
      </c>
      <c r="V37" s="111"/>
      <c r="W37" s="180">
        <v>12.1</v>
      </c>
      <c r="X37" s="179" t="e">
        <f ca="1">_xll.cfyql_SimpleQuoteSetValue(F37,ROUND(W37/10000,6),Trigger)</f>
        <v>#NAME?</v>
      </c>
      <c r="Y37" s="129"/>
    </row>
    <row r="38" spans="1:25" x14ac:dyDescent="0.2">
      <c r="A38" s="134"/>
      <c r="B38" s="86" t="str">
        <f t="shared" si="0"/>
        <v>35Y</v>
      </c>
      <c r="C38" s="86" t="str">
        <f t="shared" si="1"/>
        <v>1E</v>
      </c>
      <c r="D38" s="86" t="str">
        <f t="shared" si="2"/>
        <v>6E</v>
      </c>
      <c r="E38" s="85" t="str">
        <f t="shared" si="3"/>
        <v>EUR1E6E35Y_Quote</v>
      </c>
      <c r="F38" s="85" t="e">
        <f ca="1">_xll.cfyql_SimpleQuote(E38,,RateTickValue,Permanent,Trigger,ObjectOverwrite)</f>
        <v>#NAME?</v>
      </c>
      <c r="G38" s="42" t="e">
        <f ca="1">_xll.ohRangeRetrieveError(F38)</f>
        <v>#NAME?</v>
      </c>
      <c r="H38" s="36"/>
      <c r="J38" s="134"/>
      <c r="K38" s="140" t="s">
        <v>25</v>
      </c>
      <c r="L38" s="140" t="s">
        <v>71</v>
      </c>
      <c r="M38" s="140" t="s">
        <v>66</v>
      </c>
      <c r="N38" s="185" t="str">
        <f t="shared" si="4"/>
        <v>EUR1E6E35Y</v>
      </c>
      <c r="O38" s="139" t="str">
        <v>EUR1E6E35Y=ICAP</v>
      </c>
      <c r="P38" s="184" t="s">
        <v>109</v>
      </c>
      <c r="Q38" s="184" t="s">
        <v>109</v>
      </c>
      <c r="R38" s="184" t="e">
        <f ca="1">_xll.cfyql_MidEquivalent(P38,Q38)</f>
        <v>#NAME?</v>
      </c>
      <c r="S38" s="184" t="e">
        <f t="shared" ca="1" si="5"/>
        <v>#NAME?</v>
      </c>
      <c r="T38" s="182"/>
      <c r="U38" s="181" t="e">
        <v>#NUM!</v>
      </c>
      <c r="V38" s="111"/>
      <c r="W38" s="180" t="e">
        <v>#NUM!</v>
      </c>
      <c r="X38" s="179" t="e">
        <f ca="1">_xll.cfyql_SimpleQuoteSetValue(F38,ROUND(W38/10000,6),Trigger)</f>
        <v>#NAME?</v>
      </c>
      <c r="Y38" s="129"/>
    </row>
    <row r="39" spans="1:25" x14ac:dyDescent="0.2">
      <c r="A39" s="134"/>
      <c r="B39" s="86" t="str">
        <f t="shared" si="0"/>
        <v>40Y</v>
      </c>
      <c r="C39" s="86" t="str">
        <f t="shared" si="1"/>
        <v>1E</v>
      </c>
      <c r="D39" s="86" t="str">
        <f t="shared" si="2"/>
        <v>6E</v>
      </c>
      <c r="E39" s="85" t="str">
        <f t="shared" si="3"/>
        <v>EUR1E6E40Y_Quote</v>
      </c>
      <c r="F39" s="85" t="e">
        <f ca="1">_xll.cfyql_SimpleQuote(E39,,RateTickValue,Permanent,Trigger,ObjectOverwrite)</f>
        <v>#NAME?</v>
      </c>
      <c r="G39" s="42" t="e">
        <f ca="1">_xll.ohRangeRetrieveError(F39)</f>
        <v>#NAME?</v>
      </c>
      <c r="H39" s="36"/>
      <c r="J39" s="134"/>
      <c r="K39" s="140" t="s">
        <v>24</v>
      </c>
      <c r="L39" s="140" t="s">
        <v>71</v>
      </c>
      <c r="M39" s="140" t="s">
        <v>66</v>
      </c>
      <c r="N39" s="185" t="str">
        <f t="shared" si="4"/>
        <v>EUR1E6E40Y</v>
      </c>
      <c r="O39" s="139" t="str">
        <v>EUR1E6E40Y=ICAP</v>
      </c>
      <c r="P39" s="184">
        <v>10.5</v>
      </c>
      <c r="Q39" s="184">
        <v>0</v>
      </c>
      <c r="R39" s="184" t="e">
        <f ca="1">_xll.cfyql_MidEquivalent(P39,Q39)</f>
        <v>#NAME?</v>
      </c>
      <c r="S39" s="184" t="e">
        <f t="shared" ca="1" si="5"/>
        <v>#NAME?</v>
      </c>
      <c r="T39" s="182"/>
      <c r="U39" s="181">
        <v>10.5</v>
      </c>
      <c r="V39" s="111"/>
      <c r="W39" s="180">
        <v>10.5</v>
      </c>
      <c r="X39" s="179" t="e">
        <f ca="1">_xll.cfyql_SimpleQuoteSetValue(F39,ROUND(W39/10000,6),Trigger)</f>
        <v>#NAME?</v>
      </c>
      <c r="Y39" s="129"/>
    </row>
    <row r="40" spans="1:25" x14ac:dyDescent="0.2">
      <c r="A40" s="134"/>
      <c r="B40" s="86" t="str">
        <f t="shared" si="0"/>
        <v>50Y</v>
      </c>
      <c r="C40" s="86" t="str">
        <f t="shared" si="1"/>
        <v>1E</v>
      </c>
      <c r="D40" s="86" t="str">
        <f t="shared" si="2"/>
        <v>6E</v>
      </c>
      <c r="E40" s="85" t="str">
        <f t="shared" si="3"/>
        <v>EUR1E6E50Y_Quote</v>
      </c>
      <c r="F40" s="84" t="e">
        <f ca="1">_xll.cfyql_SimpleQuote(E40,,RateTickValue,Permanent,Trigger,ObjectOverwrite)</f>
        <v>#NAME?</v>
      </c>
      <c r="G40" s="42" t="e">
        <f ca="1">_xll.ohRangeRetrieveError(F40)</f>
        <v>#NAME?</v>
      </c>
      <c r="H40" s="36"/>
      <c r="J40" s="134"/>
      <c r="K40" s="140" t="s">
        <v>23</v>
      </c>
      <c r="L40" s="140" t="s">
        <v>71</v>
      </c>
      <c r="M40" s="140" t="s">
        <v>66</v>
      </c>
      <c r="N40" s="185" t="str">
        <f t="shared" si="4"/>
        <v>EUR1E6E50Y</v>
      </c>
      <c r="O40" s="139" t="str">
        <v>EUR1E6E50Y=ICAP</v>
      </c>
      <c r="P40" s="184">
        <v>9.5</v>
      </c>
      <c r="Q40" s="184">
        <v>0</v>
      </c>
      <c r="R40" s="184" t="e">
        <f ca="1">_xll.cfyql_MidEquivalent(P40,Q40)</f>
        <v>#NAME?</v>
      </c>
      <c r="S40" s="184" t="e">
        <f t="shared" ca="1" si="5"/>
        <v>#NAME?</v>
      </c>
      <c r="T40" s="182"/>
      <c r="U40" s="181">
        <v>9.5</v>
      </c>
      <c r="V40" s="111"/>
      <c r="W40" s="180">
        <v>9.5</v>
      </c>
      <c r="X40" s="179" t="e">
        <f ca="1">_xll.cfyql_SimpleQuoteSetValue(F40,ROUND(W40/10000,6),Trigger)</f>
        <v>#NAME?</v>
      </c>
      <c r="Y40" s="129"/>
    </row>
    <row r="41" spans="1:25" x14ac:dyDescent="0.2">
      <c r="A41" s="134"/>
      <c r="B41" s="75" t="str">
        <f t="shared" si="0"/>
        <v>60Y</v>
      </c>
      <c r="C41" s="75" t="str">
        <f t="shared" si="1"/>
        <v>1E</v>
      </c>
      <c r="D41" s="75" t="str">
        <f t="shared" si="2"/>
        <v>6E</v>
      </c>
      <c r="E41" s="74" t="str">
        <f t="shared" si="3"/>
        <v>EUR1E6E60Y_Quote</v>
      </c>
      <c r="F41" s="73" t="e">
        <f ca="1">_xll.cfyql_SimpleQuote(E41,,RateTickValue,Permanent,Trigger,ObjectOverwrite)</f>
        <v>#NAME?</v>
      </c>
      <c r="G41" s="37" t="e">
        <f ca="1">_xll.ohRangeRetrieveError(F41)</f>
        <v>#NAME?</v>
      </c>
      <c r="H41" s="36"/>
      <c r="J41" s="134"/>
      <c r="K41" s="133" t="s">
        <v>22</v>
      </c>
      <c r="L41" s="133" t="s">
        <v>71</v>
      </c>
      <c r="M41" s="133" t="s">
        <v>66</v>
      </c>
      <c r="N41" s="193" t="str">
        <f t="shared" si="4"/>
        <v>EUR1E6E60Y</v>
      </c>
      <c r="O41" s="132" t="str">
        <v>EUR1E6E60Y=ICAP</v>
      </c>
      <c r="P41" s="183">
        <v>8.6999999999999993</v>
      </c>
      <c r="Q41" s="183">
        <v>0</v>
      </c>
      <c r="R41" s="183" t="e">
        <f ca="1">_xll.cfyql_MidEquivalent(P41,Q41)</f>
        <v>#NAME?</v>
      </c>
      <c r="S41" s="183" t="e">
        <f t="shared" ca="1" si="5"/>
        <v>#NAME?</v>
      </c>
      <c r="T41" s="182"/>
      <c r="U41" s="181">
        <v>8.6999999999999993</v>
      </c>
      <c r="V41" s="111"/>
      <c r="W41" s="192">
        <v>8.6999999999999993</v>
      </c>
      <c r="X41" s="191" t="e">
        <f ca="1">_xll.cfyql_SimpleQuoteSetValue(F41,ROUND(W41/10000,6),Trigger)</f>
        <v>#NAME?</v>
      </c>
      <c r="Y41" s="129"/>
    </row>
    <row r="42" spans="1:25"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54"/>
      <c r="C1" s="54"/>
      <c r="D1" s="54"/>
      <c r="E1" s="54"/>
      <c r="F1" s="54"/>
      <c r="G1" s="54"/>
      <c r="H1" s="53"/>
      <c r="J1" s="152" t="s">
        <v>115</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71" t="e">
        <f ca="1">_xll.cfyql_Trigger(X5:X41)</f>
        <v>#NAME?</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3E</v>
      </c>
      <c r="D5" s="86" t="str">
        <f t="shared" ref="D5:D41" si="2">M5</f>
        <v>6E</v>
      </c>
      <c r="E5" s="85" t="str">
        <f t="shared" ref="E5:E41" si="3">IF(ISBLANK(C5),"#",Currency&amp;$C5&amp;$D5&amp;$B5&amp;QuoteSuffix)</f>
        <v>EUR3E6E1Y_Quote</v>
      </c>
      <c r="F5" s="85" t="e">
        <f ca="1">_xll.cfyql_SimpleQuote(E5,,RateTickValue,Permanent,Trigger,ObjectOverwrite)</f>
        <v>#NAME?</v>
      </c>
      <c r="G5" s="42" t="e">
        <f ca="1">_xll.ohRangeRetrieveError(F5)</f>
        <v>#NAME?</v>
      </c>
      <c r="H5" s="36"/>
      <c r="J5" s="186"/>
      <c r="K5" s="140" t="s">
        <v>58</v>
      </c>
      <c r="L5" s="140" t="s">
        <v>69</v>
      </c>
      <c r="M5" s="140" t="s">
        <v>66</v>
      </c>
      <c r="N5" s="185" t="str">
        <f t="shared" ref="N5:N41" si="4">Currency&amp;$L5&amp;$M5&amp;$K5</f>
        <v>EUR3E6E1Y</v>
      </c>
      <c r="O5" s="139" t="str">
        <f t="array" ref="O5:O41">Instruments&amp;"="&amp;VLOOKUP(Contributor,ContributorTable,2,FALSE)</f>
        <v>EUR3E6E1Y=ICAP</v>
      </c>
      <c r="P5" s="184">
        <v>7.55</v>
      </c>
      <c r="Q5" s="184">
        <v>8.5500000000000007</v>
      </c>
      <c r="R5" s="184" t="e">
        <f ca="1">_xll.cfyql_MidSafe(P5,Q5)</f>
        <v>#NAME?</v>
      </c>
      <c r="S5" s="184" t="e">
        <f t="shared" ref="S5:S41" ca="1" si="5">(R5-P5)*2</f>
        <v>#NAME?</v>
      </c>
      <c r="T5" s="182"/>
      <c r="U5" s="181">
        <v>8.0500000000000007</v>
      </c>
      <c r="V5" s="111"/>
      <c r="W5" s="180">
        <f t="array" ref="W5:W41">QuoteStatic</f>
        <v>8.0500000000000007</v>
      </c>
      <c r="X5" s="179" t="e">
        <f ca="1">_xll.cfyql_SimpleQuoteSetValue(F5,ROUND(W5/10000,6),Trigger)</f>
        <v>#NAME?</v>
      </c>
      <c r="Y5" s="129"/>
    </row>
    <row r="6" spans="1:28" ht="11.25" customHeight="1" x14ac:dyDescent="0.2">
      <c r="A6" s="134"/>
      <c r="B6" s="86" t="str">
        <f t="shared" si="0"/>
        <v>15M</v>
      </c>
      <c r="C6" s="86" t="str">
        <f t="shared" si="1"/>
        <v>3E</v>
      </c>
      <c r="D6" s="86" t="str">
        <f t="shared" si="2"/>
        <v>6E</v>
      </c>
      <c r="E6" s="85" t="str">
        <f t="shared" si="3"/>
        <v>EUR3E6E15M_Quote</v>
      </c>
      <c r="F6" s="85" t="e">
        <f ca="1">_xll.cfyql_SimpleQuote(E6,,RateTickValue,Permanent,Trigger,ObjectOverwrite)</f>
        <v>#NAME?</v>
      </c>
      <c r="G6" s="42" t="e">
        <f ca="1">_xll.ohRangeRetrieveError(F6)</f>
        <v>#NAME?</v>
      </c>
      <c r="H6" s="36"/>
      <c r="J6" s="186"/>
      <c r="K6" s="140" t="s">
        <v>57</v>
      </c>
      <c r="L6" s="140" t="s">
        <v>69</v>
      </c>
      <c r="M6" s="140" t="s">
        <v>66</v>
      </c>
      <c r="N6" s="185" t="str">
        <f t="shared" si="4"/>
        <v>EUR3E6E15M</v>
      </c>
      <c r="O6" s="139" t="str">
        <v>EUR3E6E15M=ICAP</v>
      </c>
      <c r="P6" s="184" t="s">
        <v>109</v>
      </c>
      <c r="Q6" s="184" t="s">
        <v>109</v>
      </c>
      <c r="R6" s="184" t="e">
        <f ca="1">_xll.cfyql_MidSafe(P6,Q6)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3E</v>
      </c>
      <c r="D7" s="86" t="str">
        <f t="shared" si="2"/>
        <v>6E</v>
      </c>
      <c r="E7" s="85" t="str">
        <f t="shared" si="3"/>
        <v>EUR3E6E18M_Quote</v>
      </c>
      <c r="F7" s="85" t="e">
        <f ca="1">_xll.cfyql_SimpleQuote(E7,,RateTickValue,Permanent,Trigger,ObjectOverwrite)</f>
        <v>#NAME?</v>
      </c>
      <c r="G7" s="42" t="e">
        <f ca="1">_xll.ohRangeRetrieveError(F7)</f>
        <v>#NAME?</v>
      </c>
      <c r="H7" s="36"/>
      <c r="J7" s="186"/>
      <c r="K7" s="140" t="s">
        <v>56</v>
      </c>
      <c r="L7" s="140" t="s">
        <v>69</v>
      </c>
      <c r="M7" s="140" t="s">
        <v>66</v>
      </c>
      <c r="N7" s="185" t="str">
        <f t="shared" si="4"/>
        <v>EUR3E6E18M</v>
      </c>
      <c r="O7" s="139" t="str">
        <v>EUR3E6E18M=ICAP</v>
      </c>
      <c r="P7" s="184">
        <v>8</v>
      </c>
      <c r="Q7" s="184">
        <v>9</v>
      </c>
      <c r="R7" s="184" t="e">
        <f ca="1">_xll.cfyql_MidSafe(P7,Q7)</f>
        <v>#NAME?</v>
      </c>
      <c r="S7" s="184" t="e">
        <f t="shared" ca="1" si="5"/>
        <v>#NAME?</v>
      </c>
      <c r="T7" s="182"/>
      <c r="U7" s="181">
        <v>8.5</v>
      </c>
      <c r="V7" s="111"/>
      <c r="W7" s="180">
        <v>8.5</v>
      </c>
      <c r="X7" s="179" t="e">
        <f ca="1">_xll.cfyql_SimpleQuoteSetValue(F7,ROUND(W7/10000,6),Trigger)</f>
        <v>#NAME?</v>
      </c>
      <c r="Y7" s="129"/>
    </row>
    <row r="8" spans="1:28" ht="11.25" customHeight="1" x14ac:dyDescent="0.2">
      <c r="A8" s="134"/>
      <c r="B8" s="86" t="str">
        <f t="shared" si="0"/>
        <v>21M</v>
      </c>
      <c r="C8" s="86" t="str">
        <f t="shared" si="1"/>
        <v>3E</v>
      </c>
      <c r="D8" s="86" t="str">
        <f t="shared" si="2"/>
        <v>6E</v>
      </c>
      <c r="E8" s="85" t="str">
        <f t="shared" si="3"/>
        <v>EUR3E6E21M_Quote</v>
      </c>
      <c r="F8" s="85" t="e">
        <f ca="1">_xll.cfyql_SimpleQuote(E8,,RateTickValue,Permanent,Trigger,ObjectOverwrite)</f>
        <v>#NAME?</v>
      </c>
      <c r="G8" s="42" t="e">
        <f ca="1">_xll.ohRangeRetrieveError(F8)</f>
        <v>#NAME?</v>
      </c>
      <c r="H8" s="36"/>
      <c r="J8" s="186"/>
      <c r="K8" s="140" t="s">
        <v>55</v>
      </c>
      <c r="L8" s="140" t="s">
        <v>69</v>
      </c>
      <c r="M8" s="140" t="s">
        <v>66</v>
      </c>
      <c r="N8" s="185" t="str">
        <f t="shared" si="4"/>
        <v>EUR3E6E21M</v>
      </c>
      <c r="O8" s="139" t="str">
        <v>EUR3E6E21M=ICAP</v>
      </c>
      <c r="P8" s="184" t="s">
        <v>109</v>
      </c>
      <c r="Q8" s="184" t="s">
        <v>109</v>
      </c>
      <c r="R8" s="184" t="e">
        <f ca="1">_xll.cfyql_MidSafe(P8,Q8)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3E</v>
      </c>
      <c r="D9" s="86" t="str">
        <f t="shared" si="2"/>
        <v>6E</v>
      </c>
      <c r="E9" s="85" t="str">
        <f t="shared" si="3"/>
        <v>EUR3E6E2Y_Quote</v>
      </c>
      <c r="F9" s="85" t="e">
        <f ca="1">_xll.cfyql_SimpleQuote(E9,,RateTickValue,Permanent,Trigger,ObjectOverwrite)</f>
        <v>#NAME?</v>
      </c>
      <c r="G9" s="42" t="e">
        <f ca="1">_xll.ohRangeRetrieveError(F9)</f>
        <v>#NAME?</v>
      </c>
      <c r="H9" s="36"/>
      <c r="J9" s="134"/>
      <c r="K9" s="140" t="s">
        <v>54</v>
      </c>
      <c r="L9" s="140" t="s">
        <v>69</v>
      </c>
      <c r="M9" s="140" t="s">
        <v>66</v>
      </c>
      <c r="N9" s="185" t="str">
        <f t="shared" si="4"/>
        <v>EUR3E6E2Y</v>
      </c>
      <c r="O9" s="139" t="str">
        <v>EUR3E6E2Y=ICAP</v>
      </c>
      <c r="P9" s="184">
        <v>8.4</v>
      </c>
      <c r="Q9" s="184">
        <v>9.4</v>
      </c>
      <c r="R9" s="184" t="e">
        <f ca="1">_xll.cfyql_MidSafe(P9,Q9)</f>
        <v>#NAME?</v>
      </c>
      <c r="S9" s="184" t="e">
        <f t="shared" ca="1" si="5"/>
        <v>#NAME?</v>
      </c>
      <c r="T9" s="182"/>
      <c r="U9" s="181">
        <v>8.9</v>
      </c>
      <c r="V9" s="111"/>
      <c r="W9" s="180">
        <v>8.9</v>
      </c>
      <c r="X9" s="179" t="e">
        <f ca="1">_xll.cfyql_SimpleQuoteSetValue(F9,ROUND(W9/10000,6),Trigger)</f>
        <v>#NAME?</v>
      </c>
      <c r="Y9" s="129"/>
    </row>
    <row r="10" spans="1:28" ht="11.25" customHeight="1" x14ac:dyDescent="0.2">
      <c r="A10" s="134"/>
      <c r="B10" s="86" t="str">
        <f t="shared" si="0"/>
        <v>3Y</v>
      </c>
      <c r="C10" s="86" t="str">
        <f t="shared" si="1"/>
        <v>3E</v>
      </c>
      <c r="D10" s="86" t="str">
        <f t="shared" si="2"/>
        <v>6E</v>
      </c>
      <c r="E10" s="85" t="str">
        <f t="shared" si="3"/>
        <v>EUR3E6E3Y_Quote</v>
      </c>
      <c r="F10" s="85" t="e">
        <f ca="1">_xll.cfyql_SimpleQuote(E10,,RateTickValue,Permanent,Trigger,ObjectOverwrite)</f>
        <v>#NAME?</v>
      </c>
      <c r="G10" s="42" t="e">
        <f ca="1">_xll.ohRangeRetrieveError(F10)</f>
        <v>#NAME?</v>
      </c>
      <c r="H10" s="36"/>
      <c r="J10" s="134"/>
      <c r="K10" s="140" t="s">
        <v>53</v>
      </c>
      <c r="L10" s="140" t="s">
        <v>69</v>
      </c>
      <c r="M10" s="140" t="s">
        <v>66</v>
      </c>
      <c r="N10" s="185" t="str">
        <f t="shared" si="4"/>
        <v>EUR3E6E3Y</v>
      </c>
      <c r="O10" s="139" t="str">
        <v>EUR3E6E3Y=ICAP</v>
      </c>
      <c r="P10" s="184">
        <v>9.1999999999999993</v>
      </c>
      <c r="Q10" s="184">
        <v>10.199999999999999</v>
      </c>
      <c r="R10" s="184" t="e">
        <f ca="1">_xll.cfyql_MidSafe(P10,Q10)</f>
        <v>#NAME?</v>
      </c>
      <c r="S10" s="184" t="e">
        <f t="shared" ca="1" si="5"/>
        <v>#NAME?</v>
      </c>
      <c r="T10" s="182"/>
      <c r="U10" s="181">
        <v>9.6999999999999993</v>
      </c>
      <c r="V10" s="111"/>
      <c r="W10" s="180">
        <v>9.6999999999999993</v>
      </c>
      <c r="X10" s="179" t="e">
        <f ca="1">_xll.cfyql_SimpleQuoteSetValue(F10,ROUND(W10/10000,6),Trigger)</f>
        <v>#NAME?</v>
      </c>
      <c r="Y10" s="129"/>
    </row>
    <row r="11" spans="1:28" ht="11.25" customHeight="1" x14ac:dyDescent="0.2">
      <c r="A11" s="134"/>
      <c r="B11" s="86" t="str">
        <f t="shared" si="0"/>
        <v>4Y</v>
      </c>
      <c r="C11" s="86" t="str">
        <f t="shared" si="1"/>
        <v>3E</v>
      </c>
      <c r="D11" s="86" t="str">
        <f t="shared" si="2"/>
        <v>6E</v>
      </c>
      <c r="E11" s="85" t="str">
        <f t="shared" si="3"/>
        <v>EUR3E6E4Y_Quote</v>
      </c>
      <c r="F11" s="85" t="e">
        <f ca="1">_xll.cfyql_SimpleQuote(E11,,RateTickValue,Permanent,Trigger,ObjectOverwrite)</f>
        <v>#NAME?</v>
      </c>
      <c r="G11" s="42" t="e">
        <f ca="1">_xll.ohRangeRetrieveError(F11)</f>
        <v>#NAME?</v>
      </c>
      <c r="H11" s="36"/>
      <c r="J11" s="134"/>
      <c r="K11" s="140" t="s">
        <v>52</v>
      </c>
      <c r="L11" s="140" t="s">
        <v>69</v>
      </c>
      <c r="M11" s="140" t="s">
        <v>66</v>
      </c>
      <c r="N11" s="185" t="str">
        <f t="shared" si="4"/>
        <v>EUR3E6E4Y</v>
      </c>
      <c r="O11" s="139" t="str">
        <v>EUR3E6E4Y=ICAP</v>
      </c>
      <c r="P11" s="184">
        <v>9.85</v>
      </c>
      <c r="Q11" s="184">
        <v>10.85</v>
      </c>
      <c r="R11" s="184" t="e">
        <f ca="1">_xll.cfyql_MidSafe(P11,Q11)</f>
        <v>#NAME?</v>
      </c>
      <c r="S11" s="184" t="e">
        <f t="shared" ca="1" si="5"/>
        <v>#NAME?</v>
      </c>
      <c r="T11" s="182"/>
      <c r="U11" s="181">
        <v>10.35</v>
      </c>
      <c r="V11" s="111"/>
      <c r="W11" s="180">
        <v>10.35</v>
      </c>
      <c r="X11" s="179" t="e">
        <f ca="1">_xll.cfyql_SimpleQuoteSetValue(F11,ROUND(W11/10000,6),Trigger)</f>
        <v>#NAME?</v>
      </c>
      <c r="Y11" s="129"/>
    </row>
    <row r="12" spans="1:28" ht="11.25" customHeight="1" x14ac:dyDescent="0.2">
      <c r="A12" s="134"/>
      <c r="B12" s="86" t="str">
        <f t="shared" si="0"/>
        <v>5Y</v>
      </c>
      <c r="C12" s="86" t="str">
        <f t="shared" si="1"/>
        <v>3E</v>
      </c>
      <c r="D12" s="86" t="str">
        <f t="shared" si="2"/>
        <v>6E</v>
      </c>
      <c r="E12" s="85" t="str">
        <f t="shared" si="3"/>
        <v>EUR3E6E5Y_Quote</v>
      </c>
      <c r="F12" s="85" t="e">
        <f ca="1">_xll.cfyql_SimpleQuote(E12,,RateTickValue,Permanent,Trigger,ObjectOverwrite)</f>
        <v>#NAME?</v>
      </c>
      <c r="G12" s="42" t="e">
        <f ca="1">_xll.ohRangeRetrieveError(F12)</f>
        <v>#NAME?</v>
      </c>
      <c r="H12" s="36"/>
      <c r="J12" s="134"/>
      <c r="K12" s="140" t="s">
        <v>51</v>
      </c>
      <c r="L12" s="140" t="s">
        <v>69</v>
      </c>
      <c r="M12" s="140" t="s">
        <v>66</v>
      </c>
      <c r="N12" s="185" t="str">
        <f t="shared" si="4"/>
        <v>EUR3E6E5Y</v>
      </c>
      <c r="O12" s="139" t="str">
        <v>EUR3E6E5Y=ICAP</v>
      </c>
      <c r="P12" s="184">
        <v>10.4</v>
      </c>
      <c r="Q12" s="184">
        <v>11.4</v>
      </c>
      <c r="R12" s="184" t="e">
        <f ca="1">_xll.cfyql_MidSafe(P12,Q12)</f>
        <v>#NAME?</v>
      </c>
      <c r="S12" s="184" t="e">
        <f t="shared" ca="1" si="5"/>
        <v>#NAME?</v>
      </c>
      <c r="T12" s="182"/>
      <c r="U12" s="181">
        <v>10.9</v>
      </c>
      <c r="V12" s="111"/>
      <c r="W12" s="180">
        <v>10.9</v>
      </c>
      <c r="X12" s="179" t="e">
        <f ca="1">_xll.cfyql_SimpleQuoteSetValue(F12,ROUND(W12/10000,6),Trigger)</f>
        <v>#NAME?</v>
      </c>
      <c r="Y12" s="129"/>
    </row>
    <row r="13" spans="1:28" ht="11.25" customHeight="1" x14ac:dyDescent="0.2">
      <c r="A13" s="134"/>
      <c r="B13" s="86" t="str">
        <f t="shared" si="0"/>
        <v>6Y</v>
      </c>
      <c r="C13" s="86" t="str">
        <f t="shared" si="1"/>
        <v>3E</v>
      </c>
      <c r="D13" s="86" t="str">
        <f t="shared" si="2"/>
        <v>6E</v>
      </c>
      <c r="E13" s="85" t="str">
        <f t="shared" si="3"/>
        <v>EUR3E6E6Y_Quote</v>
      </c>
      <c r="F13" s="85" t="e">
        <f ca="1">_xll.cfyql_SimpleQuote(E13,,RateTickValue,Permanent,Trigger,ObjectOverwrite)</f>
        <v>#NAME?</v>
      </c>
      <c r="G13" s="42" t="e">
        <f ca="1">_xll.ohRangeRetrieveError(F13)</f>
        <v>#NAME?</v>
      </c>
      <c r="H13" s="36"/>
      <c r="J13" s="134"/>
      <c r="K13" s="140" t="s">
        <v>50</v>
      </c>
      <c r="L13" s="140" t="s">
        <v>69</v>
      </c>
      <c r="M13" s="140" t="s">
        <v>66</v>
      </c>
      <c r="N13" s="185" t="str">
        <f t="shared" si="4"/>
        <v>EUR3E6E6Y</v>
      </c>
      <c r="O13" s="139" t="str">
        <v>EUR3E6E6Y=ICAP</v>
      </c>
      <c r="P13" s="184">
        <v>10.4</v>
      </c>
      <c r="Q13" s="184">
        <v>11.4</v>
      </c>
      <c r="R13" s="184" t="e">
        <f ca="1">_xll.cfyql_MidSafe(P13,Q13)</f>
        <v>#NAME?</v>
      </c>
      <c r="S13" s="184" t="e">
        <f t="shared" ca="1" si="5"/>
        <v>#NAME?</v>
      </c>
      <c r="T13" s="182"/>
      <c r="U13" s="181">
        <v>10.9</v>
      </c>
      <c r="V13" s="111"/>
      <c r="W13" s="180">
        <v>10.9</v>
      </c>
      <c r="X13" s="179" t="e">
        <f ca="1">_xll.cfyql_SimpleQuoteSetValue(F13,ROUND(W13/10000,6),Trigger)</f>
        <v>#NAME?</v>
      </c>
      <c r="Y13" s="129"/>
    </row>
    <row r="14" spans="1:28" ht="11.25" customHeight="1" x14ac:dyDescent="0.2">
      <c r="A14" s="134"/>
      <c r="B14" s="86" t="str">
        <f t="shared" si="0"/>
        <v>7Y</v>
      </c>
      <c r="C14" s="86" t="str">
        <f t="shared" si="1"/>
        <v>3E</v>
      </c>
      <c r="D14" s="86" t="str">
        <f t="shared" si="2"/>
        <v>6E</v>
      </c>
      <c r="E14" s="85" t="str">
        <f t="shared" si="3"/>
        <v>EUR3E6E7Y_Quote</v>
      </c>
      <c r="F14" s="85" t="e">
        <f ca="1">_xll.cfyql_SimpleQuote(E14,,RateTickValue,Permanent,Trigger,ObjectOverwrite)</f>
        <v>#NAME?</v>
      </c>
      <c r="G14" s="42" t="e">
        <f ca="1">_xll.ohRangeRetrieveError(F14)</f>
        <v>#NAME?</v>
      </c>
      <c r="H14" s="36"/>
      <c r="J14" s="134"/>
      <c r="K14" s="140" t="s">
        <v>49</v>
      </c>
      <c r="L14" s="140" t="s">
        <v>69</v>
      </c>
      <c r="M14" s="140" t="s">
        <v>66</v>
      </c>
      <c r="N14" s="185" t="str">
        <f t="shared" si="4"/>
        <v>EUR3E6E7Y</v>
      </c>
      <c r="O14" s="139" t="str">
        <v>EUR3E6E7Y=ICAP</v>
      </c>
      <c r="P14" s="184">
        <v>10.199999999999999</v>
      </c>
      <c r="Q14" s="184">
        <v>11.2</v>
      </c>
      <c r="R14" s="184" t="e">
        <f ca="1">_xll.cfyql_MidSafe(P14,Q14)</f>
        <v>#NAME?</v>
      </c>
      <c r="S14" s="184" t="e">
        <f t="shared" ca="1" si="5"/>
        <v>#NAME?</v>
      </c>
      <c r="T14" s="182"/>
      <c r="U14" s="181">
        <v>10.7</v>
      </c>
      <c r="V14" s="111"/>
      <c r="W14" s="180">
        <v>10.7</v>
      </c>
      <c r="X14" s="179" t="e">
        <f ca="1">_xll.cfyql_SimpleQuoteSetValue(F14,ROUND(W14/10000,6),Trigger)</f>
        <v>#NAME?</v>
      </c>
      <c r="Y14" s="129"/>
    </row>
    <row r="15" spans="1:28" ht="11.25" customHeight="1" x14ac:dyDescent="0.2">
      <c r="A15" s="134"/>
      <c r="B15" s="86" t="str">
        <f t="shared" si="0"/>
        <v>8Y</v>
      </c>
      <c r="C15" s="86" t="str">
        <f t="shared" si="1"/>
        <v>3E</v>
      </c>
      <c r="D15" s="86" t="str">
        <f t="shared" si="2"/>
        <v>6E</v>
      </c>
      <c r="E15" s="85" t="str">
        <f t="shared" si="3"/>
        <v>EUR3E6E8Y_Quote</v>
      </c>
      <c r="F15" s="85" t="e">
        <f ca="1">_xll.cfyql_SimpleQuote(E15,,RateTickValue,Permanent,Trigger,ObjectOverwrite)</f>
        <v>#NAME?</v>
      </c>
      <c r="G15" s="42" t="e">
        <f ca="1">_xll.ohRangeRetrieveError(F15)</f>
        <v>#NAME?</v>
      </c>
      <c r="H15" s="36"/>
      <c r="J15" s="134"/>
      <c r="K15" s="140" t="s">
        <v>48</v>
      </c>
      <c r="L15" s="140" t="s">
        <v>69</v>
      </c>
      <c r="M15" s="140" t="s">
        <v>66</v>
      </c>
      <c r="N15" s="185" t="str">
        <f t="shared" si="4"/>
        <v>EUR3E6E8Y</v>
      </c>
      <c r="O15" s="139" t="str">
        <v>EUR3E6E8Y=ICAP</v>
      </c>
      <c r="P15" s="184">
        <v>9.9</v>
      </c>
      <c r="Q15" s="184">
        <v>10.9</v>
      </c>
      <c r="R15" s="184" t="e">
        <f ca="1">_xll.cfyql_MidSafe(P15,Q15)</f>
        <v>#NAME?</v>
      </c>
      <c r="S15" s="184" t="e">
        <f t="shared" ca="1" si="5"/>
        <v>#NAME?</v>
      </c>
      <c r="T15" s="182"/>
      <c r="U15" s="181">
        <v>10.4</v>
      </c>
      <c r="V15" s="111"/>
      <c r="W15" s="180">
        <v>10.4</v>
      </c>
      <c r="X15" s="179" t="e">
        <f ca="1">_xll.cfyql_SimpleQuoteSetValue(F15,ROUND(W15/10000,6),Trigger)</f>
        <v>#NAME?</v>
      </c>
      <c r="Y15" s="129"/>
    </row>
    <row r="16" spans="1:28" ht="11.25" customHeight="1" x14ac:dyDescent="0.2">
      <c r="A16" s="134"/>
      <c r="B16" s="86" t="str">
        <f t="shared" si="0"/>
        <v>9Y</v>
      </c>
      <c r="C16" s="86" t="str">
        <f t="shared" si="1"/>
        <v>3E</v>
      </c>
      <c r="D16" s="86" t="str">
        <f t="shared" si="2"/>
        <v>6E</v>
      </c>
      <c r="E16" s="85" t="str">
        <f t="shared" si="3"/>
        <v>EUR3E6E9Y_Quote</v>
      </c>
      <c r="F16" s="85" t="e">
        <f ca="1">_xll.cfyql_SimpleQuote(E16,,RateTickValue,Permanent,Trigger,ObjectOverwrite)</f>
        <v>#NAME?</v>
      </c>
      <c r="G16" s="42" t="e">
        <f ca="1">_xll.ohRangeRetrieveError(F16)</f>
        <v>#NAME?</v>
      </c>
      <c r="H16" s="36"/>
      <c r="J16" s="134"/>
      <c r="K16" s="140" t="s">
        <v>47</v>
      </c>
      <c r="L16" s="140" t="s">
        <v>69</v>
      </c>
      <c r="M16" s="140" t="s">
        <v>66</v>
      </c>
      <c r="N16" s="185" t="str">
        <f t="shared" si="4"/>
        <v>EUR3E6E9Y</v>
      </c>
      <c r="O16" s="139" t="str">
        <v>EUR3E6E9Y=ICAP</v>
      </c>
      <c r="P16" s="184">
        <v>9.5</v>
      </c>
      <c r="Q16" s="184">
        <v>10.5</v>
      </c>
      <c r="R16" s="184" t="e">
        <f ca="1">_xll.cfyql_MidSafe(P16,Q16)</f>
        <v>#NAME?</v>
      </c>
      <c r="S16" s="184" t="e">
        <f t="shared" ca="1" si="5"/>
        <v>#NAME?</v>
      </c>
      <c r="T16" s="182"/>
      <c r="U16" s="181">
        <v>10</v>
      </c>
      <c r="V16" s="111"/>
      <c r="W16" s="180">
        <v>10</v>
      </c>
      <c r="X16" s="179" t="e">
        <f ca="1">_xll.cfyql_SimpleQuoteSetValue(F16,ROUND(W16/10000,6),Trigger)</f>
        <v>#NAME?</v>
      </c>
      <c r="Y16" s="129"/>
    </row>
    <row r="17" spans="1:25" ht="11.25" customHeight="1" x14ac:dyDescent="0.2">
      <c r="A17" s="134"/>
      <c r="B17" s="86" t="str">
        <f t="shared" si="0"/>
        <v>10Y</v>
      </c>
      <c r="C17" s="86" t="str">
        <f t="shared" si="1"/>
        <v>3E</v>
      </c>
      <c r="D17" s="86" t="str">
        <f t="shared" si="2"/>
        <v>6E</v>
      </c>
      <c r="E17" s="85" t="str">
        <f t="shared" si="3"/>
        <v>EUR3E6E10Y_Quote</v>
      </c>
      <c r="F17" s="85" t="e">
        <f ca="1">_xll.cfyql_SimpleQuote(E17,,RateTickValue,Permanent,Trigger,ObjectOverwrite)</f>
        <v>#NAME?</v>
      </c>
      <c r="G17" s="42" t="e">
        <f ca="1">_xll.ohRangeRetrieveError(F17)</f>
        <v>#NAME?</v>
      </c>
      <c r="H17" s="36"/>
      <c r="J17" s="134"/>
      <c r="K17" s="140" t="s">
        <v>46</v>
      </c>
      <c r="L17" s="140" t="s">
        <v>69</v>
      </c>
      <c r="M17" s="140" t="s">
        <v>66</v>
      </c>
      <c r="N17" s="185" t="str">
        <f t="shared" si="4"/>
        <v>EUR3E6E10Y</v>
      </c>
      <c r="O17" s="139" t="str">
        <v>EUR3E6E10Y=ICAP</v>
      </c>
      <c r="P17" s="184">
        <v>9.0500000000000007</v>
      </c>
      <c r="Q17" s="184">
        <v>10.050000000000001</v>
      </c>
      <c r="R17" s="184" t="e">
        <f ca="1">_xll.cfyql_MidSafe(P17,Q17)</f>
        <v>#NAME?</v>
      </c>
      <c r="S17" s="184" t="e">
        <f t="shared" ca="1" si="5"/>
        <v>#NAME?</v>
      </c>
      <c r="T17" s="182"/>
      <c r="U17" s="181">
        <v>9.5500000000000007</v>
      </c>
      <c r="V17" s="111"/>
      <c r="W17" s="180">
        <v>9.5500000000000007</v>
      </c>
      <c r="X17" s="179" t="e">
        <f ca="1">_xll.cfyql_SimpleQuoteSetValue(F17,ROUND(W17/10000,6),Trigger)</f>
        <v>#NAME?</v>
      </c>
      <c r="Y17" s="129"/>
    </row>
    <row r="18" spans="1:25" ht="11.25" customHeight="1" x14ac:dyDescent="0.2">
      <c r="A18" s="134"/>
      <c r="B18" s="86" t="str">
        <f t="shared" si="0"/>
        <v>11Y</v>
      </c>
      <c r="C18" s="86" t="str">
        <f t="shared" si="1"/>
        <v>3E</v>
      </c>
      <c r="D18" s="86" t="str">
        <f t="shared" si="2"/>
        <v>6E</v>
      </c>
      <c r="E18" s="85" t="str">
        <f t="shared" si="3"/>
        <v>EUR3E6E11Y_Quote</v>
      </c>
      <c r="F18" s="85" t="e">
        <f ca="1">_xll.cfyql_SimpleQuote(E18,,RateTickValue,Permanent,Trigger,ObjectOverwrite)</f>
        <v>#NAME?</v>
      </c>
      <c r="G18" s="42" t="e">
        <f ca="1">_xll.ohRangeRetrieveError(F18)</f>
        <v>#NAME?</v>
      </c>
      <c r="H18" s="36"/>
      <c r="J18" s="134"/>
      <c r="K18" s="140" t="s">
        <v>45</v>
      </c>
      <c r="L18" s="140" t="s">
        <v>69</v>
      </c>
      <c r="M18" s="140" t="s">
        <v>66</v>
      </c>
      <c r="N18" s="185" t="str">
        <f t="shared" si="4"/>
        <v>EUR3E6E11Y</v>
      </c>
      <c r="O18" s="139" t="str">
        <v>EUR3E6E11Y=ICAP</v>
      </c>
      <c r="P18" s="184">
        <v>8.5500000000000007</v>
      </c>
      <c r="Q18" s="184">
        <v>9.5500000000000007</v>
      </c>
      <c r="R18" s="184" t="e">
        <f ca="1">_xll.cfyql_MidSafe(P18,Q18)</f>
        <v>#NAME?</v>
      </c>
      <c r="S18" s="184" t="e">
        <f t="shared" ca="1" si="5"/>
        <v>#NAME?</v>
      </c>
      <c r="T18" s="182"/>
      <c r="U18" s="181">
        <v>9.0500000000000007</v>
      </c>
      <c r="V18" s="111"/>
      <c r="W18" s="180">
        <v>9.0500000000000007</v>
      </c>
      <c r="X18" s="179" t="e">
        <f ca="1">_xll.cfyql_SimpleQuoteSetValue(F18,ROUND(W18/10000,6),Trigger)</f>
        <v>#NAME?</v>
      </c>
      <c r="Y18" s="129"/>
    </row>
    <row r="19" spans="1:25" ht="11.25" customHeight="1" x14ac:dyDescent="0.2">
      <c r="A19" s="134"/>
      <c r="B19" s="86" t="str">
        <f t="shared" si="0"/>
        <v>12Y</v>
      </c>
      <c r="C19" s="86" t="str">
        <f t="shared" si="1"/>
        <v>3E</v>
      </c>
      <c r="D19" s="86" t="str">
        <f t="shared" si="2"/>
        <v>6E</v>
      </c>
      <c r="E19" s="85" t="str">
        <f t="shared" si="3"/>
        <v>EUR3E6E12Y_Quote</v>
      </c>
      <c r="F19" s="85" t="e">
        <f ca="1">_xll.cfyql_SimpleQuote(E19,,RateTickValue,Permanent,Trigger,ObjectOverwrite)</f>
        <v>#NAME?</v>
      </c>
      <c r="G19" s="42" t="e">
        <f ca="1">_xll.ohRangeRetrieveError(F19)</f>
        <v>#NAME?</v>
      </c>
      <c r="H19" s="36"/>
      <c r="J19" s="134"/>
      <c r="K19" s="140" t="s">
        <v>44</v>
      </c>
      <c r="L19" s="140" t="s">
        <v>69</v>
      </c>
      <c r="M19" s="140" t="s">
        <v>66</v>
      </c>
      <c r="N19" s="185" t="str">
        <f t="shared" si="4"/>
        <v>EUR3E6E12Y</v>
      </c>
      <c r="O19" s="139" t="str">
        <v>EUR3E6E12Y=ICAP</v>
      </c>
      <c r="P19" s="184">
        <v>8.1999999999999993</v>
      </c>
      <c r="Q19" s="184">
        <v>9.1999999999999993</v>
      </c>
      <c r="R19" s="184" t="e">
        <f ca="1">_xll.cfyql_MidSafe(P19,Q19)</f>
        <v>#NAME?</v>
      </c>
      <c r="S19" s="184" t="e">
        <f t="shared" ca="1" si="5"/>
        <v>#NAME?</v>
      </c>
      <c r="T19" s="182"/>
      <c r="U19" s="181">
        <v>8.6999999999999993</v>
      </c>
      <c r="V19" s="111"/>
      <c r="W19" s="180">
        <v>8.6999999999999993</v>
      </c>
      <c r="X19" s="179" t="e">
        <f ca="1">_xll.cfyql_SimpleQuoteSetValue(F19,ROUND(W19/10000,6),Trigger)</f>
        <v>#NAME?</v>
      </c>
      <c r="Y19" s="129"/>
    </row>
    <row r="20" spans="1:25" ht="11.25" customHeight="1" x14ac:dyDescent="0.2">
      <c r="A20" s="134"/>
      <c r="B20" s="86" t="str">
        <f t="shared" si="0"/>
        <v>13Y</v>
      </c>
      <c r="C20" s="86" t="str">
        <f t="shared" si="1"/>
        <v>3E</v>
      </c>
      <c r="D20" s="86" t="str">
        <f t="shared" si="2"/>
        <v>6E</v>
      </c>
      <c r="E20" s="85" t="str">
        <f t="shared" si="3"/>
        <v>EUR3E6E13Y_Quote</v>
      </c>
      <c r="F20" s="85" t="e">
        <f ca="1">_xll.cfyql_SimpleQuote(E20,,RateTickValue,Permanent,Trigger,ObjectOverwrite)</f>
        <v>#NAME?</v>
      </c>
      <c r="G20" s="42" t="e">
        <f ca="1">_xll.ohRangeRetrieveError(F20)</f>
        <v>#NAME?</v>
      </c>
      <c r="H20" s="36"/>
      <c r="J20" s="134"/>
      <c r="K20" s="140" t="s">
        <v>43</v>
      </c>
      <c r="L20" s="140" t="s">
        <v>69</v>
      </c>
      <c r="M20" s="140" t="s">
        <v>66</v>
      </c>
      <c r="N20" s="185" t="str">
        <f t="shared" si="4"/>
        <v>EUR3E6E13Y</v>
      </c>
      <c r="O20" s="139" t="str">
        <v>EUR3E6E13Y=ICAP</v>
      </c>
      <c r="P20" s="184" t="s">
        <v>109</v>
      </c>
      <c r="Q20" s="184" t="s">
        <v>109</v>
      </c>
      <c r="R20" s="184" t="e">
        <f ca="1">_xll.cfyql_MidSafe(P20,Q20)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3E</v>
      </c>
      <c r="D21" s="86" t="str">
        <f t="shared" si="2"/>
        <v>6E</v>
      </c>
      <c r="E21" s="85" t="str">
        <f t="shared" si="3"/>
        <v>EUR3E6E14Y_Quote</v>
      </c>
      <c r="F21" s="85" t="e">
        <f ca="1">_xll.cfyql_SimpleQuote(E21,,RateTickValue,Permanent,Trigger,ObjectOverwrite)</f>
        <v>#NAME?</v>
      </c>
      <c r="G21" s="42" t="e">
        <f ca="1">_xll.ohRangeRetrieveError(F21)</f>
        <v>#NAME?</v>
      </c>
      <c r="H21" s="36"/>
      <c r="J21" s="134"/>
      <c r="K21" s="140" t="s">
        <v>42</v>
      </c>
      <c r="L21" s="140" t="s">
        <v>69</v>
      </c>
      <c r="M21" s="140" t="s">
        <v>66</v>
      </c>
      <c r="N21" s="185" t="str">
        <f t="shared" si="4"/>
        <v>EUR3E6E14Y</v>
      </c>
      <c r="O21" s="139" t="str">
        <v>EUR3E6E14Y=ICAP</v>
      </c>
      <c r="P21" s="184" t="s">
        <v>109</v>
      </c>
      <c r="Q21" s="184" t="s">
        <v>109</v>
      </c>
      <c r="R21" s="184" t="e">
        <f ca="1">_xll.cfyql_MidSafe(P21,Q21)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3E</v>
      </c>
      <c r="D22" s="86" t="str">
        <f t="shared" si="2"/>
        <v>6E</v>
      </c>
      <c r="E22" s="85" t="str">
        <f t="shared" si="3"/>
        <v>EUR3E6E15Y_Quote</v>
      </c>
      <c r="F22" s="85" t="e">
        <f ca="1">_xll.cfyql_SimpleQuote(E22,,RateTickValue,Permanent,Trigger,ObjectOverwrite)</f>
        <v>#NAME?</v>
      </c>
      <c r="G22" s="42" t="e">
        <f ca="1">_xll.ohRangeRetrieveError(F22)</f>
        <v>#NAME?</v>
      </c>
      <c r="H22" s="36"/>
      <c r="J22" s="134"/>
      <c r="K22" s="140" t="s">
        <v>41</v>
      </c>
      <c r="L22" s="140" t="s">
        <v>69</v>
      </c>
      <c r="M22" s="140" t="s">
        <v>66</v>
      </c>
      <c r="N22" s="185" t="str">
        <f t="shared" si="4"/>
        <v>EUR3E6E15Y</v>
      </c>
      <c r="O22" s="139" t="str">
        <v>EUR3E6E15Y=ICAP</v>
      </c>
      <c r="P22" s="184">
        <v>7.1</v>
      </c>
      <c r="Q22" s="184">
        <v>8.1</v>
      </c>
      <c r="R22" s="184" t="e">
        <f ca="1">_xll.cfyql_MidSafe(P22,Q22)</f>
        <v>#NAME?</v>
      </c>
      <c r="S22" s="184" t="e">
        <f t="shared" ca="1" si="5"/>
        <v>#NAME?</v>
      </c>
      <c r="T22" s="182"/>
      <c r="U22" s="181">
        <v>7.6</v>
      </c>
      <c r="V22" s="111"/>
      <c r="W22" s="180">
        <v>7.6</v>
      </c>
      <c r="X22" s="179" t="e">
        <f ca="1">_xll.cfyql_SimpleQuoteSetValue(F22,ROUND(W22/10000,6),Trigger)</f>
        <v>#NAME?</v>
      </c>
      <c r="Y22" s="129"/>
    </row>
    <row r="23" spans="1:25" ht="11.25" customHeight="1" x14ac:dyDescent="0.2">
      <c r="A23" s="134"/>
      <c r="B23" s="86" t="str">
        <f t="shared" si="0"/>
        <v>16Y</v>
      </c>
      <c r="C23" s="86" t="str">
        <f t="shared" si="1"/>
        <v>3E</v>
      </c>
      <c r="D23" s="86" t="str">
        <f t="shared" si="2"/>
        <v>6E</v>
      </c>
      <c r="E23" s="85" t="str">
        <f t="shared" si="3"/>
        <v>EUR3E6E16Y_Quote</v>
      </c>
      <c r="F23" s="85" t="e">
        <f ca="1">_xll.cfyql_SimpleQuote(E23,,RateTickValue,Permanent,Trigger,ObjectOverwrite)</f>
        <v>#NAME?</v>
      </c>
      <c r="G23" s="42" t="e">
        <f ca="1">_xll.ohRangeRetrieveError(F23)</f>
        <v>#NAME?</v>
      </c>
      <c r="H23" s="36"/>
      <c r="J23" s="134"/>
      <c r="K23" s="140" t="s">
        <v>40</v>
      </c>
      <c r="L23" s="140" t="s">
        <v>69</v>
      </c>
      <c r="M23" s="140" t="s">
        <v>66</v>
      </c>
      <c r="N23" s="185" t="str">
        <f t="shared" si="4"/>
        <v>EUR3E6E16Y</v>
      </c>
      <c r="O23" s="139" t="str">
        <v>EUR3E6E16Y=ICAP</v>
      </c>
      <c r="P23" s="184" t="s">
        <v>109</v>
      </c>
      <c r="Q23" s="184" t="s">
        <v>109</v>
      </c>
      <c r="R23" s="184" t="e">
        <f ca="1">_xll.cfyql_MidSafe(P23,Q23)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3E</v>
      </c>
      <c r="D24" s="86" t="str">
        <f t="shared" si="2"/>
        <v>6E</v>
      </c>
      <c r="E24" s="85" t="str">
        <f t="shared" si="3"/>
        <v>EUR3E6E17Y_Quote</v>
      </c>
      <c r="F24" s="85" t="e">
        <f ca="1">_xll.cfyql_SimpleQuote(E24,,RateTickValue,Permanent,Trigger,ObjectOverwrite)</f>
        <v>#NAME?</v>
      </c>
      <c r="G24" s="42" t="e">
        <f ca="1">_xll.ohRangeRetrieveError(F24)</f>
        <v>#NAME?</v>
      </c>
      <c r="H24" s="36"/>
      <c r="J24" s="134"/>
      <c r="K24" s="140" t="s">
        <v>39</v>
      </c>
      <c r="L24" s="140" t="s">
        <v>69</v>
      </c>
      <c r="M24" s="140" t="s">
        <v>66</v>
      </c>
      <c r="N24" s="185" t="str">
        <f t="shared" si="4"/>
        <v>EUR3E6E17Y</v>
      </c>
      <c r="O24" s="139" t="str">
        <v>EUR3E6E17Y=ICAP</v>
      </c>
      <c r="P24" s="184" t="s">
        <v>109</v>
      </c>
      <c r="Q24" s="184" t="s">
        <v>109</v>
      </c>
      <c r="R24" s="184" t="e">
        <f ca="1">_xll.cfyql_MidSafe(P24,Q24)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3E</v>
      </c>
      <c r="D25" s="86" t="str">
        <f t="shared" si="2"/>
        <v>6E</v>
      </c>
      <c r="E25" s="85" t="str">
        <f t="shared" si="3"/>
        <v>EUR3E6E18Y_Quote</v>
      </c>
      <c r="F25" s="85" t="e">
        <f ca="1">_xll.cfyql_SimpleQuote(E25,,RateTickValue,Permanent,Trigger,ObjectOverwrite)</f>
        <v>#NAME?</v>
      </c>
      <c r="G25" s="42" t="e">
        <f ca="1">_xll.ohRangeRetrieveError(F25)</f>
        <v>#NAME?</v>
      </c>
      <c r="H25" s="36"/>
      <c r="J25" s="134"/>
      <c r="K25" s="140" t="s">
        <v>38</v>
      </c>
      <c r="L25" s="140" t="s">
        <v>69</v>
      </c>
      <c r="M25" s="140" t="s">
        <v>66</v>
      </c>
      <c r="N25" s="185" t="str">
        <f t="shared" si="4"/>
        <v>EUR3E6E18Y</v>
      </c>
      <c r="O25" s="139" t="str">
        <v>EUR3E6E18Y=ICAP</v>
      </c>
      <c r="P25" s="184" t="s">
        <v>109</v>
      </c>
      <c r="Q25" s="184" t="s">
        <v>109</v>
      </c>
      <c r="R25" s="184" t="e">
        <f ca="1">_xll.cfyql_MidSafe(P25,Q25)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3E</v>
      </c>
      <c r="D26" s="86" t="str">
        <f t="shared" si="2"/>
        <v>6E</v>
      </c>
      <c r="E26" s="85" t="str">
        <f t="shared" si="3"/>
        <v>EUR3E6E19Y_Quote</v>
      </c>
      <c r="F26" s="85" t="e">
        <f ca="1">_xll.cfyql_SimpleQuote(E26,,RateTickValue,Permanent,Trigger,ObjectOverwrite)</f>
        <v>#NAME?</v>
      </c>
      <c r="G26" s="42" t="e">
        <f ca="1">_xll.ohRangeRetrieveError(F26)</f>
        <v>#NAME?</v>
      </c>
      <c r="H26" s="36"/>
      <c r="J26" s="134"/>
      <c r="K26" s="140" t="s">
        <v>37</v>
      </c>
      <c r="L26" s="140" t="s">
        <v>69</v>
      </c>
      <c r="M26" s="140" t="s">
        <v>66</v>
      </c>
      <c r="N26" s="185" t="str">
        <f t="shared" si="4"/>
        <v>EUR3E6E19Y</v>
      </c>
      <c r="O26" s="139" t="str">
        <v>EUR3E6E19Y=ICAP</v>
      </c>
      <c r="P26" s="184" t="s">
        <v>109</v>
      </c>
      <c r="Q26" s="184" t="s">
        <v>109</v>
      </c>
      <c r="R26" s="184" t="e">
        <f ca="1">_xll.cfyql_MidSafe(P26,Q26)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3E</v>
      </c>
      <c r="D27" s="86" t="str">
        <f t="shared" si="2"/>
        <v>6E</v>
      </c>
      <c r="E27" s="85" t="str">
        <f t="shared" si="3"/>
        <v>EUR3E6E20Y_Quote</v>
      </c>
      <c r="F27" s="85" t="e">
        <f ca="1">_xll.cfyql_SimpleQuote(E27,,RateTickValue,Permanent,Trigger,ObjectOverwrite)</f>
        <v>#NAME?</v>
      </c>
      <c r="G27" s="42" t="e">
        <f ca="1">_xll.ohRangeRetrieveError(F27)</f>
        <v>#NAME?</v>
      </c>
      <c r="H27" s="36"/>
      <c r="J27" s="134"/>
      <c r="K27" s="140" t="s">
        <v>36</v>
      </c>
      <c r="L27" s="140" t="s">
        <v>69</v>
      </c>
      <c r="M27" s="140" t="s">
        <v>66</v>
      </c>
      <c r="N27" s="185" t="str">
        <f t="shared" si="4"/>
        <v>EUR3E6E20Y</v>
      </c>
      <c r="O27" s="139" t="str">
        <v>EUR3E6E20Y=ICAP</v>
      </c>
      <c r="P27" s="184">
        <v>5.9</v>
      </c>
      <c r="Q27" s="184">
        <v>6.9</v>
      </c>
      <c r="R27" s="184" t="e">
        <f ca="1">_xll.cfyql_MidSafe(P27,Q27)</f>
        <v>#NAME?</v>
      </c>
      <c r="S27" s="184" t="e">
        <f t="shared" ca="1" si="5"/>
        <v>#NAME?</v>
      </c>
      <c r="T27" s="182"/>
      <c r="U27" s="181">
        <v>6.4</v>
      </c>
      <c r="V27" s="111"/>
      <c r="W27" s="180">
        <v>6.4</v>
      </c>
      <c r="X27" s="179" t="e">
        <f ca="1">_xll.cfyql_SimpleQuoteSetValue(F27,ROUND(W27/10000,6),Trigger)</f>
        <v>#NAME?</v>
      </c>
      <c r="Y27" s="129"/>
    </row>
    <row r="28" spans="1:25" ht="11.25" customHeight="1" x14ac:dyDescent="0.2">
      <c r="A28" s="134"/>
      <c r="B28" s="86" t="str">
        <f t="shared" si="0"/>
        <v>21Y</v>
      </c>
      <c r="C28" s="86" t="str">
        <f t="shared" si="1"/>
        <v>3E</v>
      </c>
      <c r="D28" s="86" t="str">
        <f t="shared" si="2"/>
        <v>6E</v>
      </c>
      <c r="E28" s="85" t="str">
        <f t="shared" si="3"/>
        <v>EUR3E6E21Y_Quote</v>
      </c>
      <c r="F28" s="85" t="e">
        <f ca="1">_xll.cfyql_SimpleQuote(E28,,RateTickValue,Permanent,Trigger,ObjectOverwrite)</f>
        <v>#NAME?</v>
      </c>
      <c r="G28" s="42" t="e">
        <f ca="1">_xll.ohRangeRetrieveError(F28)</f>
        <v>#NAME?</v>
      </c>
      <c r="H28" s="36"/>
      <c r="J28" s="134"/>
      <c r="K28" s="140" t="s">
        <v>35</v>
      </c>
      <c r="L28" s="140" t="s">
        <v>69</v>
      </c>
      <c r="M28" s="140" t="s">
        <v>66</v>
      </c>
      <c r="N28" s="185" t="str">
        <f t="shared" si="4"/>
        <v>EUR3E6E21Y</v>
      </c>
      <c r="O28" s="139" t="str">
        <v>EUR3E6E21Y=ICAP</v>
      </c>
      <c r="P28" s="184" t="s">
        <v>109</v>
      </c>
      <c r="Q28" s="184" t="s">
        <v>109</v>
      </c>
      <c r="R28" s="184" t="e">
        <f ca="1">_xll.cfyql_MidSafe(P28,Q28)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3E</v>
      </c>
      <c r="D29" s="86" t="str">
        <f t="shared" si="2"/>
        <v>6E</v>
      </c>
      <c r="E29" s="85" t="str">
        <f t="shared" si="3"/>
        <v>EUR3E6E22Y_Quote</v>
      </c>
      <c r="F29" s="85" t="e">
        <f ca="1">_xll.cfyql_SimpleQuote(E29,,RateTickValue,Permanent,Trigger,ObjectOverwrite)</f>
        <v>#NAME?</v>
      </c>
      <c r="G29" s="42" t="e">
        <f ca="1">_xll.ohRangeRetrieveError(F29)</f>
        <v>#NAME?</v>
      </c>
      <c r="H29" s="36"/>
      <c r="J29" s="134"/>
      <c r="K29" s="140" t="s">
        <v>34</v>
      </c>
      <c r="L29" s="140" t="s">
        <v>69</v>
      </c>
      <c r="M29" s="140" t="s">
        <v>66</v>
      </c>
      <c r="N29" s="185" t="str">
        <f t="shared" si="4"/>
        <v>EUR3E6E22Y</v>
      </c>
      <c r="O29" s="139" t="str">
        <v>EUR3E6E22Y=ICAP</v>
      </c>
      <c r="P29" s="184" t="s">
        <v>109</v>
      </c>
      <c r="Q29" s="184" t="s">
        <v>109</v>
      </c>
      <c r="R29" s="184" t="e">
        <f ca="1">_xll.cfyql_MidSafe(P29,Q29)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3E</v>
      </c>
      <c r="D30" s="86" t="str">
        <f t="shared" si="2"/>
        <v>6E</v>
      </c>
      <c r="E30" s="85" t="str">
        <f t="shared" si="3"/>
        <v>EUR3E6E23Y_Quote</v>
      </c>
      <c r="F30" s="85" t="e">
        <f ca="1">_xll.cfyql_SimpleQuote(E30,,RateTickValue,Permanent,Trigger,ObjectOverwrite)</f>
        <v>#NAME?</v>
      </c>
      <c r="G30" s="42" t="e">
        <f ca="1">_xll.ohRangeRetrieveError(F30)</f>
        <v>#NAME?</v>
      </c>
      <c r="H30" s="36"/>
      <c r="J30" s="134"/>
      <c r="K30" s="140" t="s">
        <v>33</v>
      </c>
      <c r="L30" s="140" t="s">
        <v>69</v>
      </c>
      <c r="M30" s="140" t="s">
        <v>66</v>
      </c>
      <c r="N30" s="185" t="str">
        <f t="shared" si="4"/>
        <v>EUR3E6E23Y</v>
      </c>
      <c r="O30" s="139" t="str">
        <v>EUR3E6E23Y=ICAP</v>
      </c>
      <c r="P30" s="184" t="s">
        <v>109</v>
      </c>
      <c r="Q30" s="184" t="s">
        <v>109</v>
      </c>
      <c r="R30" s="184" t="e">
        <f ca="1">_xll.cfyql_MidSafe(P30,Q30)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3E</v>
      </c>
      <c r="D31" s="86" t="str">
        <f t="shared" si="2"/>
        <v>6E</v>
      </c>
      <c r="E31" s="85" t="str">
        <f t="shared" si="3"/>
        <v>EUR3E6E24Y_Quote</v>
      </c>
      <c r="F31" s="85" t="e">
        <f ca="1">_xll.cfyql_SimpleQuote(E31,,RateTickValue,Permanent,Trigger,ObjectOverwrite)</f>
        <v>#NAME?</v>
      </c>
      <c r="G31" s="42" t="e">
        <f ca="1">_xll.ohRangeRetrieveError(F31)</f>
        <v>#NAME?</v>
      </c>
      <c r="H31" s="36"/>
      <c r="J31" s="134"/>
      <c r="K31" s="140" t="s">
        <v>32</v>
      </c>
      <c r="L31" s="140" t="s">
        <v>69</v>
      </c>
      <c r="M31" s="140" t="s">
        <v>66</v>
      </c>
      <c r="N31" s="185" t="str">
        <f t="shared" si="4"/>
        <v>EUR3E6E24Y</v>
      </c>
      <c r="O31" s="139" t="str">
        <v>EUR3E6E24Y=ICAP</v>
      </c>
      <c r="P31" s="184" t="s">
        <v>109</v>
      </c>
      <c r="Q31" s="184" t="s">
        <v>109</v>
      </c>
      <c r="R31" s="184" t="e">
        <f ca="1">_xll.cfyql_MidSafe(P31,Q31)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3E</v>
      </c>
      <c r="D32" s="86" t="str">
        <f t="shared" si="2"/>
        <v>6E</v>
      </c>
      <c r="E32" s="85" t="str">
        <f t="shared" si="3"/>
        <v>EUR3E6E25Y_Quote</v>
      </c>
      <c r="F32" s="85" t="e">
        <f ca="1">_xll.cfyql_SimpleQuote(E32,,RateTickValue,Permanent,Trigger,ObjectOverwrite)</f>
        <v>#NAME?</v>
      </c>
      <c r="G32" s="42" t="e">
        <f ca="1">_xll.ohRangeRetrieveError(F32)</f>
        <v>#NAME?</v>
      </c>
      <c r="H32" s="36"/>
      <c r="J32" s="134"/>
      <c r="K32" s="140" t="s">
        <v>31</v>
      </c>
      <c r="L32" s="140" t="s">
        <v>69</v>
      </c>
      <c r="M32" s="140" t="s">
        <v>66</v>
      </c>
      <c r="N32" s="185" t="str">
        <f t="shared" si="4"/>
        <v>EUR3E6E25Y</v>
      </c>
      <c r="O32" s="139" t="str">
        <v>EUR3E6E25Y=ICAP</v>
      </c>
      <c r="P32" s="184">
        <v>5</v>
      </c>
      <c r="Q32" s="184">
        <v>6</v>
      </c>
      <c r="R32" s="184" t="e">
        <f ca="1">_xll.cfyql_MidSafe(P32,Q32)</f>
        <v>#NAME?</v>
      </c>
      <c r="S32" s="184" t="e">
        <f t="shared" ca="1" si="5"/>
        <v>#NAME?</v>
      </c>
      <c r="T32" s="182"/>
      <c r="U32" s="181">
        <v>5.5</v>
      </c>
      <c r="V32" s="111"/>
      <c r="W32" s="180">
        <v>5.5</v>
      </c>
      <c r="X32" s="179" t="e">
        <f ca="1">_xll.cfyql_SimpleQuoteSetValue(F32,ROUND(W32/10000,6),Trigger)</f>
        <v>#NAME?</v>
      </c>
      <c r="Y32" s="129"/>
    </row>
    <row r="33" spans="1:25" ht="11.25" customHeight="1" x14ac:dyDescent="0.2">
      <c r="A33" s="134"/>
      <c r="B33" s="86" t="str">
        <f t="shared" si="0"/>
        <v>26Y</v>
      </c>
      <c r="C33" s="86" t="str">
        <f t="shared" si="1"/>
        <v>3E</v>
      </c>
      <c r="D33" s="86" t="str">
        <f t="shared" si="2"/>
        <v>6E</v>
      </c>
      <c r="E33" s="85" t="str">
        <f t="shared" si="3"/>
        <v>EUR3E6E26Y_Quote</v>
      </c>
      <c r="F33" s="85" t="e">
        <f ca="1">_xll.cfyql_SimpleQuote(E33,,RateTickValue,Permanent,Trigger,ObjectOverwrite)</f>
        <v>#NAME?</v>
      </c>
      <c r="G33" s="42" t="e">
        <f ca="1">_xll.ohRangeRetrieveError(F33)</f>
        <v>#NAME?</v>
      </c>
      <c r="H33" s="36"/>
      <c r="J33" s="134"/>
      <c r="K33" s="140" t="s">
        <v>30</v>
      </c>
      <c r="L33" s="140" t="s">
        <v>69</v>
      </c>
      <c r="M33" s="140" t="s">
        <v>66</v>
      </c>
      <c r="N33" s="185" t="str">
        <f t="shared" si="4"/>
        <v>EUR3E6E26Y</v>
      </c>
      <c r="O33" s="139" t="str">
        <v>EUR3E6E26Y=ICAP</v>
      </c>
      <c r="P33" s="184" t="s">
        <v>109</v>
      </c>
      <c r="Q33" s="184" t="s">
        <v>109</v>
      </c>
      <c r="R33" s="184" t="e">
        <f ca="1">_xll.cfyql_MidSafe(P33,Q33)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3E</v>
      </c>
      <c r="D34" s="86" t="str">
        <f t="shared" si="2"/>
        <v>6E</v>
      </c>
      <c r="E34" s="85" t="str">
        <f t="shared" si="3"/>
        <v>EUR3E6E27Y_Quote</v>
      </c>
      <c r="F34" s="85" t="e">
        <f ca="1">_xll.cfyql_SimpleQuote(E34,,RateTickValue,Permanent,Trigger,ObjectOverwrite)</f>
        <v>#NAME?</v>
      </c>
      <c r="G34" s="42" t="e">
        <f ca="1">_xll.ohRangeRetrieveError(F34)</f>
        <v>#NAME?</v>
      </c>
      <c r="H34" s="36"/>
      <c r="J34" s="134"/>
      <c r="K34" s="140" t="s">
        <v>29</v>
      </c>
      <c r="L34" s="140" t="s">
        <v>69</v>
      </c>
      <c r="M34" s="140" t="s">
        <v>66</v>
      </c>
      <c r="N34" s="185" t="str">
        <f t="shared" si="4"/>
        <v>EUR3E6E27Y</v>
      </c>
      <c r="O34" s="139" t="str">
        <v>EUR3E6E27Y=ICAP</v>
      </c>
      <c r="P34" s="184" t="s">
        <v>109</v>
      </c>
      <c r="Q34" s="184" t="s">
        <v>109</v>
      </c>
      <c r="R34" s="184" t="e">
        <f ca="1">_xll.cfyql_MidSafe(P34,Q34)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3E</v>
      </c>
      <c r="D35" s="86" t="str">
        <f t="shared" si="2"/>
        <v>6E</v>
      </c>
      <c r="E35" s="85" t="str">
        <f t="shared" si="3"/>
        <v>EUR3E6E28Y_Quote</v>
      </c>
      <c r="F35" s="85" t="e">
        <f ca="1">_xll.cfyql_SimpleQuote(E35,,RateTickValue,Permanent,Trigger,ObjectOverwrite)</f>
        <v>#NAME?</v>
      </c>
      <c r="G35" s="42" t="e">
        <f ca="1">_xll.ohRangeRetrieveError(F35)</f>
        <v>#NAME?</v>
      </c>
      <c r="H35" s="36"/>
      <c r="J35" s="134"/>
      <c r="K35" s="140" t="s">
        <v>28</v>
      </c>
      <c r="L35" s="140" t="s">
        <v>69</v>
      </c>
      <c r="M35" s="140" t="s">
        <v>66</v>
      </c>
      <c r="N35" s="185" t="str">
        <f t="shared" si="4"/>
        <v>EUR3E6E28Y</v>
      </c>
      <c r="O35" s="139" t="str">
        <v>EUR3E6E28Y=ICAP</v>
      </c>
      <c r="P35" s="184" t="s">
        <v>109</v>
      </c>
      <c r="Q35" s="184" t="s">
        <v>109</v>
      </c>
      <c r="R35" s="184" t="e">
        <f ca="1">_xll.cfyql_MidSafe(P35,Q35)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3E</v>
      </c>
      <c r="D36" s="86" t="str">
        <f t="shared" si="2"/>
        <v>6E</v>
      </c>
      <c r="E36" s="85" t="str">
        <f t="shared" si="3"/>
        <v>EUR3E6E29Y_Quote</v>
      </c>
      <c r="F36" s="85" t="e">
        <f ca="1">_xll.cfyql_SimpleQuote(E36,,RateTickValue,Permanent,Trigger,ObjectOverwrite)</f>
        <v>#NAME?</v>
      </c>
      <c r="G36" s="42" t="e">
        <f ca="1">_xll.ohRangeRetrieveError(F36)</f>
        <v>#NAME?</v>
      </c>
      <c r="H36" s="36"/>
      <c r="J36" s="134"/>
      <c r="K36" s="140" t="s">
        <v>27</v>
      </c>
      <c r="L36" s="140" t="s">
        <v>69</v>
      </c>
      <c r="M36" s="140" t="s">
        <v>66</v>
      </c>
      <c r="N36" s="185" t="str">
        <f t="shared" si="4"/>
        <v>EUR3E6E29Y</v>
      </c>
      <c r="O36" s="139" t="str">
        <v>EUR3E6E29Y=ICAP</v>
      </c>
      <c r="P36" s="184" t="s">
        <v>109</v>
      </c>
      <c r="Q36" s="184" t="s">
        <v>109</v>
      </c>
      <c r="R36" s="184" t="e">
        <f ca="1">_xll.cfyql_MidSafe(P36,Q36)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3E</v>
      </c>
      <c r="D37" s="86" t="str">
        <f t="shared" si="2"/>
        <v>6E</v>
      </c>
      <c r="E37" s="85" t="str">
        <f t="shared" si="3"/>
        <v>EUR3E6E30Y_Quote</v>
      </c>
      <c r="F37" s="85" t="e">
        <f ca="1">_xll.cfyql_SimpleQuote(E37,,RateTickValue,Permanent,Trigger,ObjectOverwrite)</f>
        <v>#NAME?</v>
      </c>
      <c r="G37" s="42" t="e">
        <f ca="1">_xll.ohRangeRetrieveError(F37)</f>
        <v>#NAME?</v>
      </c>
      <c r="H37" s="36"/>
      <c r="J37" s="134"/>
      <c r="K37" s="140" t="s">
        <v>26</v>
      </c>
      <c r="L37" s="140" t="s">
        <v>69</v>
      </c>
      <c r="M37" s="140" t="s">
        <v>66</v>
      </c>
      <c r="N37" s="185" t="str">
        <f t="shared" si="4"/>
        <v>EUR3E6E30Y</v>
      </c>
      <c r="O37" s="139" t="str">
        <v>EUR3E6E30Y=ICAP</v>
      </c>
      <c r="P37" s="184">
        <v>4.4000000000000004</v>
      </c>
      <c r="Q37" s="184">
        <v>5.4</v>
      </c>
      <c r="R37" s="184" t="e">
        <f ca="1">_xll.cfyql_MidSafe(P37,Q37)</f>
        <v>#NAME?</v>
      </c>
      <c r="S37" s="184" t="e">
        <f t="shared" ca="1" si="5"/>
        <v>#NAME?</v>
      </c>
      <c r="T37" s="182"/>
      <c r="U37" s="181">
        <v>4.9000000000000004</v>
      </c>
      <c r="V37" s="111"/>
      <c r="W37" s="180">
        <v>4.9000000000000004</v>
      </c>
      <c r="X37" s="179" t="e">
        <f ca="1">_xll.cfyql_SimpleQuoteSetValue(F37,ROUND(W37/10000,6),Trigger)</f>
        <v>#NAME?</v>
      </c>
      <c r="Y37" s="129"/>
    </row>
    <row r="38" spans="1:25" ht="11.25" customHeight="1" x14ac:dyDescent="0.2">
      <c r="A38" s="134"/>
      <c r="B38" s="86" t="str">
        <f t="shared" si="0"/>
        <v>35Y</v>
      </c>
      <c r="C38" s="86" t="str">
        <f t="shared" si="1"/>
        <v>3E</v>
      </c>
      <c r="D38" s="86" t="str">
        <f t="shared" si="2"/>
        <v>6E</v>
      </c>
      <c r="E38" s="85" t="str">
        <f t="shared" si="3"/>
        <v>EUR3E6E35Y_Quote</v>
      </c>
      <c r="F38" s="85" t="e">
        <f ca="1">_xll.cfyql_SimpleQuote(E38,,RateTickValue,Permanent,Trigger,ObjectOverwrite)</f>
        <v>#NAME?</v>
      </c>
      <c r="G38" s="42" t="e">
        <f ca="1">_xll.ohRangeRetrieveError(F38)</f>
        <v>#NAME?</v>
      </c>
      <c r="H38" s="36"/>
      <c r="J38" s="134"/>
      <c r="K38" s="140" t="s">
        <v>25</v>
      </c>
      <c r="L38" s="140" t="s">
        <v>69</v>
      </c>
      <c r="M38" s="140" t="s">
        <v>66</v>
      </c>
      <c r="N38" s="185" t="str">
        <f t="shared" si="4"/>
        <v>EUR3E6E35Y</v>
      </c>
      <c r="O38" s="139" t="str">
        <v>EUR3E6E35Y=ICAP</v>
      </c>
      <c r="P38" s="184" t="s">
        <v>109</v>
      </c>
      <c r="Q38" s="184" t="s">
        <v>109</v>
      </c>
      <c r="R38" s="184" t="e">
        <f ca="1">_xll.cfyql_MidSafe(P38,Q38)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3E</v>
      </c>
      <c r="D39" s="86" t="str">
        <f t="shared" si="2"/>
        <v>6E</v>
      </c>
      <c r="E39" s="85" t="str">
        <f t="shared" si="3"/>
        <v>EUR3E6E40Y_Quote</v>
      </c>
      <c r="F39" s="85" t="e">
        <f ca="1">_xll.cfyql_SimpleQuote(E39,,RateTickValue,Permanent,Trigger,ObjectOverwrite)</f>
        <v>#NAME?</v>
      </c>
      <c r="G39" s="42" t="e">
        <f ca="1">_xll.ohRangeRetrieveError(F39)</f>
        <v>#NAME?</v>
      </c>
      <c r="H39" s="36"/>
      <c r="J39" s="134"/>
      <c r="K39" s="140" t="s">
        <v>24</v>
      </c>
      <c r="L39" s="140" t="s">
        <v>69</v>
      </c>
      <c r="M39" s="140" t="s">
        <v>66</v>
      </c>
      <c r="N39" s="185" t="str">
        <f t="shared" si="4"/>
        <v>EUR3E6E40Y</v>
      </c>
      <c r="O39" s="139" t="str">
        <v>EUR3E6E40Y=ICAP</v>
      </c>
      <c r="P39" s="184">
        <v>3.55</v>
      </c>
      <c r="Q39" s="184">
        <v>4.55</v>
      </c>
      <c r="R39" s="184" t="e">
        <f ca="1">_xll.cfyql_MidSafe(P39,Q39)</f>
        <v>#NAME?</v>
      </c>
      <c r="S39" s="184" t="e">
        <f t="shared" ca="1" si="5"/>
        <v>#NAME?</v>
      </c>
      <c r="T39" s="182"/>
      <c r="U39" s="181">
        <v>4.05</v>
      </c>
      <c r="V39" s="111"/>
      <c r="W39" s="180">
        <v>4.05</v>
      </c>
      <c r="X39" s="179" t="e">
        <f ca="1">_xll.cfyql_SimpleQuoteSetValue(F39,ROUND(W39/10000,6),Trigger)</f>
        <v>#NAME?</v>
      </c>
      <c r="Y39" s="129"/>
    </row>
    <row r="40" spans="1:25" ht="11.25" customHeight="1" x14ac:dyDescent="0.2">
      <c r="A40" s="134"/>
      <c r="B40" s="86" t="str">
        <f t="shared" si="0"/>
        <v>50Y</v>
      </c>
      <c r="C40" s="86" t="str">
        <f t="shared" si="1"/>
        <v>3E</v>
      </c>
      <c r="D40" s="86" t="str">
        <f t="shared" si="2"/>
        <v>6E</v>
      </c>
      <c r="E40" s="85" t="str">
        <f t="shared" si="3"/>
        <v>EUR3E6E50Y_Quote</v>
      </c>
      <c r="F40" s="85" t="e">
        <f ca="1">_xll.cfyql_SimpleQuote(E40,,RateTickValue,Permanent,Trigger,ObjectOverwrite)</f>
        <v>#NAME?</v>
      </c>
      <c r="G40" s="42" t="e">
        <f ca="1">_xll.ohRangeRetrieveError(F40)</f>
        <v>#NAME?</v>
      </c>
      <c r="H40" s="36"/>
      <c r="J40" s="134"/>
      <c r="K40" s="140" t="s">
        <v>23</v>
      </c>
      <c r="L40" s="140" t="s">
        <v>69</v>
      </c>
      <c r="M40" s="140" t="s">
        <v>66</v>
      </c>
      <c r="N40" s="185" t="str">
        <f t="shared" si="4"/>
        <v>EUR3E6E50Y</v>
      </c>
      <c r="O40" s="139" t="str">
        <v>EUR3E6E50Y=ICAP</v>
      </c>
      <c r="P40" s="184">
        <v>3.05</v>
      </c>
      <c r="Q40" s="184">
        <v>4.05</v>
      </c>
      <c r="R40" s="184" t="e">
        <f ca="1">_xll.cfyql_MidSafe(P40,Q40)</f>
        <v>#NAME?</v>
      </c>
      <c r="S40" s="184" t="e">
        <f t="shared" ca="1" si="5"/>
        <v>#NAME?</v>
      </c>
      <c r="T40" s="182"/>
      <c r="U40" s="181">
        <v>3.55</v>
      </c>
      <c r="V40" s="111"/>
      <c r="W40" s="180">
        <v>3.55</v>
      </c>
      <c r="X40" s="179" t="e">
        <f ca="1">_xll.cfyql_SimpleQuoteSetValue(F40,ROUND(W40/10000,6),Trigger)</f>
        <v>#NAME?</v>
      </c>
      <c r="Y40" s="129"/>
    </row>
    <row r="41" spans="1:25" ht="11.25" customHeight="1" x14ac:dyDescent="0.2">
      <c r="A41" s="134"/>
      <c r="B41" s="75" t="str">
        <f t="shared" si="0"/>
        <v>60Y</v>
      </c>
      <c r="C41" s="75" t="str">
        <f t="shared" si="1"/>
        <v>3E</v>
      </c>
      <c r="D41" s="75" t="str">
        <f t="shared" si="2"/>
        <v>6E</v>
      </c>
      <c r="E41" s="74" t="str">
        <f t="shared" si="3"/>
        <v>EUR3E6E60Y_Quote</v>
      </c>
      <c r="F41" s="74" t="e">
        <f ca="1">_xll.cfyql_SimpleQuote(E41,,RateTickValue,Permanent,Trigger,ObjectOverwrite)</f>
        <v>#NAME?</v>
      </c>
      <c r="G41" s="37" t="e">
        <f ca="1">_xll.ohRangeRetrieveError(F41)</f>
        <v>#NAME?</v>
      </c>
      <c r="H41" s="36"/>
      <c r="J41" s="134"/>
      <c r="K41" s="140" t="s">
        <v>22</v>
      </c>
      <c r="L41" s="140" t="s">
        <v>69</v>
      </c>
      <c r="M41" s="140" t="s">
        <v>66</v>
      </c>
      <c r="N41" s="185" t="str">
        <f t="shared" si="4"/>
        <v>EUR3E6E60Y</v>
      </c>
      <c r="O41" s="139" t="str">
        <v>EUR3E6E60Y=ICAP</v>
      </c>
      <c r="P41" s="184">
        <v>2.7</v>
      </c>
      <c r="Q41" s="184">
        <v>3.7</v>
      </c>
      <c r="R41" s="184" t="e">
        <f ca="1">_xll.cfyql_MidSafe(P41,Q41)</f>
        <v>#NAME?</v>
      </c>
      <c r="S41" s="183" t="e">
        <f t="shared" ca="1" si="5"/>
        <v>#NAME?</v>
      </c>
      <c r="T41" s="182"/>
      <c r="U41" s="181">
        <v>3.2</v>
      </c>
      <c r="V41" s="111"/>
      <c r="W41" s="180">
        <v>3.2</v>
      </c>
      <c r="X41" s="179" t="e">
        <f ca="1">_xll.cfyql_SimpleQuoteSetValue(F41,ROUND(W41/10000,6),Trigger)</f>
        <v>#NAME?</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109"/>
      <c r="C1" s="109"/>
      <c r="D1" s="109"/>
      <c r="E1" s="109"/>
      <c r="F1" s="109"/>
      <c r="G1" s="109"/>
      <c r="H1" s="119"/>
      <c r="J1" s="152" t="s">
        <v>114</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t="e">
        <f ca="1">_xll.cfyql_Trigger('General Settings'!Trigger)</f>
        <v>#NAME?</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_xll.cfyql_Trigger(X5:X41)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8" t="e">
        <f ca="1">_xll.RData(O5:O41,P4:Q4,,ReutersRtMode,,P5)</f>
        <v>#NAME?</v>
      </c>
      <c r="P4" s="50" t="s">
        <v>84</v>
      </c>
      <c r="Q4" s="50" t="s">
        <v>83</v>
      </c>
      <c r="R4" s="187" t="s">
        <v>106</v>
      </c>
      <c r="S4" s="187" t="s">
        <v>79</v>
      </c>
      <c r="T4" s="102"/>
      <c r="U4" s="50" t="s">
        <v>78</v>
      </c>
      <c r="V4" s="178"/>
      <c r="W4" s="52" t="s">
        <v>77</v>
      </c>
      <c r="X4" s="50" t="s">
        <v>76</v>
      </c>
      <c r="Y4" s="100"/>
    </row>
    <row r="5" spans="1:28" ht="11.25" customHeight="1" x14ac:dyDescent="0.2">
      <c r="A5" s="134"/>
      <c r="B5" s="86" t="str">
        <f t="shared" ref="B5:B41" si="0">K5</f>
        <v>1Y</v>
      </c>
      <c r="C5" s="86" t="str">
        <f t="shared" ref="C5:C41" si="1">L5</f>
        <v>6E</v>
      </c>
      <c r="D5" s="86" t="str">
        <f t="shared" ref="D5:D41" si="2">M5</f>
        <v>12E</v>
      </c>
      <c r="E5" s="85" t="str">
        <f t="shared" ref="E5:E41" si="3">IF(ISBLANK(C5),"#",Currency&amp;$C5&amp;$D5&amp;$B5&amp;QuoteSuffix)</f>
        <v>EUR6E12E1Y_Quote</v>
      </c>
      <c r="F5" s="85" t="e">
        <f ca="1">_xll.cfyql_SimpleQuote(E5,,RateTickValue,Permanent,Trigger,ObjectOverwrite)</f>
        <v>#NAME?</v>
      </c>
      <c r="G5" s="42" t="e">
        <f ca="1">_xll.ohRangeRetrieveError(F5)</f>
        <v>#NAME?</v>
      </c>
      <c r="H5" s="36"/>
      <c r="J5" s="186"/>
      <c r="K5" s="140" t="s">
        <v>58</v>
      </c>
      <c r="L5" s="140" t="s">
        <v>66</v>
      </c>
      <c r="M5" s="140" t="s">
        <v>20</v>
      </c>
      <c r="N5" s="185" t="str">
        <f t="shared" ref="N5:N41" si="4">Currency&amp;$L5&amp;$M5&amp;$K5</f>
        <v>EUR6E12E1Y</v>
      </c>
      <c r="O5" s="139" t="str">
        <f t="array" ref="O5:O41">Instruments&amp;"="&amp;VLOOKUP(Contributor,ContributorTable,2,FALSE)</f>
        <v>EUR6E12E1Y=ICAP</v>
      </c>
      <c r="P5" s="184">
        <v>11.9</v>
      </c>
      <c r="Q5" s="184">
        <v>0</v>
      </c>
      <c r="R5" s="184" t="e">
        <f ca="1">_xll.cfyql_MidEquivalent(P5,Q5)</f>
        <v>#NAME?</v>
      </c>
      <c r="S5" s="184" t="e">
        <f t="shared" ref="S5:S41" ca="1" si="5">(R5-P5)*2</f>
        <v>#NAME?</v>
      </c>
      <c r="T5" s="182"/>
      <c r="U5" s="181">
        <v>11.9</v>
      </c>
      <c r="V5" s="111"/>
      <c r="W5" s="180">
        <f t="array" ref="W5:W41">QuoteStatic</f>
        <v>11.9</v>
      </c>
      <c r="X5" s="179" t="e">
        <f ca="1">_xll.cfyql_SimpleQuoteSetValue(F5,ROUND(W5/10000,6),Trigger)</f>
        <v>#NAME?</v>
      </c>
      <c r="Y5" s="129"/>
    </row>
    <row r="6" spans="1:28" ht="11.25" customHeight="1" x14ac:dyDescent="0.2">
      <c r="A6" s="134"/>
      <c r="B6" s="86" t="str">
        <f t="shared" si="0"/>
        <v>15M</v>
      </c>
      <c r="C6" s="86" t="str">
        <f t="shared" si="1"/>
        <v>6E</v>
      </c>
      <c r="D6" s="86" t="str">
        <f t="shared" si="2"/>
        <v>12E</v>
      </c>
      <c r="E6" s="85" t="str">
        <f t="shared" si="3"/>
        <v>EUR6E12E15M_Quote</v>
      </c>
      <c r="F6" s="85" t="e">
        <f ca="1">_xll.cfyql_SimpleQuote(E6,,RateTickValue,Permanent,Trigger,ObjectOverwrite)</f>
        <v>#NAME?</v>
      </c>
      <c r="G6" s="42" t="e">
        <f ca="1">_xll.ohRangeRetrieveError(F6)</f>
        <v>#NAME?</v>
      </c>
      <c r="H6" s="36"/>
      <c r="J6" s="186"/>
      <c r="K6" s="140" t="s">
        <v>57</v>
      </c>
      <c r="L6" s="140" t="s">
        <v>66</v>
      </c>
      <c r="M6" s="140" t="s">
        <v>20</v>
      </c>
      <c r="N6" s="185" t="str">
        <f t="shared" si="4"/>
        <v>EUR6E12E15M</v>
      </c>
      <c r="O6" s="139" t="str">
        <v>EUR6E12E15M=ICAP</v>
      </c>
      <c r="P6" s="184" t="s">
        <v>109</v>
      </c>
      <c r="Q6" s="184" t="s">
        <v>109</v>
      </c>
      <c r="R6" s="184" t="e">
        <f ca="1">_xll.cfyql_MidEquivalent(P6,Q6)</f>
        <v>#NAME?</v>
      </c>
      <c r="S6" s="184" t="e">
        <f t="shared" ca="1" si="5"/>
        <v>#NAME?</v>
      </c>
      <c r="T6" s="182"/>
      <c r="U6" s="181" t="e">
        <v>#NUM!</v>
      </c>
      <c r="V6" s="111"/>
      <c r="W6" s="180" t="e">
        <v>#NUM!</v>
      </c>
      <c r="X6" s="179" t="e">
        <f ca="1">_xll.cfyql_SimpleQuoteSetValue(F6,ROUND(W6/10000,6),Trigger)</f>
        <v>#NAME?</v>
      </c>
      <c r="Y6" s="129"/>
    </row>
    <row r="7" spans="1:28" ht="11.25" customHeight="1" x14ac:dyDescent="0.2">
      <c r="A7" s="134"/>
      <c r="B7" s="86" t="str">
        <f t="shared" si="0"/>
        <v>18M</v>
      </c>
      <c r="C7" s="86" t="str">
        <f t="shared" si="1"/>
        <v>6E</v>
      </c>
      <c r="D7" s="86" t="str">
        <f t="shared" si="2"/>
        <v>12E</v>
      </c>
      <c r="E7" s="85" t="str">
        <f t="shared" si="3"/>
        <v>EUR6E12E18M_Quote</v>
      </c>
      <c r="F7" s="85" t="e">
        <f ca="1">_xll.cfyql_SimpleQuote(E7,,RateTickValue,Permanent,Trigger,ObjectOverwrite)</f>
        <v>#NAME?</v>
      </c>
      <c r="G7" s="42" t="e">
        <f ca="1">_xll.ohRangeRetrieveError(F7)</f>
        <v>#NAME?</v>
      </c>
      <c r="H7" s="36"/>
      <c r="J7" s="186"/>
      <c r="K7" s="140" t="s">
        <v>56</v>
      </c>
      <c r="L7" s="140" t="s">
        <v>66</v>
      </c>
      <c r="M7" s="140" t="s">
        <v>20</v>
      </c>
      <c r="N7" s="185" t="str">
        <f t="shared" si="4"/>
        <v>EUR6E12E18M</v>
      </c>
      <c r="O7" s="139" t="str">
        <v>EUR6E12E18M=ICAP</v>
      </c>
      <c r="P7" s="184" t="s">
        <v>109</v>
      </c>
      <c r="Q7" s="184" t="s">
        <v>109</v>
      </c>
      <c r="R7" s="184" t="e">
        <f ca="1">_xll.cfyql_MidEquivalent(P7,Q7)</f>
        <v>#NAME?</v>
      </c>
      <c r="S7" s="184" t="e">
        <f t="shared" ca="1" si="5"/>
        <v>#NAME?</v>
      </c>
      <c r="T7" s="182"/>
      <c r="U7" s="181" t="e">
        <v>#NUM!</v>
      </c>
      <c r="V7" s="111"/>
      <c r="W7" s="180" t="e">
        <v>#NUM!</v>
      </c>
      <c r="X7" s="179" t="e">
        <f ca="1">_xll.cfyql_SimpleQuoteSetValue(F7,ROUND(W7/10000,6),Trigger)</f>
        <v>#NAME?</v>
      </c>
      <c r="Y7" s="129"/>
    </row>
    <row r="8" spans="1:28" ht="11.25" customHeight="1" x14ac:dyDescent="0.2">
      <c r="A8" s="134"/>
      <c r="B8" s="86" t="str">
        <f t="shared" si="0"/>
        <v>21M</v>
      </c>
      <c r="C8" s="86" t="str">
        <f t="shared" si="1"/>
        <v>6E</v>
      </c>
      <c r="D8" s="86" t="str">
        <f t="shared" si="2"/>
        <v>12E</v>
      </c>
      <c r="E8" s="85" t="str">
        <f t="shared" si="3"/>
        <v>EUR6E12E21M_Quote</v>
      </c>
      <c r="F8" s="85" t="e">
        <f ca="1">_xll.cfyql_SimpleQuote(E8,,RateTickValue,Permanent,Trigger,ObjectOverwrite)</f>
        <v>#NAME?</v>
      </c>
      <c r="G8" s="42" t="e">
        <f ca="1">_xll.ohRangeRetrieveError(F8)</f>
        <v>#NAME?</v>
      </c>
      <c r="H8" s="36"/>
      <c r="J8" s="186"/>
      <c r="K8" s="140" t="s">
        <v>55</v>
      </c>
      <c r="L8" s="140" t="s">
        <v>66</v>
      </c>
      <c r="M8" s="140" t="s">
        <v>20</v>
      </c>
      <c r="N8" s="185" t="str">
        <f t="shared" si="4"/>
        <v>EUR6E12E21M</v>
      </c>
      <c r="O8" s="139" t="str">
        <v>EUR6E12E21M=ICAP</v>
      </c>
      <c r="P8" s="184" t="s">
        <v>109</v>
      </c>
      <c r="Q8" s="184" t="s">
        <v>109</v>
      </c>
      <c r="R8" s="184" t="e">
        <f ca="1">_xll.cfyql_MidEquivalent(P8,Q8)</f>
        <v>#NAME?</v>
      </c>
      <c r="S8" s="184" t="e">
        <f t="shared" ca="1" si="5"/>
        <v>#NAME?</v>
      </c>
      <c r="T8" s="182"/>
      <c r="U8" s="181" t="e">
        <v>#NUM!</v>
      </c>
      <c r="V8" s="111"/>
      <c r="W8" s="180" t="e">
        <v>#NUM!</v>
      </c>
      <c r="X8" s="179" t="e">
        <f ca="1">_xll.cfyql_SimpleQuoteSetValue(F8,ROUND(W8/10000,6),Trigger)</f>
        <v>#NAME?</v>
      </c>
      <c r="Y8" s="129"/>
    </row>
    <row r="9" spans="1:28" ht="11.25" customHeight="1" x14ac:dyDescent="0.2">
      <c r="A9" s="134"/>
      <c r="B9" s="86" t="str">
        <f t="shared" si="0"/>
        <v>2Y</v>
      </c>
      <c r="C9" s="86" t="str">
        <f t="shared" si="1"/>
        <v>6E</v>
      </c>
      <c r="D9" s="86" t="str">
        <f t="shared" si="2"/>
        <v>12E</v>
      </c>
      <c r="E9" s="85" t="str">
        <f t="shared" si="3"/>
        <v>EUR6E12E2Y_Quote</v>
      </c>
      <c r="F9" s="85" t="e">
        <f ca="1">_xll.cfyql_SimpleQuote(E9,,RateTickValue,Permanent,Trigger,ObjectOverwrite)</f>
        <v>#NAME?</v>
      </c>
      <c r="G9" s="42" t="e">
        <f ca="1">_xll.ohRangeRetrieveError(F9)</f>
        <v>#NAME?</v>
      </c>
      <c r="H9" s="36"/>
      <c r="J9" s="134"/>
      <c r="K9" s="140" t="s">
        <v>54</v>
      </c>
      <c r="L9" s="140" t="s">
        <v>66</v>
      </c>
      <c r="M9" s="140" t="s">
        <v>20</v>
      </c>
      <c r="N9" s="185" t="str">
        <f t="shared" si="4"/>
        <v>EUR6E12E2Y</v>
      </c>
      <c r="O9" s="139" t="str">
        <v>EUR6E12E2Y=ICAP</v>
      </c>
      <c r="P9" s="184">
        <v>12.7</v>
      </c>
      <c r="Q9" s="184">
        <v>0</v>
      </c>
      <c r="R9" s="184" t="e">
        <f ca="1">_xll.cfyql_MidEquivalent(P9,Q9)</f>
        <v>#NAME?</v>
      </c>
      <c r="S9" s="184" t="e">
        <f t="shared" ca="1" si="5"/>
        <v>#NAME?</v>
      </c>
      <c r="T9" s="182"/>
      <c r="U9" s="181">
        <v>12.7</v>
      </c>
      <c r="V9" s="111"/>
      <c r="W9" s="180">
        <v>12.7</v>
      </c>
      <c r="X9" s="179" t="e">
        <f ca="1">_xll.cfyql_SimpleQuoteSetValue(F9,ROUND(W9/10000,6),Trigger)</f>
        <v>#NAME?</v>
      </c>
      <c r="Y9" s="129"/>
    </row>
    <row r="10" spans="1:28" ht="11.25" customHeight="1" x14ac:dyDescent="0.2">
      <c r="A10" s="134"/>
      <c r="B10" s="86" t="str">
        <f t="shared" si="0"/>
        <v>3Y</v>
      </c>
      <c r="C10" s="86" t="str">
        <f t="shared" si="1"/>
        <v>6E</v>
      </c>
      <c r="D10" s="86" t="str">
        <f t="shared" si="2"/>
        <v>12E</v>
      </c>
      <c r="E10" s="85" t="str">
        <f t="shared" si="3"/>
        <v>EUR6E12E3Y_Quote</v>
      </c>
      <c r="F10" s="85" t="e">
        <f ca="1">_xll.cfyql_SimpleQuote(E10,,RateTickValue,Permanent,Trigger,ObjectOverwrite)</f>
        <v>#NAME?</v>
      </c>
      <c r="G10" s="42" t="e">
        <f ca="1">_xll.ohRangeRetrieveError(F10)</f>
        <v>#NAME?</v>
      </c>
      <c r="H10" s="36"/>
      <c r="J10" s="134"/>
      <c r="K10" s="140" t="s">
        <v>53</v>
      </c>
      <c r="L10" s="140" t="s">
        <v>66</v>
      </c>
      <c r="M10" s="140" t="s">
        <v>20</v>
      </c>
      <c r="N10" s="185" t="str">
        <f t="shared" si="4"/>
        <v>EUR6E12E3Y</v>
      </c>
      <c r="O10" s="139" t="str">
        <v>EUR6E12E3Y=ICAP</v>
      </c>
      <c r="P10" s="184">
        <v>13.5</v>
      </c>
      <c r="Q10" s="184">
        <v>0</v>
      </c>
      <c r="R10" s="184" t="e">
        <f ca="1">_xll.cfyql_MidEquivalent(P10,Q10)</f>
        <v>#NAME?</v>
      </c>
      <c r="S10" s="184" t="e">
        <f t="shared" ca="1" si="5"/>
        <v>#NAME?</v>
      </c>
      <c r="T10" s="182"/>
      <c r="U10" s="181">
        <v>13.5</v>
      </c>
      <c r="V10" s="111"/>
      <c r="W10" s="180">
        <v>13.5</v>
      </c>
      <c r="X10" s="179" t="e">
        <f ca="1">_xll.cfyql_SimpleQuoteSetValue(F10,ROUND(W10/10000,6),Trigger)</f>
        <v>#NAME?</v>
      </c>
      <c r="Y10" s="129"/>
    </row>
    <row r="11" spans="1:28" ht="11.25" customHeight="1" x14ac:dyDescent="0.2">
      <c r="A11" s="134"/>
      <c r="B11" s="86" t="str">
        <f t="shared" si="0"/>
        <v>4Y</v>
      </c>
      <c r="C11" s="86" t="str">
        <f t="shared" si="1"/>
        <v>6E</v>
      </c>
      <c r="D11" s="86" t="str">
        <f t="shared" si="2"/>
        <v>12E</v>
      </c>
      <c r="E11" s="85" t="str">
        <f t="shared" si="3"/>
        <v>EUR6E12E4Y_Quote</v>
      </c>
      <c r="F11" s="85" t="e">
        <f ca="1">_xll.cfyql_SimpleQuote(E11,,RateTickValue,Permanent,Trigger,ObjectOverwrite)</f>
        <v>#NAME?</v>
      </c>
      <c r="G11" s="42" t="e">
        <f ca="1">_xll.ohRangeRetrieveError(F11)</f>
        <v>#NAME?</v>
      </c>
      <c r="H11" s="36"/>
      <c r="J11" s="134"/>
      <c r="K11" s="140" t="s">
        <v>52</v>
      </c>
      <c r="L11" s="140" t="s">
        <v>66</v>
      </c>
      <c r="M11" s="140" t="s">
        <v>20</v>
      </c>
      <c r="N11" s="185" t="str">
        <f t="shared" si="4"/>
        <v>EUR6E12E4Y</v>
      </c>
      <c r="O11" s="139" t="str">
        <v>EUR6E12E4Y=ICAP</v>
      </c>
      <c r="P11" s="184">
        <v>14</v>
      </c>
      <c r="Q11" s="184">
        <v>0</v>
      </c>
      <c r="R11" s="184" t="e">
        <f ca="1">_xll.cfyql_MidEquivalent(P11,Q11)</f>
        <v>#NAME?</v>
      </c>
      <c r="S11" s="184" t="e">
        <f t="shared" ca="1" si="5"/>
        <v>#NAME?</v>
      </c>
      <c r="T11" s="182"/>
      <c r="U11" s="181">
        <v>14</v>
      </c>
      <c r="V11" s="111"/>
      <c r="W11" s="180">
        <v>14</v>
      </c>
      <c r="X11" s="179" t="e">
        <f ca="1">_xll.cfyql_SimpleQuoteSetValue(F11,ROUND(W11/10000,6),Trigger)</f>
        <v>#NAME?</v>
      </c>
      <c r="Y11" s="129"/>
    </row>
    <row r="12" spans="1:28" ht="11.25" customHeight="1" x14ac:dyDescent="0.2">
      <c r="A12" s="134"/>
      <c r="B12" s="86" t="str">
        <f t="shared" si="0"/>
        <v>5Y</v>
      </c>
      <c r="C12" s="86" t="str">
        <f t="shared" si="1"/>
        <v>6E</v>
      </c>
      <c r="D12" s="86" t="str">
        <f t="shared" si="2"/>
        <v>12E</v>
      </c>
      <c r="E12" s="85" t="str">
        <f t="shared" si="3"/>
        <v>EUR6E12E5Y_Quote</v>
      </c>
      <c r="F12" s="85" t="e">
        <f ca="1">_xll.cfyql_SimpleQuote(E12,,RateTickValue,Permanent,Trigger,ObjectOverwrite)</f>
        <v>#NAME?</v>
      </c>
      <c r="G12" s="42" t="e">
        <f ca="1">_xll.ohRangeRetrieveError(F12)</f>
        <v>#NAME?</v>
      </c>
      <c r="H12" s="36"/>
      <c r="J12" s="134"/>
      <c r="K12" s="140" t="s">
        <v>51</v>
      </c>
      <c r="L12" s="140" t="s">
        <v>66</v>
      </c>
      <c r="M12" s="140" t="s">
        <v>20</v>
      </c>
      <c r="N12" s="185" t="str">
        <f t="shared" si="4"/>
        <v>EUR6E12E5Y</v>
      </c>
      <c r="O12" s="139" t="str">
        <v>EUR6E12E5Y=ICAP</v>
      </c>
      <c r="P12" s="184">
        <v>14.2</v>
      </c>
      <c r="Q12" s="184">
        <v>0</v>
      </c>
      <c r="R12" s="184" t="e">
        <f ca="1">_xll.cfyql_MidEquivalent(P12,Q12)</f>
        <v>#NAME?</v>
      </c>
      <c r="S12" s="184" t="e">
        <f t="shared" ca="1" si="5"/>
        <v>#NAME?</v>
      </c>
      <c r="T12" s="182"/>
      <c r="U12" s="181">
        <v>14.2</v>
      </c>
      <c r="V12" s="111"/>
      <c r="W12" s="180">
        <v>14.2</v>
      </c>
      <c r="X12" s="179" t="e">
        <f ca="1">_xll.cfyql_SimpleQuoteSetValue(F12,ROUND(W12/10000,6),Trigger)</f>
        <v>#NAME?</v>
      </c>
      <c r="Y12" s="129"/>
    </row>
    <row r="13" spans="1:28" ht="11.25" customHeight="1" x14ac:dyDescent="0.2">
      <c r="A13" s="134"/>
      <c r="B13" s="86" t="str">
        <f t="shared" si="0"/>
        <v>6Y</v>
      </c>
      <c r="C13" s="86" t="str">
        <f t="shared" si="1"/>
        <v>6E</v>
      </c>
      <c r="D13" s="86" t="str">
        <f t="shared" si="2"/>
        <v>12E</v>
      </c>
      <c r="E13" s="85" t="str">
        <f t="shared" si="3"/>
        <v>EUR6E12E6Y_Quote</v>
      </c>
      <c r="F13" s="85" t="e">
        <f ca="1">_xll.cfyql_SimpleQuote(E13,,RateTickValue,Permanent,Trigger,ObjectOverwrite)</f>
        <v>#NAME?</v>
      </c>
      <c r="G13" s="42" t="e">
        <f ca="1">_xll.ohRangeRetrieveError(F13)</f>
        <v>#NAME?</v>
      </c>
      <c r="H13" s="36"/>
      <c r="J13" s="134"/>
      <c r="K13" s="140" t="s">
        <v>50</v>
      </c>
      <c r="L13" s="140" t="s">
        <v>66</v>
      </c>
      <c r="M13" s="140" t="s">
        <v>20</v>
      </c>
      <c r="N13" s="185" t="str">
        <f t="shared" si="4"/>
        <v>EUR6E12E6Y</v>
      </c>
      <c r="O13" s="139" t="str">
        <v>EUR6E12E6Y=ICAP</v>
      </c>
      <c r="P13" s="184">
        <v>14.2</v>
      </c>
      <c r="Q13" s="184">
        <v>0</v>
      </c>
      <c r="R13" s="184" t="e">
        <f ca="1">_xll.cfyql_MidEquivalent(P13,Q13)</f>
        <v>#NAME?</v>
      </c>
      <c r="S13" s="184" t="e">
        <f t="shared" ca="1" si="5"/>
        <v>#NAME?</v>
      </c>
      <c r="T13" s="182"/>
      <c r="U13" s="181">
        <v>14.2</v>
      </c>
      <c r="V13" s="111"/>
      <c r="W13" s="180">
        <v>14.2</v>
      </c>
      <c r="X13" s="179" t="e">
        <f ca="1">_xll.cfyql_SimpleQuoteSetValue(F13,ROUND(W13/10000,6),Trigger)</f>
        <v>#NAME?</v>
      </c>
      <c r="Y13" s="129"/>
    </row>
    <row r="14" spans="1:28" ht="11.25" customHeight="1" x14ac:dyDescent="0.2">
      <c r="A14" s="134"/>
      <c r="B14" s="86" t="str">
        <f t="shared" si="0"/>
        <v>7Y</v>
      </c>
      <c r="C14" s="86" t="str">
        <f t="shared" si="1"/>
        <v>6E</v>
      </c>
      <c r="D14" s="86" t="str">
        <f t="shared" si="2"/>
        <v>12E</v>
      </c>
      <c r="E14" s="85" t="str">
        <f t="shared" si="3"/>
        <v>EUR6E12E7Y_Quote</v>
      </c>
      <c r="F14" s="85" t="e">
        <f ca="1">_xll.cfyql_SimpleQuote(E14,,RateTickValue,Permanent,Trigger,ObjectOverwrite)</f>
        <v>#NAME?</v>
      </c>
      <c r="G14" s="42" t="e">
        <f ca="1">_xll.ohRangeRetrieveError(F14)</f>
        <v>#NAME?</v>
      </c>
      <c r="H14" s="36"/>
      <c r="J14" s="134"/>
      <c r="K14" s="140" t="s">
        <v>49</v>
      </c>
      <c r="L14" s="140" t="s">
        <v>66</v>
      </c>
      <c r="M14" s="140" t="s">
        <v>20</v>
      </c>
      <c r="N14" s="185" t="str">
        <f t="shared" si="4"/>
        <v>EUR6E12E7Y</v>
      </c>
      <c r="O14" s="139" t="str">
        <v>EUR6E12E7Y=ICAP</v>
      </c>
      <c r="P14" s="184">
        <v>14</v>
      </c>
      <c r="Q14" s="184">
        <v>0</v>
      </c>
      <c r="R14" s="184" t="e">
        <f ca="1">_xll.cfyql_MidEquivalent(P14,Q14)</f>
        <v>#NAME?</v>
      </c>
      <c r="S14" s="184" t="e">
        <f t="shared" ca="1" si="5"/>
        <v>#NAME?</v>
      </c>
      <c r="T14" s="182"/>
      <c r="U14" s="181">
        <v>14</v>
      </c>
      <c r="V14" s="111"/>
      <c r="W14" s="180">
        <v>14</v>
      </c>
      <c r="X14" s="179" t="e">
        <f ca="1">_xll.cfyql_SimpleQuoteSetValue(F14,ROUND(W14/10000,6),Trigger)</f>
        <v>#NAME?</v>
      </c>
      <c r="Y14" s="129"/>
    </row>
    <row r="15" spans="1:28" ht="11.25" customHeight="1" x14ac:dyDescent="0.2">
      <c r="A15" s="134"/>
      <c r="B15" s="86" t="str">
        <f t="shared" si="0"/>
        <v>8Y</v>
      </c>
      <c r="C15" s="86" t="str">
        <f t="shared" si="1"/>
        <v>6E</v>
      </c>
      <c r="D15" s="86" t="str">
        <f t="shared" si="2"/>
        <v>12E</v>
      </c>
      <c r="E15" s="85" t="str">
        <f t="shared" si="3"/>
        <v>EUR6E12E8Y_Quote</v>
      </c>
      <c r="F15" s="85" t="e">
        <f ca="1">_xll.cfyql_SimpleQuote(E15,,RateTickValue,Permanent,Trigger,ObjectOverwrite)</f>
        <v>#NAME?</v>
      </c>
      <c r="G15" s="42" t="e">
        <f ca="1">_xll.ohRangeRetrieveError(F15)</f>
        <v>#NAME?</v>
      </c>
      <c r="H15" s="36"/>
      <c r="J15" s="134"/>
      <c r="K15" s="140" t="s">
        <v>48</v>
      </c>
      <c r="L15" s="140" t="s">
        <v>66</v>
      </c>
      <c r="M15" s="140" t="s">
        <v>20</v>
      </c>
      <c r="N15" s="185" t="str">
        <f t="shared" si="4"/>
        <v>EUR6E12E8Y</v>
      </c>
      <c r="O15" s="139" t="str">
        <v>EUR6E12E8Y=ICAP</v>
      </c>
      <c r="P15" s="184">
        <v>13.8</v>
      </c>
      <c r="Q15" s="184">
        <v>0</v>
      </c>
      <c r="R15" s="184" t="e">
        <f ca="1">_xll.cfyql_MidEquivalent(P15,Q15)</f>
        <v>#NAME?</v>
      </c>
      <c r="S15" s="184" t="e">
        <f t="shared" ca="1" si="5"/>
        <v>#NAME?</v>
      </c>
      <c r="T15" s="182"/>
      <c r="U15" s="181">
        <v>13.8</v>
      </c>
      <c r="V15" s="111"/>
      <c r="W15" s="180">
        <v>13.8</v>
      </c>
      <c r="X15" s="179" t="e">
        <f ca="1">_xll.cfyql_SimpleQuoteSetValue(F15,ROUND(W15/10000,6),Trigger)</f>
        <v>#NAME?</v>
      </c>
      <c r="Y15" s="129"/>
    </row>
    <row r="16" spans="1:28" ht="11.25" customHeight="1" x14ac:dyDescent="0.2">
      <c r="A16" s="134"/>
      <c r="B16" s="86" t="str">
        <f t="shared" si="0"/>
        <v>9Y</v>
      </c>
      <c r="C16" s="86" t="str">
        <f t="shared" si="1"/>
        <v>6E</v>
      </c>
      <c r="D16" s="86" t="str">
        <f t="shared" si="2"/>
        <v>12E</v>
      </c>
      <c r="E16" s="85" t="str">
        <f t="shared" si="3"/>
        <v>EUR6E12E9Y_Quote</v>
      </c>
      <c r="F16" s="85" t="e">
        <f ca="1">_xll.cfyql_SimpleQuote(E16,,RateTickValue,Permanent,Trigger,ObjectOverwrite)</f>
        <v>#NAME?</v>
      </c>
      <c r="G16" s="42" t="e">
        <f ca="1">_xll.ohRangeRetrieveError(F16)</f>
        <v>#NAME?</v>
      </c>
      <c r="H16" s="36"/>
      <c r="J16" s="134"/>
      <c r="K16" s="140" t="s">
        <v>47</v>
      </c>
      <c r="L16" s="140" t="s">
        <v>66</v>
      </c>
      <c r="M16" s="140" t="s">
        <v>20</v>
      </c>
      <c r="N16" s="185" t="str">
        <f t="shared" si="4"/>
        <v>EUR6E12E9Y</v>
      </c>
      <c r="O16" s="139" t="str">
        <v>EUR6E12E9Y=ICAP</v>
      </c>
      <c r="P16" s="184">
        <v>13.5</v>
      </c>
      <c r="Q16" s="184">
        <v>0</v>
      </c>
      <c r="R16" s="184" t="e">
        <f ca="1">_xll.cfyql_MidEquivalent(P16,Q16)</f>
        <v>#NAME?</v>
      </c>
      <c r="S16" s="184" t="e">
        <f t="shared" ca="1" si="5"/>
        <v>#NAME?</v>
      </c>
      <c r="T16" s="182"/>
      <c r="U16" s="181">
        <v>13.5</v>
      </c>
      <c r="V16" s="111"/>
      <c r="W16" s="180">
        <v>13.5</v>
      </c>
      <c r="X16" s="179" t="e">
        <f ca="1">_xll.cfyql_SimpleQuoteSetValue(F16,ROUND(W16/10000,6),Trigger)</f>
        <v>#NAME?</v>
      </c>
      <c r="Y16" s="129"/>
    </row>
    <row r="17" spans="1:25" ht="11.25" customHeight="1" x14ac:dyDescent="0.2">
      <c r="A17" s="134"/>
      <c r="B17" s="86" t="str">
        <f t="shared" si="0"/>
        <v>10Y</v>
      </c>
      <c r="C17" s="86" t="str">
        <f t="shared" si="1"/>
        <v>6E</v>
      </c>
      <c r="D17" s="86" t="str">
        <f t="shared" si="2"/>
        <v>12E</v>
      </c>
      <c r="E17" s="85" t="str">
        <f t="shared" si="3"/>
        <v>EUR6E12E10Y_Quote</v>
      </c>
      <c r="F17" s="85" t="e">
        <f ca="1">_xll.cfyql_SimpleQuote(E17,,RateTickValue,Permanent,Trigger,ObjectOverwrite)</f>
        <v>#NAME?</v>
      </c>
      <c r="G17" s="42" t="e">
        <f ca="1">_xll.ohRangeRetrieveError(F17)</f>
        <v>#NAME?</v>
      </c>
      <c r="H17" s="36"/>
      <c r="J17" s="134"/>
      <c r="K17" s="140" t="s">
        <v>46</v>
      </c>
      <c r="L17" s="140" t="s">
        <v>66</v>
      </c>
      <c r="M17" s="140" t="s">
        <v>20</v>
      </c>
      <c r="N17" s="185" t="str">
        <f t="shared" si="4"/>
        <v>EUR6E12E10Y</v>
      </c>
      <c r="O17" s="139" t="str">
        <v>EUR6E12E10Y=ICAP</v>
      </c>
      <c r="P17" s="184">
        <v>13.2</v>
      </c>
      <c r="Q17" s="184">
        <v>0</v>
      </c>
      <c r="R17" s="184" t="e">
        <f ca="1">_xll.cfyql_MidEquivalent(P17,Q17)</f>
        <v>#NAME?</v>
      </c>
      <c r="S17" s="184" t="e">
        <f t="shared" ca="1" si="5"/>
        <v>#NAME?</v>
      </c>
      <c r="T17" s="182"/>
      <c r="U17" s="181">
        <v>13.2</v>
      </c>
      <c r="V17" s="111"/>
      <c r="W17" s="180">
        <v>13.2</v>
      </c>
      <c r="X17" s="179" t="e">
        <f ca="1">_xll.cfyql_SimpleQuoteSetValue(F17,ROUND(W17/10000,6),Trigger)</f>
        <v>#NAME?</v>
      </c>
      <c r="Y17" s="129"/>
    </row>
    <row r="18" spans="1:25" ht="11.25" customHeight="1" x14ac:dyDescent="0.2">
      <c r="A18" s="134"/>
      <c r="B18" s="86" t="str">
        <f t="shared" si="0"/>
        <v>11Y</v>
      </c>
      <c r="C18" s="86" t="str">
        <f t="shared" si="1"/>
        <v>6E</v>
      </c>
      <c r="D18" s="86" t="str">
        <f t="shared" si="2"/>
        <v>12E</v>
      </c>
      <c r="E18" s="85" t="str">
        <f t="shared" si="3"/>
        <v>EUR6E12E11Y_Quote</v>
      </c>
      <c r="F18" s="85" t="e">
        <f ca="1">_xll.cfyql_SimpleQuote(E18,,RateTickValue,Permanent,Trigger,ObjectOverwrite)</f>
        <v>#NAME?</v>
      </c>
      <c r="G18" s="42" t="e">
        <f ca="1">_xll.ohRangeRetrieveError(F18)</f>
        <v>#NAME?</v>
      </c>
      <c r="H18" s="36"/>
      <c r="J18" s="134"/>
      <c r="K18" s="140" t="s">
        <v>45</v>
      </c>
      <c r="L18" s="140" t="s">
        <v>66</v>
      </c>
      <c r="M18" s="140" t="s">
        <v>20</v>
      </c>
      <c r="N18" s="185" t="str">
        <f t="shared" si="4"/>
        <v>EUR6E12E11Y</v>
      </c>
      <c r="O18" s="139" t="str">
        <v>EUR6E12E11Y=ICAP</v>
      </c>
      <c r="P18" s="184">
        <v>12.7</v>
      </c>
      <c r="Q18" s="184">
        <v>0</v>
      </c>
      <c r="R18" s="184" t="e">
        <f ca="1">_xll.cfyql_MidEquivalent(P18,Q18)</f>
        <v>#NAME?</v>
      </c>
      <c r="S18" s="184" t="e">
        <f t="shared" ca="1" si="5"/>
        <v>#NAME?</v>
      </c>
      <c r="T18" s="182"/>
      <c r="U18" s="181">
        <v>12.7</v>
      </c>
      <c r="V18" s="111"/>
      <c r="W18" s="180">
        <v>12.7</v>
      </c>
      <c r="X18" s="179" t="e">
        <f ca="1">_xll.cfyql_SimpleQuoteSetValue(F18,ROUND(W18/10000,6),Trigger)</f>
        <v>#NAME?</v>
      </c>
      <c r="Y18" s="129"/>
    </row>
    <row r="19" spans="1:25" ht="11.25" customHeight="1" x14ac:dyDescent="0.2">
      <c r="A19" s="134"/>
      <c r="B19" s="86" t="str">
        <f t="shared" si="0"/>
        <v>12Y</v>
      </c>
      <c r="C19" s="86" t="str">
        <f t="shared" si="1"/>
        <v>6E</v>
      </c>
      <c r="D19" s="86" t="str">
        <f t="shared" si="2"/>
        <v>12E</v>
      </c>
      <c r="E19" s="85" t="str">
        <f t="shared" si="3"/>
        <v>EUR6E12E12Y_Quote</v>
      </c>
      <c r="F19" s="85" t="e">
        <f ca="1">_xll.cfyql_SimpleQuote(E19,,RateTickValue,Permanent,Trigger,ObjectOverwrite)</f>
        <v>#NAME?</v>
      </c>
      <c r="G19" s="42" t="e">
        <f ca="1">_xll.ohRangeRetrieveError(F19)</f>
        <v>#NAME?</v>
      </c>
      <c r="H19" s="36"/>
      <c r="J19" s="134"/>
      <c r="K19" s="140" t="s">
        <v>44</v>
      </c>
      <c r="L19" s="140" t="s">
        <v>66</v>
      </c>
      <c r="M19" s="140" t="s">
        <v>20</v>
      </c>
      <c r="N19" s="185" t="str">
        <f t="shared" si="4"/>
        <v>EUR6E12E12Y</v>
      </c>
      <c r="O19" s="139" t="str">
        <v>EUR6E12E12Y=ICAP</v>
      </c>
      <c r="P19" s="184">
        <v>12.2</v>
      </c>
      <c r="Q19" s="184">
        <v>0</v>
      </c>
      <c r="R19" s="184" t="e">
        <f ca="1">_xll.cfyql_MidEquivalent(P19,Q19)</f>
        <v>#NAME?</v>
      </c>
      <c r="S19" s="184" t="e">
        <f t="shared" ca="1" si="5"/>
        <v>#NAME?</v>
      </c>
      <c r="T19" s="182"/>
      <c r="U19" s="181">
        <v>12.2</v>
      </c>
      <c r="V19" s="111"/>
      <c r="W19" s="180">
        <v>12.2</v>
      </c>
      <c r="X19" s="179" t="e">
        <f ca="1">_xll.cfyql_SimpleQuoteSetValue(F19,ROUND(W19/10000,6),Trigger)</f>
        <v>#NAME?</v>
      </c>
      <c r="Y19" s="129"/>
    </row>
    <row r="20" spans="1:25" ht="11.25" customHeight="1" x14ac:dyDescent="0.2">
      <c r="A20" s="134"/>
      <c r="B20" s="86" t="str">
        <f t="shared" si="0"/>
        <v>13Y</v>
      </c>
      <c r="C20" s="86" t="str">
        <f t="shared" si="1"/>
        <v>6E</v>
      </c>
      <c r="D20" s="86" t="str">
        <f t="shared" si="2"/>
        <v>12E</v>
      </c>
      <c r="E20" s="85" t="str">
        <f t="shared" si="3"/>
        <v>EUR6E12E13Y_Quote</v>
      </c>
      <c r="F20" s="85" t="e">
        <f ca="1">_xll.cfyql_SimpleQuote(E20,,RateTickValue,Permanent,Trigger,ObjectOverwrite)</f>
        <v>#NAME?</v>
      </c>
      <c r="G20" s="42" t="e">
        <f ca="1">_xll.ohRangeRetrieveError(F20)</f>
        <v>#NAME?</v>
      </c>
      <c r="H20" s="36"/>
      <c r="J20" s="134"/>
      <c r="K20" s="140" t="s">
        <v>43</v>
      </c>
      <c r="L20" s="140" t="s">
        <v>66</v>
      </c>
      <c r="M20" s="140" t="s">
        <v>20</v>
      </c>
      <c r="N20" s="185" t="str">
        <f t="shared" si="4"/>
        <v>EUR6E12E13Y</v>
      </c>
      <c r="O20" s="139" t="str">
        <v>EUR6E12E13Y=ICAP</v>
      </c>
      <c r="P20" s="184" t="s">
        <v>109</v>
      </c>
      <c r="Q20" s="184" t="s">
        <v>109</v>
      </c>
      <c r="R20" s="184" t="e">
        <f ca="1">_xll.cfyql_MidEquivalent(P20,Q20)</f>
        <v>#NAME?</v>
      </c>
      <c r="S20" s="184" t="e">
        <f t="shared" ca="1" si="5"/>
        <v>#NAME?</v>
      </c>
      <c r="T20" s="182"/>
      <c r="U20" s="181" t="e">
        <v>#NUM!</v>
      </c>
      <c r="V20" s="111"/>
      <c r="W20" s="180" t="e">
        <v>#NUM!</v>
      </c>
      <c r="X20" s="179" t="e">
        <f ca="1">_xll.cfyql_SimpleQuoteSetValue(F20,ROUND(W20/10000,6),Trigger)</f>
        <v>#NAME?</v>
      </c>
      <c r="Y20" s="129"/>
    </row>
    <row r="21" spans="1:25" ht="11.25" customHeight="1" x14ac:dyDescent="0.2">
      <c r="A21" s="134"/>
      <c r="B21" s="86" t="str">
        <f t="shared" si="0"/>
        <v>14Y</v>
      </c>
      <c r="C21" s="86" t="str">
        <f t="shared" si="1"/>
        <v>6E</v>
      </c>
      <c r="D21" s="86" t="str">
        <f t="shared" si="2"/>
        <v>12E</v>
      </c>
      <c r="E21" s="85" t="str">
        <f t="shared" si="3"/>
        <v>EUR6E12E14Y_Quote</v>
      </c>
      <c r="F21" s="85" t="e">
        <f ca="1">_xll.cfyql_SimpleQuote(E21,,RateTickValue,Permanent,Trigger,ObjectOverwrite)</f>
        <v>#NAME?</v>
      </c>
      <c r="G21" s="42" t="e">
        <f ca="1">_xll.ohRangeRetrieveError(F21)</f>
        <v>#NAME?</v>
      </c>
      <c r="H21" s="36"/>
      <c r="J21" s="134"/>
      <c r="K21" s="140" t="s">
        <v>42</v>
      </c>
      <c r="L21" s="140" t="s">
        <v>66</v>
      </c>
      <c r="M21" s="140" t="s">
        <v>20</v>
      </c>
      <c r="N21" s="185" t="str">
        <f t="shared" si="4"/>
        <v>EUR6E12E14Y</v>
      </c>
      <c r="O21" s="139" t="str">
        <v>EUR6E12E14Y=ICAP</v>
      </c>
      <c r="P21" s="184" t="s">
        <v>109</v>
      </c>
      <c r="Q21" s="184" t="s">
        <v>109</v>
      </c>
      <c r="R21" s="184" t="e">
        <f ca="1">_xll.cfyql_MidEquivalent(P21,Q21)</f>
        <v>#NAME?</v>
      </c>
      <c r="S21" s="184" t="e">
        <f t="shared" ca="1" si="5"/>
        <v>#NAME?</v>
      </c>
      <c r="T21" s="182"/>
      <c r="U21" s="181" t="e">
        <v>#NUM!</v>
      </c>
      <c r="V21" s="111"/>
      <c r="W21" s="180" t="e">
        <v>#NUM!</v>
      </c>
      <c r="X21" s="179" t="e">
        <f ca="1">_xll.cfyql_SimpleQuoteSetValue(F21,ROUND(W21/10000,6),Trigger)</f>
        <v>#NAME?</v>
      </c>
      <c r="Y21" s="129"/>
    </row>
    <row r="22" spans="1:25" ht="11.25" customHeight="1" x14ac:dyDescent="0.2">
      <c r="A22" s="134"/>
      <c r="B22" s="86" t="str">
        <f t="shared" si="0"/>
        <v>15Y</v>
      </c>
      <c r="C22" s="86" t="str">
        <f t="shared" si="1"/>
        <v>6E</v>
      </c>
      <c r="D22" s="86" t="str">
        <f t="shared" si="2"/>
        <v>12E</v>
      </c>
      <c r="E22" s="85" t="str">
        <f t="shared" si="3"/>
        <v>EUR6E12E15Y_Quote</v>
      </c>
      <c r="F22" s="85" t="e">
        <f ca="1">_xll.cfyql_SimpleQuote(E22,,RateTickValue,Permanent,Trigger,ObjectOverwrite)</f>
        <v>#NAME?</v>
      </c>
      <c r="G22" s="42" t="e">
        <f ca="1">_xll.ohRangeRetrieveError(F22)</f>
        <v>#NAME?</v>
      </c>
      <c r="H22" s="36"/>
      <c r="J22" s="134"/>
      <c r="K22" s="140" t="s">
        <v>41</v>
      </c>
      <c r="L22" s="140" t="s">
        <v>66</v>
      </c>
      <c r="M22" s="140" t="s">
        <v>20</v>
      </c>
      <c r="N22" s="185" t="str">
        <f t="shared" si="4"/>
        <v>EUR6E12E15Y</v>
      </c>
      <c r="O22" s="139" t="str">
        <v>EUR6E12E15Y=ICAP</v>
      </c>
      <c r="P22" s="184">
        <v>10.7</v>
      </c>
      <c r="Q22" s="184">
        <v>0</v>
      </c>
      <c r="R22" s="184" t="e">
        <f ca="1">_xll.cfyql_MidEquivalent(P22,Q22)</f>
        <v>#NAME?</v>
      </c>
      <c r="S22" s="184" t="e">
        <f t="shared" ca="1" si="5"/>
        <v>#NAME?</v>
      </c>
      <c r="T22" s="182"/>
      <c r="U22" s="181">
        <v>10.7</v>
      </c>
      <c r="V22" s="111"/>
      <c r="W22" s="180">
        <v>10.7</v>
      </c>
      <c r="X22" s="179" t="e">
        <f ca="1">_xll.cfyql_SimpleQuoteSetValue(F22,ROUND(W22/10000,6),Trigger)</f>
        <v>#NAME?</v>
      </c>
      <c r="Y22" s="129"/>
    </row>
    <row r="23" spans="1:25" ht="11.25" customHeight="1" x14ac:dyDescent="0.2">
      <c r="A23" s="134"/>
      <c r="B23" s="86" t="str">
        <f t="shared" si="0"/>
        <v>16Y</v>
      </c>
      <c r="C23" s="86" t="str">
        <f t="shared" si="1"/>
        <v>6E</v>
      </c>
      <c r="D23" s="86" t="str">
        <f t="shared" si="2"/>
        <v>12E</v>
      </c>
      <c r="E23" s="85" t="str">
        <f t="shared" si="3"/>
        <v>EUR6E12E16Y_Quote</v>
      </c>
      <c r="F23" s="85" t="e">
        <f ca="1">_xll.cfyql_SimpleQuote(E23,,RateTickValue,Permanent,Trigger,ObjectOverwrite)</f>
        <v>#NAME?</v>
      </c>
      <c r="G23" s="42" t="e">
        <f ca="1">_xll.ohRangeRetrieveError(F23)</f>
        <v>#NAME?</v>
      </c>
      <c r="H23" s="36"/>
      <c r="J23" s="134"/>
      <c r="K23" s="140" t="s">
        <v>40</v>
      </c>
      <c r="L23" s="140" t="s">
        <v>66</v>
      </c>
      <c r="M23" s="140" t="s">
        <v>20</v>
      </c>
      <c r="N23" s="185" t="str">
        <f t="shared" si="4"/>
        <v>EUR6E12E16Y</v>
      </c>
      <c r="O23" s="139" t="str">
        <v>EUR6E12E16Y=ICAP</v>
      </c>
      <c r="P23" s="184" t="s">
        <v>109</v>
      </c>
      <c r="Q23" s="184" t="s">
        <v>109</v>
      </c>
      <c r="R23" s="184" t="e">
        <f ca="1">_xll.cfyql_MidEquivalent(P23,Q23)</f>
        <v>#NAME?</v>
      </c>
      <c r="S23" s="184" t="e">
        <f t="shared" ca="1" si="5"/>
        <v>#NAME?</v>
      </c>
      <c r="T23" s="182"/>
      <c r="U23" s="181" t="e">
        <v>#NUM!</v>
      </c>
      <c r="V23" s="111"/>
      <c r="W23" s="180" t="e">
        <v>#NUM!</v>
      </c>
      <c r="X23" s="179" t="e">
        <f ca="1">_xll.cfyql_SimpleQuoteSetValue(F23,ROUND(W23/10000,6),Trigger)</f>
        <v>#NAME?</v>
      </c>
      <c r="Y23" s="129"/>
    </row>
    <row r="24" spans="1:25" ht="11.25" customHeight="1" x14ac:dyDescent="0.2">
      <c r="A24" s="134"/>
      <c r="B24" s="86" t="str">
        <f t="shared" si="0"/>
        <v>17Y</v>
      </c>
      <c r="C24" s="86" t="str">
        <f t="shared" si="1"/>
        <v>6E</v>
      </c>
      <c r="D24" s="86" t="str">
        <f t="shared" si="2"/>
        <v>12E</v>
      </c>
      <c r="E24" s="85" t="str">
        <f t="shared" si="3"/>
        <v>EUR6E12E17Y_Quote</v>
      </c>
      <c r="F24" s="85" t="e">
        <f ca="1">_xll.cfyql_SimpleQuote(E24,,RateTickValue,Permanent,Trigger,ObjectOverwrite)</f>
        <v>#NAME?</v>
      </c>
      <c r="G24" s="42" t="e">
        <f ca="1">_xll.ohRangeRetrieveError(F24)</f>
        <v>#NAME?</v>
      </c>
      <c r="H24" s="36"/>
      <c r="J24" s="134"/>
      <c r="K24" s="140" t="s">
        <v>39</v>
      </c>
      <c r="L24" s="140" t="s">
        <v>66</v>
      </c>
      <c r="M24" s="140" t="s">
        <v>20</v>
      </c>
      <c r="N24" s="185" t="str">
        <f t="shared" si="4"/>
        <v>EUR6E12E17Y</v>
      </c>
      <c r="O24" s="139" t="str">
        <v>EUR6E12E17Y=ICAP</v>
      </c>
      <c r="P24" s="184" t="s">
        <v>109</v>
      </c>
      <c r="Q24" s="184" t="s">
        <v>109</v>
      </c>
      <c r="R24" s="184" t="e">
        <f ca="1">_xll.cfyql_MidEquivalent(P24,Q24)</f>
        <v>#NAME?</v>
      </c>
      <c r="S24" s="184" t="e">
        <f t="shared" ca="1" si="5"/>
        <v>#NAME?</v>
      </c>
      <c r="T24" s="182"/>
      <c r="U24" s="181" t="e">
        <v>#NUM!</v>
      </c>
      <c r="V24" s="111"/>
      <c r="W24" s="180" t="e">
        <v>#NUM!</v>
      </c>
      <c r="X24" s="179" t="e">
        <f ca="1">_xll.cfyql_SimpleQuoteSetValue(F24,ROUND(W24/10000,6),Trigger)</f>
        <v>#NAME?</v>
      </c>
      <c r="Y24" s="129"/>
    </row>
    <row r="25" spans="1:25" ht="11.25" customHeight="1" x14ac:dyDescent="0.2">
      <c r="A25" s="134"/>
      <c r="B25" s="86" t="str">
        <f t="shared" si="0"/>
        <v>18Y</v>
      </c>
      <c r="C25" s="86" t="str">
        <f t="shared" si="1"/>
        <v>6E</v>
      </c>
      <c r="D25" s="86" t="str">
        <f t="shared" si="2"/>
        <v>12E</v>
      </c>
      <c r="E25" s="85" t="str">
        <f t="shared" si="3"/>
        <v>EUR6E12E18Y_Quote</v>
      </c>
      <c r="F25" s="85" t="e">
        <f ca="1">_xll.cfyql_SimpleQuote(E25,,RateTickValue,Permanent,Trigger,ObjectOverwrite)</f>
        <v>#NAME?</v>
      </c>
      <c r="G25" s="42" t="e">
        <f ca="1">_xll.ohRangeRetrieveError(F25)</f>
        <v>#NAME?</v>
      </c>
      <c r="H25" s="36"/>
      <c r="J25" s="134"/>
      <c r="K25" s="140" t="s">
        <v>38</v>
      </c>
      <c r="L25" s="140" t="s">
        <v>66</v>
      </c>
      <c r="M25" s="140" t="s">
        <v>20</v>
      </c>
      <c r="N25" s="185" t="str">
        <f t="shared" si="4"/>
        <v>EUR6E12E18Y</v>
      </c>
      <c r="O25" s="139" t="str">
        <v>EUR6E12E18Y=ICAP</v>
      </c>
      <c r="P25" s="184" t="s">
        <v>109</v>
      </c>
      <c r="Q25" s="184" t="s">
        <v>109</v>
      </c>
      <c r="R25" s="184" t="e">
        <f ca="1">_xll.cfyql_MidEquivalent(P25,Q25)</f>
        <v>#NAME?</v>
      </c>
      <c r="S25" s="184" t="e">
        <f t="shared" ca="1" si="5"/>
        <v>#NAME?</v>
      </c>
      <c r="T25" s="182"/>
      <c r="U25" s="181" t="e">
        <v>#NUM!</v>
      </c>
      <c r="V25" s="111"/>
      <c r="W25" s="180" t="e">
        <v>#NUM!</v>
      </c>
      <c r="X25" s="179" t="e">
        <f ca="1">_xll.cfyql_SimpleQuoteSetValue(F25,ROUND(W25/10000,6),Trigger)</f>
        <v>#NAME?</v>
      </c>
      <c r="Y25" s="129"/>
    </row>
    <row r="26" spans="1:25" ht="11.25" customHeight="1" x14ac:dyDescent="0.2">
      <c r="A26" s="134"/>
      <c r="B26" s="86" t="str">
        <f t="shared" si="0"/>
        <v>19Y</v>
      </c>
      <c r="C26" s="86" t="str">
        <f t="shared" si="1"/>
        <v>6E</v>
      </c>
      <c r="D26" s="86" t="str">
        <f t="shared" si="2"/>
        <v>12E</v>
      </c>
      <c r="E26" s="85" t="str">
        <f t="shared" si="3"/>
        <v>EUR6E12E19Y_Quote</v>
      </c>
      <c r="F26" s="85" t="e">
        <f ca="1">_xll.cfyql_SimpleQuote(E26,,RateTickValue,Permanent,Trigger,ObjectOverwrite)</f>
        <v>#NAME?</v>
      </c>
      <c r="G26" s="42" t="e">
        <f ca="1">_xll.ohRangeRetrieveError(F26)</f>
        <v>#NAME?</v>
      </c>
      <c r="H26" s="36"/>
      <c r="J26" s="134"/>
      <c r="K26" s="140" t="s">
        <v>37</v>
      </c>
      <c r="L26" s="140" t="s">
        <v>66</v>
      </c>
      <c r="M26" s="140" t="s">
        <v>20</v>
      </c>
      <c r="N26" s="185" t="str">
        <f t="shared" si="4"/>
        <v>EUR6E12E19Y</v>
      </c>
      <c r="O26" s="139" t="str">
        <v>EUR6E12E19Y=ICAP</v>
      </c>
      <c r="P26" s="184" t="s">
        <v>109</v>
      </c>
      <c r="Q26" s="184" t="s">
        <v>109</v>
      </c>
      <c r="R26" s="184" t="e">
        <f ca="1">_xll.cfyql_MidEquivalent(P26,Q26)</f>
        <v>#NAME?</v>
      </c>
      <c r="S26" s="184" t="e">
        <f t="shared" ca="1" si="5"/>
        <v>#NAME?</v>
      </c>
      <c r="T26" s="182"/>
      <c r="U26" s="181" t="e">
        <v>#NUM!</v>
      </c>
      <c r="V26" s="111"/>
      <c r="W26" s="180" t="e">
        <v>#NUM!</v>
      </c>
      <c r="X26" s="179" t="e">
        <f ca="1">_xll.cfyql_SimpleQuoteSetValue(F26,ROUND(W26/10000,6),Trigger)</f>
        <v>#NAME?</v>
      </c>
      <c r="Y26" s="129"/>
    </row>
    <row r="27" spans="1:25" ht="11.25" customHeight="1" x14ac:dyDescent="0.2">
      <c r="A27" s="134"/>
      <c r="B27" s="86" t="str">
        <f t="shared" si="0"/>
        <v>20Y</v>
      </c>
      <c r="C27" s="86" t="str">
        <f t="shared" si="1"/>
        <v>6E</v>
      </c>
      <c r="D27" s="86" t="str">
        <f t="shared" si="2"/>
        <v>12E</v>
      </c>
      <c r="E27" s="85" t="str">
        <f t="shared" si="3"/>
        <v>EUR6E12E20Y_Quote</v>
      </c>
      <c r="F27" s="85" t="e">
        <f ca="1">_xll.cfyql_SimpleQuote(E27,,RateTickValue,Permanent,Trigger,ObjectOverwrite)</f>
        <v>#NAME?</v>
      </c>
      <c r="G27" s="42" t="e">
        <f ca="1">_xll.ohRangeRetrieveError(F27)</f>
        <v>#NAME?</v>
      </c>
      <c r="H27" s="36"/>
      <c r="J27" s="134"/>
      <c r="K27" s="140" t="s">
        <v>36</v>
      </c>
      <c r="L27" s="140" t="s">
        <v>66</v>
      </c>
      <c r="M27" s="140" t="s">
        <v>20</v>
      </c>
      <c r="N27" s="185" t="str">
        <f t="shared" si="4"/>
        <v>EUR6E12E20Y</v>
      </c>
      <c r="O27" s="139" t="str">
        <v>EUR6E12E20Y=ICAP</v>
      </c>
      <c r="P27" s="184">
        <v>9.1999999999999993</v>
      </c>
      <c r="Q27" s="184">
        <v>0</v>
      </c>
      <c r="R27" s="184" t="e">
        <f ca="1">_xll.cfyql_MidEquivalent(P27,Q27)</f>
        <v>#NAME?</v>
      </c>
      <c r="S27" s="184" t="e">
        <f t="shared" ca="1" si="5"/>
        <v>#NAME?</v>
      </c>
      <c r="T27" s="182"/>
      <c r="U27" s="181">
        <v>9.1999999999999993</v>
      </c>
      <c r="V27" s="111"/>
      <c r="W27" s="180">
        <v>9.1999999999999993</v>
      </c>
      <c r="X27" s="179" t="e">
        <f ca="1">_xll.cfyql_SimpleQuoteSetValue(F27,ROUND(W27/10000,6),Trigger)</f>
        <v>#NAME?</v>
      </c>
      <c r="Y27" s="129"/>
    </row>
    <row r="28" spans="1:25" ht="11.25" customHeight="1" x14ac:dyDescent="0.2">
      <c r="A28" s="134"/>
      <c r="B28" s="86" t="str">
        <f t="shared" si="0"/>
        <v>21Y</v>
      </c>
      <c r="C28" s="86" t="str">
        <f t="shared" si="1"/>
        <v>6E</v>
      </c>
      <c r="D28" s="86" t="str">
        <f t="shared" si="2"/>
        <v>12E</v>
      </c>
      <c r="E28" s="85" t="str">
        <f t="shared" si="3"/>
        <v>EUR6E12E21Y_Quote</v>
      </c>
      <c r="F28" s="85" t="e">
        <f ca="1">_xll.cfyql_SimpleQuote(E28,,RateTickValue,Permanent,Trigger,ObjectOverwrite)</f>
        <v>#NAME?</v>
      </c>
      <c r="G28" s="42" t="e">
        <f ca="1">_xll.ohRangeRetrieveError(F28)</f>
        <v>#NAME?</v>
      </c>
      <c r="H28" s="36"/>
      <c r="J28" s="134"/>
      <c r="K28" s="140" t="s">
        <v>35</v>
      </c>
      <c r="L28" s="140" t="s">
        <v>66</v>
      </c>
      <c r="M28" s="140" t="s">
        <v>20</v>
      </c>
      <c r="N28" s="185" t="str">
        <f t="shared" si="4"/>
        <v>EUR6E12E21Y</v>
      </c>
      <c r="O28" s="139" t="str">
        <v>EUR6E12E21Y=ICAP</v>
      </c>
      <c r="P28" s="184" t="s">
        <v>109</v>
      </c>
      <c r="Q28" s="184" t="s">
        <v>109</v>
      </c>
      <c r="R28" s="184" t="e">
        <f ca="1">_xll.cfyql_MidEquivalent(P28,Q28)</f>
        <v>#NAME?</v>
      </c>
      <c r="S28" s="184" t="e">
        <f t="shared" ca="1" si="5"/>
        <v>#NAME?</v>
      </c>
      <c r="T28" s="182"/>
      <c r="U28" s="181" t="e">
        <v>#NUM!</v>
      </c>
      <c r="V28" s="111"/>
      <c r="W28" s="180" t="e">
        <v>#NUM!</v>
      </c>
      <c r="X28" s="179" t="e">
        <f ca="1">_xll.cfyql_SimpleQuoteSetValue(F28,ROUND(W28/10000,6),Trigger)</f>
        <v>#NAME?</v>
      </c>
      <c r="Y28" s="129"/>
    </row>
    <row r="29" spans="1:25" ht="11.25" customHeight="1" x14ac:dyDescent="0.2">
      <c r="A29" s="134"/>
      <c r="B29" s="86" t="str">
        <f t="shared" si="0"/>
        <v>22Y</v>
      </c>
      <c r="C29" s="86" t="str">
        <f t="shared" si="1"/>
        <v>6E</v>
      </c>
      <c r="D29" s="86" t="str">
        <f t="shared" si="2"/>
        <v>12E</v>
      </c>
      <c r="E29" s="85" t="str">
        <f t="shared" si="3"/>
        <v>EUR6E12E22Y_Quote</v>
      </c>
      <c r="F29" s="85" t="e">
        <f ca="1">_xll.cfyql_SimpleQuote(E29,,RateTickValue,Permanent,Trigger,ObjectOverwrite)</f>
        <v>#NAME?</v>
      </c>
      <c r="G29" s="42" t="e">
        <f ca="1">_xll.ohRangeRetrieveError(F29)</f>
        <v>#NAME?</v>
      </c>
      <c r="H29" s="36"/>
      <c r="J29" s="134"/>
      <c r="K29" s="140" t="s">
        <v>34</v>
      </c>
      <c r="L29" s="140" t="s">
        <v>66</v>
      </c>
      <c r="M29" s="140" t="s">
        <v>20</v>
      </c>
      <c r="N29" s="185" t="str">
        <f t="shared" si="4"/>
        <v>EUR6E12E22Y</v>
      </c>
      <c r="O29" s="139" t="str">
        <v>EUR6E12E22Y=ICAP</v>
      </c>
      <c r="P29" s="184" t="s">
        <v>109</v>
      </c>
      <c r="Q29" s="184" t="s">
        <v>109</v>
      </c>
      <c r="R29" s="184" t="e">
        <f ca="1">_xll.cfyql_MidEquivalent(P29,Q29)</f>
        <v>#NAME?</v>
      </c>
      <c r="S29" s="184" t="e">
        <f t="shared" ca="1" si="5"/>
        <v>#NAME?</v>
      </c>
      <c r="T29" s="182"/>
      <c r="U29" s="181" t="e">
        <v>#NUM!</v>
      </c>
      <c r="V29" s="111"/>
      <c r="W29" s="180" t="e">
        <v>#NUM!</v>
      </c>
      <c r="X29" s="179" t="e">
        <f ca="1">_xll.cfyql_SimpleQuoteSetValue(F29,ROUND(W29/10000,6),Trigger)</f>
        <v>#NAME?</v>
      </c>
      <c r="Y29" s="129"/>
    </row>
    <row r="30" spans="1:25" ht="11.25" customHeight="1" x14ac:dyDescent="0.2">
      <c r="A30" s="134"/>
      <c r="B30" s="86" t="str">
        <f t="shared" si="0"/>
        <v>23Y</v>
      </c>
      <c r="C30" s="86" t="str">
        <f t="shared" si="1"/>
        <v>6E</v>
      </c>
      <c r="D30" s="86" t="str">
        <f t="shared" si="2"/>
        <v>12E</v>
      </c>
      <c r="E30" s="85" t="str">
        <f t="shared" si="3"/>
        <v>EUR6E12E23Y_Quote</v>
      </c>
      <c r="F30" s="85" t="e">
        <f ca="1">_xll.cfyql_SimpleQuote(E30,,RateTickValue,Permanent,Trigger,ObjectOverwrite)</f>
        <v>#NAME?</v>
      </c>
      <c r="G30" s="42" t="e">
        <f ca="1">_xll.ohRangeRetrieveError(F30)</f>
        <v>#NAME?</v>
      </c>
      <c r="H30" s="36"/>
      <c r="J30" s="134"/>
      <c r="K30" s="140" t="s">
        <v>33</v>
      </c>
      <c r="L30" s="140" t="s">
        <v>66</v>
      </c>
      <c r="M30" s="140" t="s">
        <v>20</v>
      </c>
      <c r="N30" s="185" t="str">
        <f t="shared" si="4"/>
        <v>EUR6E12E23Y</v>
      </c>
      <c r="O30" s="139" t="str">
        <v>EUR6E12E23Y=ICAP</v>
      </c>
      <c r="P30" s="184" t="s">
        <v>109</v>
      </c>
      <c r="Q30" s="184" t="s">
        <v>109</v>
      </c>
      <c r="R30" s="184" t="e">
        <f ca="1">_xll.cfyql_MidEquivalent(P30,Q30)</f>
        <v>#NAME?</v>
      </c>
      <c r="S30" s="184" t="e">
        <f t="shared" ca="1" si="5"/>
        <v>#NAME?</v>
      </c>
      <c r="T30" s="182"/>
      <c r="U30" s="181" t="e">
        <v>#NUM!</v>
      </c>
      <c r="V30" s="111"/>
      <c r="W30" s="180" t="e">
        <v>#NUM!</v>
      </c>
      <c r="X30" s="179" t="e">
        <f ca="1">_xll.cfyql_SimpleQuoteSetValue(F30,ROUND(W30/10000,6),Trigger)</f>
        <v>#NAME?</v>
      </c>
      <c r="Y30" s="129"/>
    </row>
    <row r="31" spans="1:25" ht="11.25" customHeight="1" x14ac:dyDescent="0.2">
      <c r="A31" s="134"/>
      <c r="B31" s="86" t="str">
        <f t="shared" si="0"/>
        <v>24Y</v>
      </c>
      <c r="C31" s="86" t="str">
        <f t="shared" si="1"/>
        <v>6E</v>
      </c>
      <c r="D31" s="86" t="str">
        <f t="shared" si="2"/>
        <v>12E</v>
      </c>
      <c r="E31" s="85" t="str">
        <f t="shared" si="3"/>
        <v>EUR6E12E24Y_Quote</v>
      </c>
      <c r="F31" s="85" t="e">
        <f ca="1">_xll.cfyql_SimpleQuote(E31,,RateTickValue,Permanent,Trigger,ObjectOverwrite)</f>
        <v>#NAME?</v>
      </c>
      <c r="G31" s="42" t="e">
        <f ca="1">_xll.ohRangeRetrieveError(F31)</f>
        <v>#NAME?</v>
      </c>
      <c r="H31" s="36"/>
      <c r="J31" s="134"/>
      <c r="K31" s="140" t="s">
        <v>32</v>
      </c>
      <c r="L31" s="140" t="s">
        <v>66</v>
      </c>
      <c r="M31" s="140" t="s">
        <v>20</v>
      </c>
      <c r="N31" s="185" t="str">
        <f t="shared" si="4"/>
        <v>EUR6E12E24Y</v>
      </c>
      <c r="O31" s="139" t="str">
        <v>EUR6E12E24Y=ICAP</v>
      </c>
      <c r="P31" s="184" t="s">
        <v>109</v>
      </c>
      <c r="Q31" s="184" t="s">
        <v>109</v>
      </c>
      <c r="R31" s="184" t="e">
        <f ca="1">_xll.cfyql_MidEquivalent(P31,Q31)</f>
        <v>#NAME?</v>
      </c>
      <c r="S31" s="184" t="e">
        <f t="shared" ca="1" si="5"/>
        <v>#NAME?</v>
      </c>
      <c r="T31" s="182"/>
      <c r="U31" s="181" t="e">
        <v>#NUM!</v>
      </c>
      <c r="V31" s="111"/>
      <c r="W31" s="180" t="e">
        <v>#NUM!</v>
      </c>
      <c r="X31" s="179" t="e">
        <f ca="1">_xll.cfyql_SimpleQuoteSetValue(F31,ROUND(W31/10000,6),Trigger)</f>
        <v>#NAME?</v>
      </c>
      <c r="Y31" s="129"/>
    </row>
    <row r="32" spans="1:25" ht="11.25" customHeight="1" x14ac:dyDescent="0.2">
      <c r="A32" s="134"/>
      <c r="B32" s="86" t="str">
        <f t="shared" si="0"/>
        <v>25Y</v>
      </c>
      <c r="C32" s="86" t="str">
        <f t="shared" si="1"/>
        <v>6E</v>
      </c>
      <c r="D32" s="86" t="str">
        <f t="shared" si="2"/>
        <v>12E</v>
      </c>
      <c r="E32" s="85" t="str">
        <f t="shared" si="3"/>
        <v>EUR6E12E25Y_Quote</v>
      </c>
      <c r="F32" s="85" t="e">
        <f ca="1">_xll.cfyql_SimpleQuote(E32,,RateTickValue,Permanent,Trigger,ObjectOverwrite)</f>
        <v>#NAME?</v>
      </c>
      <c r="G32" s="42" t="e">
        <f ca="1">_xll.ohRangeRetrieveError(F32)</f>
        <v>#NAME?</v>
      </c>
      <c r="H32" s="36"/>
      <c r="J32" s="134"/>
      <c r="K32" s="140" t="s">
        <v>31</v>
      </c>
      <c r="L32" s="140" t="s">
        <v>66</v>
      </c>
      <c r="M32" s="140" t="s">
        <v>20</v>
      </c>
      <c r="N32" s="185" t="str">
        <f t="shared" si="4"/>
        <v>EUR6E12E25Y</v>
      </c>
      <c r="O32" s="139" t="str">
        <v>EUR6E12E25Y=ICAP</v>
      </c>
      <c r="P32" s="184">
        <v>8.3000000000000007</v>
      </c>
      <c r="Q32" s="184">
        <v>0</v>
      </c>
      <c r="R32" s="184" t="e">
        <f ca="1">_xll.cfyql_MidEquivalent(P32,Q32)</f>
        <v>#NAME?</v>
      </c>
      <c r="S32" s="184" t="e">
        <f t="shared" ca="1" si="5"/>
        <v>#NAME?</v>
      </c>
      <c r="T32" s="182"/>
      <c r="U32" s="181">
        <v>8.3000000000000007</v>
      </c>
      <c r="V32" s="111"/>
      <c r="W32" s="180">
        <v>8.3000000000000007</v>
      </c>
      <c r="X32" s="179" t="e">
        <f ca="1">_xll.cfyql_SimpleQuoteSetValue(F32,ROUND(W32/10000,6),Trigger)</f>
        <v>#NAME?</v>
      </c>
      <c r="Y32" s="129"/>
    </row>
    <row r="33" spans="1:25" ht="11.25" customHeight="1" x14ac:dyDescent="0.2">
      <c r="A33" s="134"/>
      <c r="B33" s="86" t="str">
        <f t="shared" si="0"/>
        <v>26Y</v>
      </c>
      <c r="C33" s="86" t="str">
        <f t="shared" si="1"/>
        <v>6E</v>
      </c>
      <c r="D33" s="86" t="str">
        <f t="shared" si="2"/>
        <v>12E</v>
      </c>
      <c r="E33" s="85" t="str">
        <f t="shared" si="3"/>
        <v>EUR6E12E26Y_Quote</v>
      </c>
      <c r="F33" s="85" t="e">
        <f ca="1">_xll.cfyql_SimpleQuote(E33,,RateTickValue,Permanent,Trigger,ObjectOverwrite)</f>
        <v>#NAME?</v>
      </c>
      <c r="G33" s="42" t="e">
        <f ca="1">_xll.ohRangeRetrieveError(F33)</f>
        <v>#NAME?</v>
      </c>
      <c r="H33" s="36"/>
      <c r="J33" s="134"/>
      <c r="K33" s="140" t="s">
        <v>30</v>
      </c>
      <c r="L33" s="140" t="s">
        <v>66</v>
      </c>
      <c r="M33" s="140" t="s">
        <v>20</v>
      </c>
      <c r="N33" s="185" t="str">
        <f t="shared" si="4"/>
        <v>EUR6E12E26Y</v>
      </c>
      <c r="O33" s="139" t="str">
        <v>EUR6E12E26Y=ICAP</v>
      </c>
      <c r="P33" s="184" t="s">
        <v>109</v>
      </c>
      <c r="Q33" s="184" t="s">
        <v>109</v>
      </c>
      <c r="R33" s="184" t="e">
        <f ca="1">_xll.cfyql_MidEquivalent(P33,Q33)</f>
        <v>#NAME?</v>
      </c>
      <c r="S33" s="184" t="e">
        <f t="shared" ca="1" si="5"/>
        <v>#NAME?</v>
      </c>
      <c r="T33" s="182"/>
      <c r="U33" s="181" t="e">
        <v>#NUM!</v>
      </c>
      <c r="V33" s="111"/>
      <c r="W33" s="180" t="e">
        <v>#NUM!</v>
      </c>
      <c r="X33" s="179" t="e">
        <f ca="1">_xll.cfyql_SimpleQuoteSetValue(F33,ROUND(W33/10000,6),Trigger)</f>
        <v>#NAME?</v>
      </c>
      <c r="Y33" s="129"/>
    </row>
    <row r="34" spans="1:25" ht="11.25" customHeight="1" x14ac:dyDescent="0.2">
      <c r="A34" s="134"/>
      <c r="B34" s="86" t="str">
        <f t="shared" si="0"/>
        <v>27Y</v>
      </c>
      <c r="C34" s="86" t="str">
        <f t="shared" si="1"/>
        <v>6E</v>
      </c>
      <c r="D34" s="86" t="str">
        <f t="shared" si="2"/>
        <v>12E</v>
      </c>
      <c r="E34" s="85" t="str">
        <f t="shared" si="3"/>
        <v>EUR6E12E27Y_Quote</v>
      </c>
      <c r="F34" s="85" t="e">
        <f ca="1">_xll.cfyql_SimpleQuote(E34,,RateTickValue,Permanent,Trigger,ObjectOverwrite)</f>
        <v>#NAME?</v>
      </c>
      <c r="G34" s="42" t="e">
        <f ca="1">_xll.ohRangeRetrieveError(F34)</f>
        <v>#NAME?</v>
      </c>
      <c r="H34" s="36"/>
      <c r="J34" s="134"/>
      <c r="K34" s="140" t="s">
        <v>29</v>
      </c>
      <c r="L34" s="140" t="s">
        <v>66</v>
      </c>
      <c r="M34" s="140" t="s">
        <v>20</v>
      </c>
      <c r="N34" s="185" t="str">
        <f t="shared" si="4"/>
        <v>EUR6E12E27Y</v>
      </c>
      <c r="O34" s="139" t="str">
        <v>EUR6E12E27Y=ICAP</v>
      </c>
      <c r="P34" s="184" t="s">
        <v>109</v>
      </c>
      <c r="Q34" s="184" t="s">
        <v>109</v>
      </c>
      <c r="R34" s="184" t="e">
        <f ca="1">_xll.cfyql_MidEquivalent(P34,Q34)</f>
        <v>#NAME?</v>
      </c>
      <c r="S34" s="184" t="e">
        <f t="shared" ca="1" si="5"/>
        <v>#NAME?</v>
      </c>
      <c r="T34" s="182"/>
      <c r="U34" s="181" t="e">
        <v>#NUM!</v>
      </c>
      <c r="V34" s="111"/>
      <c r="W34" s="180" t="e">
        <v>#NUM!</v>
      </c>
      <c r="X34" s="179" t="e">
        <f ca="1">_xll.cfyql_SimpleQuoteSetValue(F34,ROUND(W34/10000,6),Trigger)</f>
        <v>#NAME?</v>
      </c>
      <c r="Y34" s="129"/>
    </row>
    <row r="35" spans="1:25" ht="11.25" customHeight="1" x14ac:dyDescent="0.2">
      <c r="A35" s="134"/>
      <c r="B35" s="86" t="str">
        <f t="shared" si="0"/>
        <v>28Y</v>
      </c>
      <c r="C35" s="86" t="str">
        <f t="shared" si="1"/>
        <v>6E</v>
      </c>
      <c r="D35" s="86" t="str">
        <f t="shared" si="2"/>
        <v>12E</v>
      </c>
      <c r="E35" s="85" t="str">
        <f t="shared" si="3"/>
        <v>EUR6E12E28Y_Quote</v>
      </c>
      <c r="F35" s="85" t="e">
        <f ca="1">_xll.cfyql_SimpleQuote(E35,,RateTickValue,Permanent,Trigger,ObjectOverwrite)</f>
        <v>#NAME?</v>
      </c>
      <c r="G35" s="42" t="e">
        <f ca="1">_xll.ohRangeRetrieveError(F35)</f>
        <v>#NAME?</v>
      </c>
      <c r="H35" s="36"/>
      <c r="J35" s="134"/>
      <c r="K35" s="140" t="s">
        <v>28</v>
      </c>
      <c r="L35" s="140" t="s">
        <v>66</v>
      </c>
      <c r="M35" s="140" t="s">
        <v>20</v>
      </c>
      <c r="N35" s="185" t="str">
        <f t="shared" si="4"/>
        <v>EUR6E12E28Y</v>
      </c>
      <c r="O35" s="139" t="str">
        <v>EUR6E12E28Y=ICAP</v>
      </c>
      <c r="P35" s="184" t="s">
        <v>109</v>
      </c>
      <c r="Q35" s="184" t="s">
        <v>109</v>
      </c>
      <c r="R35" s="184" t="e">
        <f ca="1">_xll.cfyql_MidEquivalent(P35,Q35)</f>
        <v>#NAME?</v>
      </c>
      <c r="S35" s="184" t="e">
        <f t="shared" ca="1" si="5"/>
        <v>#NAME?</v>
      </c>
      <c r="T35" s="182"/>
      <c r="U35" s="181" t="e">
        <v>#NUM!</v>
      </c>
      <c r="V35" s="111"/>
      <c r="W35" s="180" t="e">
        <v>#NUM!</v>
      </c>
      <c r="X35" s="179" t="e">
        <f ca="1">_xll.cfyql_SimpleQuoteSetValue(F35,ROUND(W35/10000,6),Trigger)</f>
        <v>#NAME?</v>
      </c>
      <c r="Y35" s="129"/>
    </row>
    <row r="36" spans="1:25" ht="11.25" customHeight="1" x14ac:dyDescent="0.2">
      <c r="A36" s="134"/>
      <c r="B36" s="86" t="str">
        <f t="shared" si="0"/>
        <v>29Y</v>
      </c>
      <c r="C36" s="86" t="str">
        <f t="shared" si="1"/>
        <v>6E</v>
      </c>
      <c r="D36" s="86" t="str">
        <f t="shared" si="2"/>
        <v>12E</v>
      </c>
      <c r="E36" s="85" t="str">
        <f t="shared" si="3"/>
        <v>EUR6E12E29Y_Quote</v>
      </c>
      <c r="F36" s="85" t="e">
        <f ca="1">_xll.cfyql_SimpleQuote(E36,,RateTickValue,Permanent,Trigger,ObjectOverwrite)</f>
        <v>#NAME?</v>
      </c>
      <c r="G36" s="42" t="e">
        <f ca="1">_xll.ohRangeRetrieveError(F36)</f>
        <v>#NAME?</v>
      </c>
      <c r="H36" s="36"/>
      <c r="J36" s="134"/>
      <c r="K36" s="140" t="s">
        <v>27</v>
      </c>
      <c r="L36" s="140" t="s">
        <v>66</v>
      </c>
      <c r="M36" s="140" t="s">
        <v>20</v>
      </c>
      <c r="N36" s="185" t="str">
        <f t="shared" si="4"/>
        <v>EUR6E12E29Y</v>
      </c>
      <c r="O36" s="139" t="str">
        <v>EUR6E12E29Y=ICAP</v>
      </c>
      <c r="P36" s="184" t="s">
        <v>109</v>
      </c>
      <c r="Q36" s="184" t="s">
        <v>109</v>
      </c>
      <c r="R36" s="184" t="e">
        <f ca="1">_xll.cfyql_MidEquivalent(P36,Q36)</f>
        <v>#NAME?</v>
      </c>
      <c r="S36" s="184" t="e">
        <f t="shared" ca="1" si="5"/>
        <v>#NAME?</v>
      </c>
      <c r="T36" s="182"/>
      <c r="U36" s="181" t="e">
        <v>#NUM!</v>
      </c>
      <c r="V36" s="111"/>
      <c r="W36" s="180" t="e">
        <v>#NUM!</v>
      </c>
      <c r="X36" s="179" t="e">
        <f ca="1">_xll.cfyql_SimpleQuoteSetValue(F36,ROUND(W36/10000,6),Trigger)</f>
        <v>#NAME?</v>
      </c>
      <c r="Y36" s="129"/>
    </row>
    <row r="37" spans="1:25" ht="11.25" customHeight="1" x14ac:dyDescent="0.2">
      <c r="A37" s="134"/>
      <c r="B37" s="86" t="str">
        <f t="shared" si="0"/>
        <v>30Y</v>
      </c>
      <c r="C37" s="86" t="str">
        <f t="shared" si="1"/>
        <v>6E</v>
      </c>
      <c r="D37" s="86" t="str">
        <f t="shared" si="2"/>
        <v>12E</v>
      </c>
      <c r="E37" s="85" t="str">
        <f t="shared" si="3"/>
        <v>EUR6E12E30Y_Quote</v>
      </c>
      <c r="F37" s="85" t="e">
        <f ca="1">_xll.cfyql_SimpleQuote(E37,,RateTickValue,Permanent,Trigger,ObjectOverwrite)</f>
        <v>#NAME?</v>
      </c>
      <c r="G37" s="42" t="e">
        <f ca="1">_xll.ohRangeRetrieveError(F37)</f>
        <v>#NAME?</v>
      </c>
      <c r="H37" s="36"/>
      <c r="J37" s="134"/>
      <c r="K37" s="140" t="s">
        <v>26</v>
      </c>
      <c r="L37" s="140" t="s">
        <v>66</v>
      </c>
      <c r="M37" s="140" t="s">
        <v>20</v>
      </c>
      <c r="N37" s="185" t="str">
        <f t="shared" si="4"/>
        <v>EUR6E12E30Y</v>
      </c>
      <c r="O37" s="139" t="str">
        <v>EUR6E12E30Y=ICAP</v>
      </c>
      <c r="P37" s="184">
        <v>7.7</v>
      </c>
      <c r="Q37" s="184">
        <v>0</v>
      </c>
      <c r="R37" s="184" t="e">
        <f ca="1">_xll.cfyql_MidEquivalent(P37,Q37)</f>
        <v>#NAME?</v>
      </c>
      <c r="S37" s="184" t="e">
        <f t="shared" ca="1" si="5"/>
        <v>#NAME?</v>
      </c>
      <c r="T37" s="182"/>
      <c r="U37" s="181">
        <v>7.7</v>
      </c>
      <c r="V37" s="111"/>
      <c r="W37" s="180">
        <v>7.7</v>
      </c>
      <c r="X37" s="179" t="e">
        <f ca="1">_xll.cfyql_SimpleQuoteSetValue(F37,ROUND(W37/10000,6),Trigger)</f>
        <v>#NAME?</v>
      </c>
      <c r="Y37" s="129"/>
    </row>
    <row r="38" spans="1:25" ht="11.25" customHeight="1" x14ac:dyDescent="0.2">
      <c r="A38" s="134"/>
      <c r="B38" s="86" t="str">
        <f t="shared" si="0"/>
        <v>35Y</v>
      </c>
      <c r="C38" s="86" t="str">
        <f t="shared" si="1"/>
        <v>6E</v>
      </c>
      <c r="D38" s="86" t="str">
        <f t="shared" si="2"/>
        <v>12E</v>
      </c>
      <c r="E38" s="85" t="str">
        <f t="shared" si="3"/>
        <v>EUR6E12E35Y_Quote</v>
      </c>
      <c r="F38" s="85" t="e">
        <f ca="1">_xll.cfyql_SimpleQuote(E38,,RateTickValue,Permanent,Trigger,ObjectOverwrite)</f>
        <v>#NAME?</v>
      </c>
      <c r="G38" s="42" t="e">
        <f ca="1">_xll.ohRangeRetrieveError(F38)</f>
        <v>#NAME?</v>
      </c>
      <c r="H38" s="36"/>
      <c r="J38" s="134"/>
      <c r="K38" s="140" t="s">
        <v>25</v>
      </c>
      <c r="L38" s="140" t="s">
        <v>66</v>
      </c>
      <c r="M38" s="140" t="s">
        <v>20</v>
      </c>
      <c r="N38" s="185" t="str">
        <f t="shared" si="4"/>
        <v>EUR6E12E35Y</v>
      </c>
      <c r="O38" s="139" t="str">
        <v>EUR6E12E35Y=ICAP</v>
      </c>
      <c r="P38" s="184" t="s">
        <v>109</v>
      </c>
      <c r="Q38" s="184" t="s">
        <v>109</v>
      </c>
      <c r="R38" s="184" t="e">
        <f ca="1">_xll.cfyql_MidEquivalent(P38,Q38)</f>
        <v>#NAME?</v>
      </c>
      <c r="S38" s="184" t="e">
        <f t="shared" ca="1" si="5"/>
        <v>#NAME?</v>
      </c>
      <c r="T38" s="182"/>
      <c r="U38" s="181" t="e">
        <v>#NUM!</v>
      </c>
      <c r="V38" s="111"/>
      <c r="W38" s="180" t="e">
        <v>#NUM!</v>
      </c>
      <c r="X38" s="179" t="e">
        <f ca="1">_xll.cfyql_SimpleQuoteSetValue(F38,ROUND(W38/10000,6),Trigger)</f>
        <v>#NAME?</v>
      </c>
      <c r="Y38" s="129"/>
    </row>
    <row r="39" spans="1:25" ht="11.25" customHeight="1" x14ac:dyDescent="0.2">
      <c r="A39" s="134"/>
      <c r="B39" s="86" t="str">
        <f t="shared" si="0"/>
        <v>40Y</v>
      </c>
      <c r="C39" s="86" t="str">
        <f t="shared" si="1"/>
        <v>6E</v>
      </c>
      <c r="D39" s="86" t="str">
        <f t="shared" si="2"/>
        <v>12E</v>
      </c>
      <c r="E39" s="85" t="str">
        <f t="shared" si="3"/>
        <v>EUR6E12E40Y_Quote</v>
      </c>
      <c r="F39" s="85" t="e">
        <f ca="1">_xll.cfyql_SimpleQuote(E39,,RateTickValue,Permanent,Trigger,ObjectOverwrite)</f>
        <v>#NAME?</v>
      </c>
      <c r="G39" s="42" t="e">
        <f ca="1">_xll.ohRangeRetrieveError(F39)</f>
        <v>#NAME?</v>
      </c>
      <c r="H39" s="36"/>
      <c r="J39" s="134"/>
      <c r="K39" s="140" t="s">
        <v>24</v>
      </c>
      <c r="L39" s="140" t="s">
        <v>66</v>
      </c>
      <c r="M39" s="140" t="s">
        <v>20</v>
      </c>
      <c r="N39" s="185" t="str">
        <f t="shared" si="4"/>
        <v>EUR6E12E40Y</v>
      </c>
      <c r="O39" s="139" t="str">
        <v>EUR6E12E40Y=ICAP</v>
      </c>
      <c r="P39" s="184">
        <v>6.9</v>
      </c>
      <c r="Q39" s="184">
        <v>0</v>
      </c>
      <c r="R39" s="184" t="e">
        <f ca="1">_xll.cfyql_MidEquivalent(P39,Q39)</f>
        <v>#NAME?</v>
      </c>
      <c r="S39" s="184" t="e">
        <f t="shared" ca="1" si="5"/>
        <v>#NAME?</v>
      </c>
      <c r="T39" s="182"/>
      <c r="U39" s="181">
        <v>6.9</v>
      </c>
      <c r="V39" s="111"/>
      <c r="W39" s="180">
        <v>6.9</v>
      </c>
      <c r="X39" s="179" t="e">
        <f ca="1">_xll.cfyql_SimpleQuoteSetValue(F39,ROUND(W39/10000,6),Trigger)</f>
        <v>#NAME?</v>
      </c>
      <c r="Y39" s="129"/>
    </row>
    <row r="40" spans="1:25" ht="11.25" customHeight="1" x14ac:dyDescent="0.2">
      <c r="A40" s="134"/>
      <c r="B40" s="86" t="str">
        <f t="shared" si="0"/>
        <v>50Y</v>
      </c>
      <c r="C40" s="86" t="str">
        <f t="shared" si="1"/>
        <v>6E</v>
      </c>
      <c r="D40" s="86" t="str">
        <f t="shared" si="2"/>
        <v>12E</v>
      </c>
      <c r="E40" s="85" t="str">
        <f t="shared" si="3"/>
        <v>EUR6E12E50Y_Quote</v>
      </c>
      <c r="F40" s="85" t="e">
        <f ca="1">_xll.cfyql_SimpleQuote(E40,,RateTickValue,Permanent,Trigger,ObjectOverwrite)</f>
        <v>#NAME?</v>
      </c>
      <c r="G40" s="42" t="e">
        <f ca="1">_xll.ohRangeRetrieveError(F40)</f>
        <v>#NAME?</v>
      </c>
      <c r="H40" s="36"/>
      <c r="J40" s="134"/>
      <c r="K40" s="140" t="s">
        <v>23</v>
      </c>
      <c r="L40" s="140" t="s">
        <v>66</v>
      </c>
      <c r="M40" s="140" t="s">
        <v>20</v>
      </c>
      <c r="N40" s="185" t="str">
        <f t="shared" si="4"/>
        <v>EUR6E12E50Y</v>
      </c>
      <c r="O40" s="139" t="str">
        <v>EUR6E12E50Y=ICAP</v>
      </c>
      <c r="P40" s="184">
        <v>6.4</v>
      </c>
      <c r="Q40" s="184">
        <v>0</v>
      </c>
      <c r="R40" s="184" t="e">
        <f ca="1">_xll.cfyql_MidEquivalent(P40,Q40)</f>
        <v>#NAME?</v>
      </c>
      <c r="S40" s="184" t="e">
        <f t="shared" ca="1" si="5"/>
        <v>#NAME?</v>
      </c>
      <c r="T40" s="182"/>
      <c r="U40" s="181">
        <v>6.4</v>
      </c>
      <c r="V40" s="111"/>
      <c r="W40" s="180">
        <v>6.4</v>
      </c>
      <c r="X40" s="179" t="e">
        <f ca="1">_xll.cfyql_SimpleQuoteSetValue(F40,ROUND(W40/10000,6),Trigger)</f>
        <v>#NAME?</v>
      </c>
      <c r="Y40" s="129"/>
    </row>
    <row r="41" spans="1:25" ht="11.25" customHeight="1" x14ac:dyDescent="0.2">
      <c r="A41" s="134"/>
      <c r="B41" s="75" t="str">
        <f t="shared" si="0"/>
        <v>60Y</v>
      </c>
      <c r="C41" s="75" t="str">
        <f t="shared" si="1"/>
        <v>6E</v>
      </c>
      <c r="D41" s="75" t="str">
        <f t="shared" si="2"/>
        <v>12E</v>
      </c>
      <c r="E41" s="74" t="str">
        <f t="shared" si="3"/>
        <v>EUR6E12E60Y_Quote</v>
      </c>
      <c r="F41" s="74" t="e">
        <f ca="1">_xll.cfyql_SimpleQuote(E41,,RateTickValue,Permanent,Trigger,ObjectOverwrite)</f>
        <v>#NAME?</v>
      </c>
      <c r="G41" s="37" t="e">
        <f ca="1">_xll.ohRangeRetrieveError(F41)</f>
        <v>#NAME?</v>
      </c>
      <c r="H41" s="36"/>
      <c r="J41" s="134"/>
      <c r="K41" s="140" t="s">
        <v>22</v>
      </c>
      <c r="L41" s="140" t="s">
        <v>66</v>
      </c>
      <c r="M41" s="140" t="s">
        <v>20</v>
      </c>
      <c r="N41" s="185" t="str">
        <f t="shared" si="4"/>
        <v>EUR6E12E60Y</v>
      </c>
      <c r="O41" s="139" t="str">
        <v>EUR6E12E60Y=ICAP</v>
      </c>
      <c r="P41" s="184">
        <v>6</v>
      </c>
      <c r="Q41" s="184">
        <v>0</v>
      </c>
      <c r="R41" s="184" t="e">
        <f ca="1">_xll.cfyql_MidEquivalent(P41,Q41)</f>
        <v>#NAME?</v>
      </c>
      <c r="S41" s="183" t="e">
        <f t="shared" ca="1" si="5"/>
        <v>#NAME?</v>
      </c>
      <c r="T41" s="182"/>
      <c r="U41" s="181">
        <v>6</v>
      </c>
      <c r="V41" s="111"/>
      <c r="W41" s="180">
        <v>6</v>
      </c>
      <c r="X41" s="179" t="e">
        <f ca="1">_xll.cfyql_SimpleQuoteSetValue(F41,ROUND(W41/10000,6),Trigger)</f>
        <v>#NAME?</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2" t="s">
        <v>113</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1"/>
      <c r="L2" s="111"/>
      <c r="M2" s="111"/>
      <c r="N2" s="111"/>
      <c r="O2" s="118" t="str">
        <f>VLOOKUP(J1,AreaTable,2,FALSE)</f>
        <v>ICAP</v>
      </c>
      <c r="P2" s="111"/>
      <c r="Q2" s="111"/>
      <c r="R2" s="110"/>
      <c r="S2" s="110"/>
      <c r="T2" s="111"/>
      <c r="U2" s="111"/>
      <c r="V2" s="111"/>
      <c r="W2" s="111"/>
      <c r="X2" s="117" t="e">
        <f ca="1">_xll.ohTrigger(X5:X15)</f>
        <v>#NAME?</v>
      </c>
      <c r="Y2" s="36"/>
      <c r="AA2" s="1360" t="s">
        <v>529</v>
      </c>
      <c r="AB2" s="1363" t="e">
        <f ca="1">_xll.cfyql_Trigger('General Settings'!Trigger)</f>
        <v>#NAME?</v>
      </c>
    </row>
    <row r="3" spans="1:28" ht="11.25" customHeight="1" thickBot="1" x14ac:dyDescent="0.3">
      <c r="A3" s="12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t="e">
        <f ca="1">_xll.cfyql_Trigger(X5:X15)</f>
        <v>#NAME?</v>
      </c>
    </row>
    <row r="4" spans="1:28" s="99" customFormat="1" ht="21" customHeight="1" x14ac:dyDescent="0.25">
      <c r="A4" s="106"/>
      <c r="B4" s="52"/>
      <c r="C4" s="52"/>
      <c r="D4" s="52"/>
      <c r="E4" s="51" t="s">
        <v>91</v>
      </c>
      <c r="F4" s="51" t="s">
        <v>90</v>
      </c>
      <c r="G4" s="50" t="s">
        <v>59</v>
      </c>
      <c r="H4" s="100"/>
      <c r="J4" s="106"/>
      <c r="K4" s="145"/>
      <c r="L4" s="148"/>
      <c r="M4" s="145"/>
      <c r="N4" s="145"/>
      <c r="O4" s="147" t="e">
        <f ca="1">_xll.RData(O5:O15,P4:Q4,,ReutersRtMode,,P5)</f>
        <v>#NAME?</v>
      </c>
      <c r="P4" s="146" t="s">
        <v>84</v>
      </c>
      <c r="Q4" s="146" t="s">
        <v>83</v>
      </c>
      <c r="R4" s="103" t="s">
        <v>106</v>
      </c>
      <c r="S4" s="103" t="s">
        <v>79</v>
      </c>
      <c r="T4" s="178"/>
      <c r="U4" s="146" t="s">
        <v>78</v>
      </c>
      <c r="V4" s="178"/>
      <c r="W4" s="145" t="s">
        <v>77</v>
      </c>
      <c r="X4" s="145" t="s">
        <v>76</v>
      </c>
      <c r="Y4" s="100"/>
    </row>
    <row r="5" spans="1:28" ht="11.25" customHeight="1" x14ac:dyDescent="0.2">
      <c r="A5" s="134"/>
      <c r="B5" s="144"/>
      <c r="C5" s="143">
        <f t="shared" ref="C5:C15" si="0">L5</f>
        <v>2</v>
      </c>
      <c r="D5" s="49" t="str">
        <f t="shared" ref="D5:D15" si="1">M5</f>
        <v>X1S</v>
      </c>
      <c r="E5" s="47" t="str">
        <f t="shared" ref="E5:E15" si="2">Currency&amp;$C5&amp;$D5&amp;$B5&amp;QuoteSuffix</f>
        <v>EUR2X1S_Quote</v>
      </c>
      <c r="F5" s="47" t="e">
        <f ca="1">_xll.cfyql_SimpleQuote(Currency&amp;$C5&amp;$D5&amp;$B5&amp;QuoteSuffix,,RateTickValue,Permanent,Trigger,ObjectOverwrite)</f>
        <v>#NAME?</v>
      </c>
      <c r="G5" s="46" t="e">
        <f ca="1">_xll.ohRangeRetrieveError(F5)</f>
        <v>#NAME?</v>
      </c>
      <c r="H5" s="36"/>
      <c r="J5" s="134"/>
      <c r="K5" s="140"/>
      <c r="L5" s="140">
        <v>2</v>
      </c>
      <c r="M5" s="140" t="s">
        <v>112</v>
      </c>
      <c r="N5" s="139" t="str">
        <f t="shared" ref="N5:N15" si="3">Currency&amp;$L5&amp;$M5&amp;$K5</f>
        <v>EUR2X1S</v>
      </c>
      <c r="O5" s="139"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4"/>
      <c r="U5" s="138">
        <v>-0.11799999999999999</v>
      </c>
      <c r="V5" s="114"/>
      <c r="W5" s="78">
        <f t="array" ref="W5:W15">QuoteStatic</f>
        <v>-0.11799999999999999</v>
      </c>
      <c r="X5" s="137" t="e">
        <f ca="1">_xll.cfyql_SimpleQuoteSetValue(F5,W5/100,Trigger)</f>
        <v>#NAME?</v>
      </c>
      <c r="Y5" s="129"/>
    </row>
    <row r="6" spans="1:28" ht="11.25" customHeight="1" x14ac:dyDescent="0.2">
      <c r="A6" s="134"/>
      <c r="B6" s="142"/>
      <c r="C6" s="141">
        <f t="shared" si="0"/>
        <v>3</v>
      </c>
      <c r="D6" s="45" t="str">
        <f t="shared" si="1"/>
        <v>X1S</v>
      </c>
      <c r="E6" s="43" t="str">
        <f t="shared" si="2"/>
        <v>EUR3X1S_Quote</v>
      </c>
      <c r="F6" s="43" t="e">
        <f ca="1">_xll.cfyql_SimpleQuote(Currency&amp;$C6&amp;$D6&amp;$B6&amp;QuoteSuffix,,RateTickValue,Permanent,Trigger,ObjectOverwrite)</f>
        <v>#NAME?</v>
      </c>
      <c r="G6" s="42" t="e">
        <f ca="1">_xll.ohRangeRetrieveError(F6)</f>
        <v>#NAME?</v>
      </c>
      <c r="H6" s="36"/>
      <c r="J6" s="134"/>
      <c r="K6" s="140"/>
      <c r="L6" s="140">
        <v>3</v>
      </c>
      <c r="M6" s="140" t="s">
        <v>112</v>
      </c>
      <c r="N6" s="139" t="str">
        <f t="shared" si="3"/>
        <v>EUR3X1S</v>
      </c>
      <c r="O6" s="139" t="str">
        <v>EUR3X1S=ICAP</v>
      </c>
      <c r="P6" s="78">
        <v>-0.14299999999999999</v>
      </c>
      <c r="Q6" s="78">
        <v>-9.2999999999999999E-2</v>
      </c>
      <c r="R6" s="78">
        <f t="shared" si="4"/>
        <v>-0.11799999999999999</v>
      </c>
      <c r="S6" s="78">
        <f t="shared" si="5"/>
        <v>4.9999999999999989E-2</v>
      </c>
      <c r="T6" s="114"/>
      <c r="U6" s="138">
        <v>-0.11799999999999999</v>
      </c>
      <c r="V6" s="114"/>
      <c r="W6" s="78">
        <v>-0.11799999999999999</v>
      </c>
      <c r="X6" s="137" t="e">
        <f ca="1">_xll.cfyql_SimpleQuoteSetValue(F6,W6/100,Trigger)</f>
        <v>#NAME?</v>
      </c>
      <c r="Y6" s="129"/>
    </row>
    <row r="7" spans="1:28" ht="11.25" customHeight="1" x14ac:dyDescent="0.2">
      <c r="A7" s="134"/>
      <c r="B7" s="142"/>
      <c r="C7" s="141">
        <f t="shared" si="0"/>
        <v>4</v>
      </c>
      <c r="D7" s="45" t="str">
        <f t="shared" si="1"/>
        <v>X1S</v>
      </c>
      <c r="E7" s="43" t="str">
        <f t="shared" si="2"/>
        <v>EUR4X1S_Quote</v>
      </c>
      <c r="F7" s="43" t="e">
        <f ca="1">_xll.cfyql_SimpleQuote(Currency&amp;$C7&amp;$D7&amp;$B7&amp;QuoteSuffix,,RateTickValue,Permanent,Trigger,ObjectOverwrite)</f>
        <v>#NAME?</v>
      </c>
      <c r="G7" s="42" t="e">
        <f ca="1">_xll.ohRangeRetrieveError(F7)</f>
        <v>#NAME?</v>
      </c>
      <c r="H7" s="36"/>
      <c r="J7" s="134"/>
      <c r="K7" s="140"/>
      <c r="L7" s="140">
        <v>4</v>
      </c>
      <c r="M7" s="140" t="s">
        <v>112</v>
      </c>
      <c r="N7" s="139" t="str">
        <f t="shared" si="3"/>
        <v>EUR4X1S</v>
      </c>
      <c r="O7" s="139" t="str">
        <v>EUR4X1S=ICAP</v>
      </c>
      <c r="P7" s="78">
        <v>-0.14599999999999999</v>
      </c>
      <c r="Q7" s="78">
        <v>-9.6000000000000002E-2</v>
      </c>
      <c r="R7" s="78">
        <f t="shared" si="4"/>
        <v>-0.121</v>
      </c>
      <c r="S7" s="78">
        <f t="shared" si="5"/>
        <v>4.9999999999999989E-2</v>
      </c>
      <c r="T7" s="114"/>
      <c r="U7" s="138">
        <v>-0.121</v>
      </c>
      <c r="V7" s="114"/>
      <c r="W7" s="78">
        <v>-0.121</v>
      </c>
      <c r="X7" s="137" t="e">
        <f ca="1">_xll.cfyql_SimpleQuoteSetValue(F7,W7/100,Trigger)</f>
        <v>#NAME?</v>
      </c>
      <c r="Y7" s="129"/>
    </row>
    <row r="8" spans="1:28" ht="11.25" customHeight="1" x14ac:dyDescent="0.2">
      <c r="A8" s="134"/>
      <c r="B8" s="142"/>
      <c r="C8" s="141">
        <f t="shared" si="0"/>
        <v>5</v>
      </c>
      <c r="D8" s="45" t="str">
        <f t="shared" si="1"/>
        <v>X1S</v>
      </c>
      <c r="E8" s="43" t="str">
        <f t="shared" si="2"/>
        <v>EUR5X1S_Quote</v>
      </c>
      <c r="F8" s="43" t="e">
        <f ca="1">_xll.cfyql_SimpleQuote(Currency&amp;$C8&amp;$D8&amp;$B8&amp;QuoteSuffix,,RateTickValue,Permanent,Trigger,ObjectOverwrite)</f>
        <v>#NAME?</v>
      </c>
      <c r="G8" s="42" t="e">
        <f ca="1">_xll.ohRangeRetrieveError(F8)</f>
        <v>#NAME?</v>
      </c>
      <c r="H8" s="36"/>
      <c r="J8" s="134"/>
      <c r="K8" s="140"/>
      <c r="L8" s="140">
        <v>5</v>
      </c>
      <c r="M8" s="140" t="s">
        <v>112</v>
      </c>
      <c r="N8" s="139" t="str">
        <f t="shared" si="3"/>
        <v>EUR5X1S</v>
      </c>
      <c r="O8" s="139" t="str">
        <v>EUR5X1S=ICAP</v>
      </c>
      <c r="P8" s="78">
        <v>-0.14799999999999999</v>
      </c>
      <c r="Q8" s="78">
        <v>-9.8000000000000004E-2</v>
      </c>
      <c r="R8" s="78">
        <f t="shared" si="4"/>
        <v>-0.123</v>
      </c>
      <c r="S8" s="78">
        <f t="shared" si="5"/>
        <v>4.9999999999999989E-2</v>
      </c>
      <c r="T8" s="114"/>
      <c r="U8" s="138">
        <v>-0.123</v>
      </c>
      <c r="V8" s="114"/>
      <c r="W8" s="78">
        <v>-0.123</v>
      </c>
      <c r="X8" s="137" t="e">
        <f ca="1">_xll.cfyql_SimpleQuoteSetValue(F8,W8/100,Trigger)</f>
        <v>#NAME?</v>
      </c>
      <c r="Y8" s="129"/>
    </row>
    <row r="9" spans="1:28" ht="11.25" customHeight="1" x14ac:dyDescent="0.2">
      <c r="A9" s="134"/>
      <c r="B9" s="142"/>
      <c r="C9" s="141">
        <f t="shared" si="0"/>
        <v>6</v>
      </c>
      <c r="D9" s="45" t="str">
        <f t="shared" si="1"/>
        <v>X1S</v>
      </c>
      <c r="E9" s="43" t="str">
        <f t="shared" si="2"/>
        <v>EUR6X1S_Quote</v>
      </c>
      <c r="F9" s="43" t="e">
        <f ca="1">_xll.cfyql_SimpleQuote(Currency&amp;$C9&amp;$D9&amp;$B9&amp;QuoteSuffix,,RateTickValue,Permanent,Trigger,ObjectOverwrite)</f>
        <v>#NAME?</v>
      </c>
      <c r="G9" s="42" t="e">
        <f ca="1">_xll.ohRangeRetrieveError(F9)</f>
        <v>#NAME?</v>
      </c>
      <c r="H9" s="36"/>
      <c r="J9" s="134"/>
      <c r="K9" s="140"/>
      <c r="L9" s="140">
        <v>6</v>
      </c>
      <c r="M9" s="140" t="s">
        <v>112</v>
      </c>
      <c r="N9" s="139" t="str">
        <f t="shared" si="3"/>
        <v>EUR6X1S</v>
      </c>
      <c r="O9" s="139" t="str">
        <v>EUR6X1S=ICAP</v>
      </c>
      <c r="P9" s="78">
        <v>-0.14899999999999999</v>
      </c>
      <c r="Q9" s="78">
        <v>-9.9000000000000005E-2</v>
      </c>
      <c r="R9" s="78">
        <f t="shared" si="4"/>
        <v>-0.124</v>
      </c>
      <c r="S9" s="78">
        <f t="shared" si="5"/>
        <v>4.9999999999999989E-2</v>
      </c>
      <c r="T9" s="114"/>
      <c r="U9" s="138">
        <v>-0.124</v>
      </c>
      <c r="V9" s="114"/>
      <c r="W9" s="78">
        <v>-0.124</v>
      </c>
      <c r="X9" s="137" t="e">
        <f ca="1">_xll.cfyql_SimpleQuoteSetValue(F9,W9/100,Trigger)</f>
        <v>#NAME?</v>
      </c>
      <c r="Y9" s="129"/>
    </row>
    <row r="10" spans="1:28" ht="11.25" customHeight="1" x14ac:dyDescent="0.2">
      <c r="A10" s="134"/>
      <c r="B10" s="142"/>
      <c r="C10" s="141">
        <f t="shared" si="0"/>
        <v>7</v>
      </c>
      <c r="D10" s="45" t="str">
        <f t="shared" si="1"/>
        <v>X1S</v>
      </c>
      <c r="E10" s="43" t="str">
        <f t="shared" si="2"/>
        <v>EUR7X1S_Quote</v>
      </c>
      <c r="F10" s="43" t="e">
        <f ca="1">_xll.cfyql_SimpleQuote(Currency&amp;$C10&amp;$D10&amp;$B10&amp;QuoteSuffix,,RateTickValue,Permanent,Trigger,ObjectOverwrite)</f>
        <v>#NAME?</v>
      </c>
      <c r="G10" s="42" t="e">
        <f ca="1">_xll.ohRangeRetrieveError(F10)</f>
        <v>#NAME?</v>
      </c>
      <c r="H10" s="36"/>
      <c r="J10" s="134"/>
      <c r="K10" s="140"/>
      <c r="L10" s="140">
        <v>7</v>
      </c>
      <c r="M10" s="140" t="s">
        <v>112</v>
      </c>
      <c r="N10" s="139" t="str">
        <f t="shared" si="3"/>
        <v>EUR7X1S</v>
      </c>
      <c r="O10" s="139" t="str">
        <v>EUR7X1S=ICAP</v>
      </c>
      <c r="P10" s="78">
        <v>-0.15</v>
      </c>
      <c r="Q10" s="78">
        <v>-0.1</v>
      </c>
      <c r="R10" s="78">
        <f t="shared" si="4"/>
        <v>-0.125</v>
      </c>
      <c r="S10" s="78">
        <f t="shared" si="5"/>
        <v>4.9999999999999989E-2</v>
      </c>
      <c r="T10" s="114"/>
      <c r="U10" s="138">
        <v>-0.125</v>
      </c>
      <c r="V10" s="114"/>
      <c r="W10" s="78">
        <v>-0.125</v>
      </c>
      <c r="X10" s="137" t="e">
        <f ca="1">_xll.cfyql_SimpleQuoteSetValue(F10,W10/100,Trigger)</f>
        <v>#NAME?</v>
      </c>
      <c r="Y10" s="129"/>
    </row>
    <row r="11" spans="1:28" ht="11.25" customHeight="1" x14ac:dyDescent="0.2">
      <c r="A11" s="134"/>
      <c r="B11" s="142"/>
      <c r="C11" s="141">
        <f t="shared" si="0"/>
        <v>8</v>
      </c>
      <c r="D11" s="45" t="str">
        <f t="shared" si="1"/>
        <v>X1S</v>
      </c>
      <c r="E11" s="43" t="str">
        <f t="shared" si="2"/>
        <v>EUR8X1S_Quote</v>
      </c>
      <c r="F11" s="43" t="e">
        <f ca="1">_xll.cfyql_SimpleQuote(Currency&amp;$C11&amp;$D11&amp;$B11&amp;QuoteSuffix,,RateTickValue,Permanent,Trigger,ObjectOverwrite)</f>
        <v>#NAME?</v>
      </c>
      <c r="G11" s="42" t="e">
        <f ca="1">_xll.ohRangeRetrieveError(F11)</f>
        <v>#NAME?</v>
      </c>
      <c r="H11" s="36"/>
      <c r="J11" s="134"/>
      <c r="K11" s="140"/>
      <c r="L11" s="140">
        <v>8</v>
      </c>
      <c r="M11" s="140" t="s">
        <v>112</v>
      </c>
      <c r="N11" s="139" t="str">
        <f t="shared" si="3"/>
        <v>EUR8X1S</v>
      </c>
      <c r="O11" s="139" t="str">
        <v>EUR8X1S=ICAP</v>
      </c>
      <c r="P11" s="78">
        <v>-0.153</v>
      </c>
      <c r="Q11" s="78">
        <v>-0.10300000000000001</v>
      </c>
      <c r="R11" s="78">
        <f t="shared" si="4"/>
        <v>-0.128</v>
      </c>
      <c r="S11" s="78">
        <f t="shared" si="5"/>
        <v>4.9999999999999989E-2</v>
      </c>
      <c r="T11" s="114"/>
      <c r="U11" s="138">
        <v>-0.128</v>
      </c>
      <c r="V11" s="114"/>
      <c r="W11" s="78">
        <v>-0.128</v>
      </c>
      <c r="X11" s="137" t="e">
        <f ca="1">_xll.cfyql_SimpleQuoteSetValue(F11,W11/100,Trigger)</f>
        <v>#NAME?</v>
      </c>
      <c r="Y11" s="129"/>
    </row>
    <row r="12" spans="1:28" ht="11.25" customHeight="1" x14ac:dyDescent="0.2">
      <c r="A12" s="134"/>
      <c r="B12" s="142"/>
      <c r="C12" s="141">
        <f t="shared" si="0"/>
        <v>9</v>
      </c>
      <c r="D12" s="45" t="str">
        <f t="shared" si="1"/>
        <v>X1S</v>
      </c>
      <c r="E12" s="43" t="str">
        <f t="shared" si="2"/>
        <v>EUR9X1S_Quote</v>
      </c>
      <c r="F12" s="43" t="e">
        <f ca="1">_xll.cfyql_SimpleQuote(Currency&amp;$C12&amp;$D12&amp;$B12&amp;QuoteSuffix,,RateTickValue,Permanent,Trigger,ObjectOverwrite)</f>
        <v>#NAME?</v>
      </c>
      <c r="G12" s="42" t="e">
        <f ca="1">_xll.ohRangeRetrieveError(F12)</f>
        <v>#NAME?</v>
      </c>
      <c r="H12" s="36"/>
      <c r="J12" s="134"/>
      <c r="K12" s="140"/>
      <c r="L12" s="140">
        <v>9</v>
      </c>
      <c r="M12" s="140" t="s">
        <v>112</v>
      </c>
      <c r="N12" s="139" t="str">
        <f t="shared" si="3"/>
        <v>EUR9X1S</v>
      </c>
      <c r="O12" s="139" t="str">
        <v>EUR9X1S=ICAP</v>
      </c>
      <c r="P12" s="78">
        <v>-0.156</v>
      </c>
      <c r="Q12" s="78">
        <v>-0.10600000000000001</v>
      </c>
      <c r="R12" s="78">
        <f t="shared" si="4"/>
        <v>-0.13100000000000001</v>
      </c>
      <c r="S12" s="78">
        <f t="shared" si="5"/>
        <v>4.9999999999999989E-2</v>
      </c>
      <c r="T12" s="114"/>
      <c r="U12" s="138">
        <v>-0.13100000000000001</v>
      </c>
      <c r="V12" s="114"/>
      <c r="W12" s="78">
        <v>-0.13100000000000001</v>
      </c>
      <c r="X12" s="137" t="e">
        <f ca="1">_xll.cfyql_SimpleQuoteSetValue(F12,W12/100,Trigger)</f>
        <v>#NAME?</v>
      </c>
      <c r="Y12" s="129"/>
    </row>
    <row r="13" spans="1:28" ht="11.25" customHeight="1" x14ac:dyDescent="0.2">
      <c r="A13" s="134"/>
      <c r="B13" s="142"/>
      <c r="C13" s="141">
        <f t="shared" si="0"/>
        <v>10</v>
      </c>
      <c r="D13" s="45" t="str">
        <f t="shared" si="1"/>
        <v>X1S</v>
      </c>
      <c r="E13" s="43" t="str">
        <f t="shared" si="2"/>
        <v>EUR10X1S_Quote</v>
      </c>
      <c r="F13" s="43" t="e">
        <f ca="1">_xll.cfyql_SimpleQuote(Currency&amp;$C13&amp;$D13&amp;$B13&amp;QuoteSuffix,,RateTickValue,Permanent,Trigger,ObjectOverwrite)</f>
        <v>#NAME?</v>
      </c>
      <c r="G13" s="42" t="e">
        <f ca="1">_xll.ohRangeRetrieveError(F13)</f>
        <v>#NAME?</v>
      </c>
      <c r="H13" s="36"/>
      <c r="J13" s="134"/>
      <c r="K13" s="140"/>
      <c r="L13" s="140">
        <v>10</v>
      </c>
      <c r="M13" s="140" t="s">
        <v>112</v>
      </c>
      <c r="N13" s="139" t="str">
        <f t="shared" si="3"/>
        <v>EUR10X1S</v>
      </c>
      <c r="O13" s="139" t="str">
        <v>EUR10X1S=ICAP</v>
      </c>
      <c r="P13" s="78">
        <v>-0.158</v>
      </c>
      <c r="Q13" s="78">
        <v>-0.10800000000000001</v>
      </c>
      <c r="R13" s="78">
        <f t="shared" si="4"/>
        <v>-0.13300000000000001</v>
      </c>
      <c r="S13" s="78">
        <f t="shared" si="5"/>
        <v>4.9999999999999989E-2</v>
      </c>
      <c r="T13" s="114"/>
      <c r="U13" s="138">
        <v>-0.13300000000000001</v>
      </c>
      <c r="V13" s="114"/>
      <c r="W13" s="78">
        <v>-0.13300000000000001</v>
      </c>
      <c r="X13" s="137" t="e">
        <f ca="1">_xll.cfyql_SimpleQuoteSetValue(F13,W13/100,Trigger)</f>
        <v>#NAME?</v>
      </c>
      <c r="Y13" s="129"/>
    </row>
    <row r="14" spans="1:28" ht="11.25" customHeight="1" x14ac:dyDescent="0.2">
      <c r="A14" s="134"/>
      <c r="B14" s="142"/>
      <c r="C14" s="141">
        <f t="shared" si="0"/>
        <v>11</v>
      </c>
      <c r="D14" s="45" t="str">
        <f t="shared" si="1"/>
        <v>X1S</v>
      </c>
      <c r="E14" s="43" t="str">
        <f t="shared" si="2"/>
        <v>EUR11X1S_Quote</v>
      </c>
      <c r="F14" s="43" t="e">
        <f ca="1">_xll.cfyql_SimpleQuote(Currency&amp;$C14&amp;$D14&amp;$B14&amp;QuoteSuffix,,RateTickValue,Permanent,Trigger,ObjectOverwrite)</f>
        <v>#NAME?</v>
      </c>
      <c r="G14" s="42" t="e">
        <f ca="1">_xll.ohRangeRetrieveError(F14)</f>
        <v>#NAME?</v>
      </c>
      <c r="H14" s="36"/>
      <c r="J14" s="134"/>
      <c r="K14" s="140"/>
      <c r="L14" s="140">
        <v>11</v>
      </c>
      <c r="M14" s="140" t="s">
        <v>112</v>
      </c>
      <c r="N14" s="139" t="str">
        <f t="shared" si="3"/>
        <v>EUR11X1S</v>
      </c>
      <c r="O14" s="139" t="str">
        <v>EUR11X1S=ICAP</v>
      </c>
      <c r="P14" s="78">
        <v>-0.16</v>
      </c>
      <c r="Q14" s="78">
        <v>-0.11000000000000001</v>
      </c>
      <c r="R14" s="78">
        <f t="shared" si="4"/>
        <v>-0.13500000000000001</v>
      </c>
      <c r="S14" s="78">
        <f t="shared" si="5"/>
        <v>4.9999999999999989E-2</v>
      </c>
      <c r="T14" s="114"/>
      <c r="U14" s="138">
        <v>-0.13500000000000001</v>
      </c>
      <c r="V14" s="114"/>
      <c r="W14" s="78">
        <v>-0.13500000000000001</v>
      </c>
      <c r="X14" s="137" t="e">
        <f ca="1">_xll.cfyql_SimpleQuoteSetValue(F14,W14/100,Trigger)</f>
        <v>#NAME?</v>
      </c>
      <c r="Y14" s="129"/>
    </row>
    <row r="15" spans="1:28" ht="11.25" customHeight="1" x14ac:dyDescent="0.2">
      <c r="A15" s="134"/>
      <c r="B15" s="136"/>
      <c r="C15" s="135">
        <f t="shared" si="0"/>
        <v>12</v>
      </c>
      <c r="D15" s="40" t="str">
        <f t="shared" si="1"/>
        <v>X1S</v>
      </c>
      <c r="E15" s="38" t="str">
        <f t="shared" si="2"/>
        <v>EUR12X1S_Quote</v>
      </c>
      <c r="F15" s="38" t="e">
        <f ca="1">_xll.cfyql_SimpleQuote(Currency&amp;$C15&amp;$D15&amp;$B15&amp;QuoteSuffix,,RateTickValue,Permanent,Trigger,ObjectOverwrite)</f>
        <v>#NAME?</v>
      </c>
      <c r="G15" s="37" t="e">
        <f ca="1">_xll.ohRangeRetrieveError(F15)</f>
        <v>#NAME?</v>
      </c>
      <c r="H15" s="36"/>
      <c r="J15" s="134"/>
      <c r="K15" s="133"/>
      <c r="L15" s="133">
        <v>12</v>
      </c>
      <c r="M15" s="133" t="s">
        <v>112</v>
      </c>
      <c r="N15" s="132" t="str">
        <f t="shared" si="3"/>
        <v>EUR12X1S</v>
      </c>
      <c r="O15" s="132" t="str">
        <v>EUR12X1S=ICAP</v>
      </c>
      <c r="P15" s="65">
        <v>-0.16099999999999998</v>
      </c>
      <c r="Q15" s="65">
        <v>-0.11100000000000002</v>
      </c>
      <c r="R15" s="65">
        <f t="shared" si="4"/>
        <v>-0.13600000000000001</v>
      </c>
      <c r="S15" s="65">
        <f t="shared" si="5"/>
        <v>4.9999999999999933E-2</v>
      </c>
      <c r="T15" s="114"/>
      <c r="U15" s="131">
        <v>-0.13600000000000001</v>
      </c>
      <c r="V15" s="114"/>
      <c r="W15" s="65">
        <v>-0.13600000000000001</v>
      </c>
      <c r="X15" s="130" t="e">
        <f ca="1">_xll.cfyql_SimpleQuoteSetValue(F15,W15/100,Trigger)</f>
        <v>#NAME?</v>
      </c>
      <c r="Y15" s="129"/>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8"/>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111</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t="e">
        <f ca="1">_xll.cfyql_Trigger('General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1E</v>
      </c>
      <c r="E5" s="43" t="str">
        <f t="shared" ref="E5:E41" si="3">Currency&amp;$C5&amp;$D5&amp;$B5&amp;QuoteSuffix</f>
        <v>EURAB1E1Y_Quote</v>
      </c>
      <c r="F5" s="43" t="e">
        <f ca="1">_xll.cfyql_SimpleQuote(Currency&amp;$C5&amp;$D5&amp;$B5&amp;QuoteSuffix,,RateTickValue,Permanent,Trigger,ObjectOverwrite)</f>
        <v>#NAME?</v>
      </c>
      <c r="G5" s="42" t="e">
        <f ca="1">_xll.ohRangeRetrieveError(F5)</f>
        <v>#NAME?</v>
      </c>
      <c r="H5" s="36"/>
      <c r="J5" s="134"/>
      <c r="K5" s="140" t="s">
        <v>58</v>
      </c>
      <c r="L5" s="140" t="s">
        <v>21</v>
      </c>
      <c r="M5" s="140" t="s">
        <v>71</v>
      </c>
      <c r="N5" s="139" t="str">
        <f t="shared" ref="N5:N41" si="4">Currency&amp;$L5&amp;$M5&amp;$K5</f>
        <v>EURAB1E1Y</v>
      </c>
      <c r="O5" s="139"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4"/>
      <c r="U5" s="138">
        <v>-0.13900000000000001</v>
      </c>
      <c r="V5" s="114"/>
      <c r="W5" s="78">
        <f t="array" ref="W5:W41">QuoteStatic</f>
        <v>-0.13900000000000001</v>
      </c>
      <c r="X5" s="137" t="e">
        <f ca="1">_xll.cfyql_SimpleQuoteSetValue(F5,W5/100,Trigger)</f>
        <v>#NAME?</v>
      </c>
      <c r="Y5" s="129"/>
    </row>
    <row r="6" spans="1:28" ht="11.25" customHeight="1" x14ac:dyDescent="0.2">
      <c r="A6" s="134"/>
      <c r="B6" s="142" t="str">
        <f t="shared" si="0"/>
        <v>15M</v>
      </c>
      <c r="C6" s="141" t="str">
        <f t="shared" si="1"/>
        <v>AB</v>
      </c>
      <c r="D6" s="45" t="str">
        <f t="shared" si="2"/>
        <v>1E</v>
      </c>
      <c r="E6" s="43" t="str">
        <f t="shared" si="3"/>
        <v>EURAB1E15M_Quote</v>
      </c>
      <c r="F6" s="43" t="e">
        <f ca="1">_xll.cfyql_SimpleQuote(Currency&amp;$C6&amp;$D6&amp;$B6&amp;QuoteSuffix,,RateTickValue,Permanent,Trigger,ObjectOverwrite)</f>
        <v>#NAME?</v>
      </c>
      <c r="G6" s="42" t="e">
        <f ca="1">_xll.ohRangeRetrieveError(F6)</f>
        <v>#NAME?</v>
      </c>
      <c r="H6" s="36"/>
      <c r="J6" s="134"/>
      <c r="K6" s="140" t="s">
        <v>57</v>
      </c>
      <c r="L6" s="140" t="s">
        <v>21</v>
      </c>
      <c r="M6" s="140" t="s">
        <v>71</v>
      </c>
      <c r="N6" s="139" t="str">
        <f t="shared" si="4"/>
        <v>EURAB1E15M</v>
      </c>
      <c r="O6" s="139" t="str">
        <v>EURAB1E15M=ICAP</v>
      </c>
      <c r="P6" s="78" t="s">
        <v>109</v>
      </c>
      <c r="Q6" s="78" t="s">
        <v>109</v>
      </c>
      <c r="R6" s="78" t="e">
        <f t="shared" si="5"/>
        <v>#NUM!</v>
      </c>
      <c r="S6" s="78" t="e">
        <f t="shared" si="6"/>
        <v>#NUM!</v>
      </c>
      <c r="T6" s="114"/>
      <c r="U6" s="138" t="e">
        <v>#NUM!</v>
      </c>
      <c r="V6" s="114"/>
      <c r="W6" s="78" t="e">
        <v>#NUM!</v>
      </c>
      <c r="X6" s="137" t="e">
        <f ca="1">_xll.cfyql_SimpleQuoteSetValue(F6,W6/100,Trigger)</f>
        <v>#NAME?</v>
      </c>
      <c r="Y6" s="129"/>
    </row>
    <row r="7" spans="1:28" ht="11.25" customHeight="1" x14ac:dyDescent="0.2">
      <c r="A7" s="134"/>
      <c r="B7" s="142" t="str">
        <f t="shared" si="0"/>
        <v>18M</v>
      </c>
      <c r="C7" s="141" t="str">
        <f t="shared" si="1"/>
        <v>AB</v>
      </c>
      <c r="D7" s="45" t="str">
        <f t="shared" si="2"/>
        <v>1E</v>
      </c>
      <c r="E7" s="43" t="str">
        <f t="shared" si="3"/>
        <v>EURAB1E18M_Quote</v>
      </c>
      <c r="F7" s="43" t="e">
        <f ca="1">_xll.cfyql_SimpleQuote(Currency&amp;$C7&amp;$D7&amp;$B7&amp;QuoteSuffix,,RateTickValue,Permanent,Trigger,ObjectOverwrite)</f>
        <v>#NAME?</v>
      </c>
      <c r="G7" s="42" t="e">
        <f ca="1">_xll.ohRangeRetrieveError(F7)</f>
        <v>#NAME?</v>
      </c>
      <c r="H7" s="36"/>
      <c r="J7" s="134"/>
      <c r="K7" s="140" t="s">
        <v>56</v>
      </c>
      <c r="L7" s="140" t="s">
        <v>21</v>
      </c>
      <c r="M7" s="140" t="s">
        <v>71</v>
      </c>
      <c r="N7" s="139" t="str">
        <f t="shared" si="4"/>
        <v>EURAB1E18M</v>
      </c>
      <c r="O7" s="139" t="str">
        <v>EURAB1E18M=ICAP</v>
      </c>
      <c r="P7" s="78" t="s">
        <v>109</v>
      </c>
      <c r="Q7" s="78" t="s">
        <v>109</v>
      </c>
      <c r="R7" s="78" t="e">
        <f t="shared" si="5"/>
        <v>#NUM!</v>
      </c>
      <c r="S7" s="78" t="e">
        <f t="shared" si="6"/>
        <v>#NUM!</v>
      </c>
      <c r="T7" s="114"/>
      <c r="U7" s="138" t="e">
        <v>#NUM!</v>
      </c>
      <c r="V7" s="114"/>
      <c r="W7" s="78" t="e">
        <v>#NUM!</v>
      </c>
      <c r="X7" s="137" t="e">
        <f ca="1">_xll.cfyql_SimpleQuoteSetValue(F7,W7/100,Trigger)</f>
        <v>#NAME?</v>
      </c>
      <c r="Y7" s="129"/>
    </row>
    <row r="8" spans="1:28" ht="11.25" customHeight="1" x14ac:dyDescent="0.2">
      <c r="A8" s="134"/>
      <c r="B8" s="142" t="str">
        <f t="shared" si="0"/>
        <v>21M</v>
      </c>
      <c r="C8" s="141" t="str">
        <f t="shared" si="1"/>
        <v>AB</v>
      </c>
      <c r="D8" s="45" t="str">
        <f t="shared" si="2"/>
        <v>1E</v>
      </c>
      <c r="E8" s="43" t="str">
        <f t="shared" si="3"/>
        <v>EURAB1E21M_Quote</v>
      </c>
      <c r="F8" s="43" t="e">
        <f ca="1">_xll.cfyql_SimpleQuote(Currency&amp;$C8&amp;$D8&amp;$B8&amp;QuoteSuffix,,RateTickValue,Permanent,Trigger,ObjectOverwrite)</f>
        <v>#NAME?</v>
      </c>
      <c r="G8" s="42" t="e">
        <f ca="1">_xll.ohRangeRetrieveError(F8)</f>
        <v>#NAME?</v>
      </c>
      <c r="H8" s="36"/>
      <c r="J8" s="134"/>
      <c r="K8" s="140" t="s">
        <v>55</v>
      </c>
      <c r="L8" s="140" t="s">
        <v>21</v>
      </c>
      <c r="M8" s="140" t="s">
        <v>71</v>
      </c>
      <c r="N8" s="139" t="str">
        <f t="shared" si="4"/>
        <v>EURAB1E21M</v>
      </c>
      <c r="O8" s="139" t="str">
        <v>EURAB1E21M=ICAP</v>
      </c>
      <c r="P8" s="78" t="s">
        <v>109</v>
      </c>
      <c r="Q8" s="78" t="s">
        <v>109</v>
      </c>
      <c r="R8" s="78" t="e">
        <f t="shared" si="5"/>
        <v>#NUM!</v>
      </c>
      <c r="S8" s="78" t="e">
        <f t="shared" si="6"/>
        <v>#NUM!</v>
      </c>
      <c r="T8" s="114"/>
      <c r="U8" s="138" t="e">
        <v>#NUM!</v>
      </c>
      <c r="V8" s="114"/>
      <c r="W8" s="78" t="e">
        <v>#NUM!</v>
      </c>
      <c r="X8" s="137" t="e">
        <f ca="1">_xll.cfyql_SimpleQuoteSetValue(F8,W8/100,Trigger)</f>
        <v>#NAME?</v>
      </c>
      <c r="Y8" s="129"/>
    </row>
    <row r="9" spans="1:28" ht="11.25" customHeight="1" x14ac:dyDescent="0.2">
      <c r="A9" s="134"/>
      <c r="B9" s="142" t="str">
        <f t="shared" si="0"/>
        <v>2Y</v>
      </c>
      <c r="C9" s="141" t="str">
        <f t="shared" si="1"/>
        <v>AB</v>
      </c>
      <c r="D9" s="45" t="str">
        <f t="shared" si="2"/>
        <v>1E</v>
      </c>
      <c r="E9" s="43" t="str">
        <f t="shared" si="3"/>
        <v>EURAB1E2Y_Quote</v>
      </c>
      <c r="F9" s="43" t="e">
        <f ca="1">_xll.cfyql_SimpleQuote(Currency&amp;$C9&amp;$D9&amp;$B9&amp;QuoteSuffix,,RateTickValue,Permanent,Trigger,ObjectOverwrite)</f>
        <v>#NAME?</v>
      </c>
      <c r="G9" s="42" t="e">
        <f ca="1">_xll.ohRangeRetrieveError(F9)</f>
        <v>#NAME?</v>
      </c>
      <c r="H9" s="36"/>
      <c r="J9" s="134"/>
      <c r="K9" s="140" t="s">
        <v>54</v>
      </c>
      <c r="L9" s="140" t="s">
        <v>21</v>
      </c>
      <c r="M9" s="140" t="s">
        <v>71</v>
      </c>
      <c r="N9" s="139" t="str">
        <f t="shared" si="4"/>
        <v>EURAB1E2Y</v>
      </c>
      <c r="O9" s="139" t="str">
        <v>EURAB1E2Y=ICAP</v>
      </c>
      <c r="P9" s="78">
        <v>-0.16400000000000001</v>
      </c>
      <c r="Q9" s="78">
        <v>-9.4E-2</v>
      </c>
      <c r="R9" s="78">
        <f t="shared" si="5"/>
        <v>-0.129</v>
      </c>
      <c r="S9" s="78">
        <f t="shared" si="6"/>
        <v>7.0000000000000007E-2</v>
      </c>
      <c r="T9" s="114"/>
      <c r="U9" s="138">
        <v>-0.129</v>
      </c>
      <c r="V9" s="114"/>
      <c r="W9" s="78">
        <v>-0.129</v>
      </c>
      <c r="X9" s="137" t="e">
        <f ca="1">_xll.cfyql_SimpleQuoteSetValue(F9,W9/100,Trigger)</f>
        <v>#NAME?</v>
      </c>
      <c r="Y9" s="129"/>
    </row>
    <row r="10" spans="1:28" ht="11.25" customHeight="1" x14ac:dyDescent="0.2">
      <c r="A10" s="134"/>
      <c r="B10" s="142" t="str">
        <f t="shared" si="0"/>
        <v>3Y</v>
      </c>
      <c r="C10" s="141" t="str">
        <f t="shared" si="1"/>
        <v>AB</v>
      </c>
      <c r="D10" s="45" t="str">
        <f t="shared" si="2"/>
        <v>1E</v>
      </c>
      <c r="E10" s="43" t="str">
        <f t="shared" si="3"/>
        <v>EURAB1E3Y_Quote</v>
      </c>
      <c r="F10" s="43" t="e">
        <f ca="1">_xll.cfyql_SimpleQuote(Currency&amp;$C10&amp;$D10&amp;$B10&amp;QuoteSuffix,,RateTickValue,Permanent,Trigger,ObjectOverwrite)</f>
        <v>#NAME?</v>
      </c>
      <c r="G10" s="42" t="e">
        <f ca="1">_xll.ohRangeRetrieveError(F10)</f>
        <v>#NAME?</v>
      </c>
      <c r="H10" s="36"/>
      <c r="J10" s="134"/>
      <c r="K10" s="140" t="s">
        <v>53</v>
      </c>
      <c r="L10" s="140" t="s">
        <v>21</v>
      </c>
      <c r="M10" s="140" t="s">
        <v>71</v>
      </c>
      <c r="N10" s="139" t="str">
        <f t="shared" si="4"/>
        <v>EURAB1E3Y</v>
      </c>
      <c r="O10" s="139" t="str">
        <v>EURAB1E3Y=ICAP</v>
      </c>
      <c r="P10" s="78">
        <v>-0.10800000000000001</v>
      </c>
      <c r="Q10" s="78">
        <v>-3.7999999999999999E-2</v>
      </c>
      <c r="R10" s="78">
        <f t="shared" si="5"/>
        <v>-7.3000000000000009E-2</v>
      </c>
      <c r="S10" s="78">
        <f t="shared" si="6"/>
        <v>7.0000000000000007E-2</v>
      </c>
      <c r="T10" s="114"/>
      <c r="U10" s="138">
        <v>-7.3000000000000009E-2</v>
      </c>
      <c r="V10" s="114"/>
      <c r="W10" s="78">
        <v>-7.3000000000000009E-2</v>
      </c>
      <c r="X10" s="137" t="e">
        <f ca="1">_xll.cfyql_SimpleQuoteSetValue(F10,W10/100,Trigger)</f>
        <v>#NAME?</v>
      </c>
      <c r="Y10" s="129"/>
    </row>
    <row r="11" spans="1:28" ht="11.25" customHeight="1" x14ac:dyDescent="0.2">
      <c r="A11" s="134"/>
      <c r="B11" s="142" t="str">
        <f t="shared" si="0"/>
        <v>4Y</v>
      </c>
      <c r="C11" s="141" t="str">
        <f t="shared" si="1"/>
        <v>AB</v>
      </c>
      <c r="D11" s="45" t="str">
        <f t="shared" si="2"/>
        <v>1E</v>
      </c>
      <c r="E11" s="43" t="str">
        <f t="shared" si="3"/>
        <v>EURAB1E4Y_Quote</v>
      </c>
      <c r="F11" s="43" t="e">
        <f ca="1">_xll.cfyql_SimpleQuote(Currency&amp;$C11&amp;$D11&amp;$B11&amp;QuoteSuffix,,RateTickValue,Permanent,Trigger,ObjectOverwrite)</f>
        <v>#NAME?</v>
      </c>
      <c r="G11" s="42" t="e">
        <f ca="1">_xll.ohRangeRetrieveError(F11)</f>
        <v>#NAME?</v>
      </c>
      <c r="H11" s="36"/>
      <c r="J11" s="134"/>
      <c r="K11" s="140" t="s">
        <v>52</v>
      </c>
      <c r="L11" s="140" t="s">
        <v>21</v>
      </c>
      <c r="M11" s="140" t="s">
        <v>71</v>
      </c>
      <c r="N11" s="139" t="str">
        <f t="shared" si="4"/>
        <v>EURAB1E4Y</v>
      </c>
      <c r="O11" s="139" t="str">
        <v>EURAB1E4Y=ICAP</v>
      </c>
      <c r="P11" s="78">
        <v>-1.3999999999999999E-2</v>
      </c>
      <c r="Q11" s="78">
        <v>5.5999999999999994E-2</v>
      </c>
      <c r="R11" s="78">
        <f t="shared" si="5"/>
        <v>2.0999999999999998E-2</v>
      </c>
      <c r="S11" s="78">
        <f t="shared" si="6"/>
        <v>6.9999999999999993E-2</v>
      </c>
      <c r="T11" s="114"/>
      <c r="U11" s="138">
        <v>2.0999999999999998E-2</v>
      </c>
      <c r="V11" s="114"/>
      <c r="W11" s="78">
        <v>2.0999999999999998E-2</v>
      </c>
      <c r="X11" s="137" t="e">
        <f ca="1">_xll.cfyql_SimpleQuoteSetValue(F11,W11/100,Trigger)</f>
        <v>#NAME?</v>
      </c>
      <c r="Y11" s="129"/>
    </row>
    <row r="12" spans="1:28" ht="11.25" customHeight="1" x14ac:dyDescent="0.2">
      <c r="A12" s="134"/>
      <c r="B12" s="142" t="str">
        <f t="shared" si="0"/>
        <v>5Y</v>
      </c>
      <c r="C12" s="141" t="str">
        <f t="shared" si="1"/>
        <v>AB</v>
      </c>
      <c r="D12" s="45" t="str">
        <f t="shared" si="2"/>
        <v>1E</v>
      </c>
      <c r="E12" s="43" t="str">
        <f t="shared" si="3"/>
        <v>EURAB1E5Y_Quote</v>
      </c>
      <c r="F12" s="43" t="e">
        <f ca="1">_xll.cfyql_SimpleQuote(Currency&amp;$C12&amp;$D12&amp;$B12&amp;QuoteSuffix,,RateTickValue,Permanent,Trigger,ObjectOverwrite)</f>
        <v>#NAME?</v>
      </c>
      <c r="G12" s="42" t="e">
        <f ca="1">_xll.ohRangeRetrieveError(F12)</f>
        <v>#NAME?</v>
      </c>
      <c r="H12" s="36"/>
      <c r="J12" s="134"/>
      <c r="K12" s="140" t="s">
        <v>51</v>
      </c>
      <c r="L12" s="140" t="s">
        <v>21</v>
      </c>
      <c r="M12" s="140" t="s">
        <v>71</v>
      </c>
      <c r="N12" s="139" t="str">
        <f t="shared" si="4"/>
        <v>EURAB1E5Y</v>
      </c>
      <c r="O12" s="139" t="str">
        <v>EURAB1E5Y=ICAP</v>
      </c>
      <c r="P12" s="78">
        <v>0.10100000000000001</v>
      </c>
      <c r="Q12" s="78">
        <v>0.17099999999999999</v>
      </c>
      <c r="R12" s="78">
        <f t="shared" si="5"/>
        <v>0.13600000000000001</v>
      </c>
      <c r="S12" s="78">
        <f t="shared" si="6"/>
        <v>7.0000000000000007E-2</v>
      </c>
      <c r="T12" s="114"/>
      <c r="U12" s="138">
        <v>0.13600000000000001</v>
      </c>
      <c r="V12" s="114"/>
      <c r="W12" s="78">
        <v>0.13600000000000001</v>
      </c>
      <c r="X12" s="137" t="e">
        <f ca="1">_xll.cfyql_SimpleQuoteSetValue(F12,W12/100,Trigger)</f>
        <v>#NAME?</v>
      </c>
      <c r="Y12" s="129"/>
    </row>
    <row r="13" spans="1:28" ht="11.25" customHeight="1" x14ac:dyDescent="0.2">
      <c r="A13" s="134"/>
      <c r="B13" s="142" t="str">
        <f t="shared" si="0"/>
        <v>6Y</v>
      </c>
      <c r="C13" s="141" t="str">
        <f t="shared" si="1"/>
        <v>AB</v>
      </c>
      <c r="D13" s="45" t="str">
        <f t="shared" si="2"/>
        <v>1E</v>
      </c>
      <c r="E13" s="43" t="str">
        <f t="shared" si="3"/>
        <v>EURAB1E6Y_Quote</v>
      </c>
      <c r="F13" s="43" t="e">
        <f ca="1">_xll.cfyql_SimpleQuote(Currency&amp;$C13&amp;$D13&amp;$B13&amp;QuoteSuffix,,RateTickValue,Permanent,Trigger,ObjectOverwrite)</f>
        <v>#NAME?</v>
      </c>
      <c r="G13" s="42" t="e">
        <f ca="1">_xll.ohRangeRetrieveError(F13)</f>
        <v>#NAME?</v>
      </c>
      <c r="H13" s="36"/>
      <c r="J13" s="134"/>
      <c r="K13" s="140" t="s">
        <v>50</v>
      </c>
      <c r="L13" s="140" t="s">
        <v>21</v>
      </c>
      <c r="M13" s="140" t="s">
        <v>71</v>
      </c>
      <c r="N13" s="139" t="str">
        <f t="shared" si="4"/>
        <v>EURAB1E6Y</v>
      </c>
      <c r="O13" s="139" t="str">
        <v>EURAB1E6Y=ICAP</v>
      </c>
      <c r="P13" s="78">
        <v>0.23199999999999998</v>
      </c>
      <c r="Q13" s="78">
        <v>0.30199999999999999</v>
      </c>
      <c r="R13" s="78">
        <f t="shared" si="5"/>
        <v>0.26700000000000002</v>
      </c>
      <c r="S13" s="78">
        <f t="shared" si="6"/>
        <v>7.0000000000000062E-2</v>
      </c>
      <c r="T13" s="114"/>
      <c r="U13" s="138">
        <v>0.26700000000000002</v>
      </c>
      <c r="V13" s="114"/>
      <c r="W13" s="78">
        <v>0.26700000000000002</v>
      </c>
      <c r="X13" s="137" t="e">
        <f ca="1">_xll.cfyql_SimpleQuoteSetValue(F13,W13/100,Trigger)</f>
        <v>#NAME?</v>
      </c>
      <c r="Y13" s="129"/>
    </row>
    <row r="14" spans="1:28" ht="11.25" customHeight="1" x14ac:dyDescent="0.2">
      <c r="A14" s="134"/>
      <c r="B14" s="142" t="str">
        <f t="shared" si="0"/>
        <v>7Y</v>
      </c>
      <c r="C14" s="141" t="str">
        <f t="shared" si="1"/>
        <v>AB</v>
      </c>
      <c r="D14" s="45" t="str">
        <f t="shared" si="2"/>
        <v>1E</v>
      </c>
      <c r="E14" s="43" t="str">
        <f t="shared" si="3"/>
        <v>EURAB1E7Y_Quote</v>
      </c>
      <c r="F14" s="43" t="e">
        <f ca="1">_xll.cfyql_SimpleQuote(Currency&amp;$C14&amp;$D14&amp;$B14&amp;QuoteSuffix,,RateTickValue,Permanent,Trigger,ObjectOverwrite)</f>
        <v>#NAME?</v>
      </c>
      <c r="G14" s="42" t="e">
        <f ca="1">_xll.ohRangeRetrieveError(F14)</f>
        <v>#NAME?</v>
      </c>
      <c r="H14" s="36"/>
      <c r="J14" s="134"/>
      <c r="K14" s="140" t="s">
        <v>49</v>
      </c>
      <c r="L14" s="140" t="s">
        <v>21</v>
      </c>
      <c r="M14" s="140" t="s">
        <v>71</v>
      </c>
      <c r="N14" s="139" t="str">
        <f t="shared" si="4"/>
        <v>EURAB1E7Y</v>
      </c>
      <c r="O14" s="139" t="str">
        <v>EURAB1E7Y=ICAP</v>
      </c>
      <c r="P14" s="78">
        <v>0.36599999999999999</v>
      </c>
      <c r="Q14" s="78">
        <v>0.43600000000000005</v>
      </c>
      <c r="R14" s="78">
        <f t="shared" si="5"/>
        <v>0.40100000000000002</v>
      </c>
      <c r="S14" s="78">
        <f t="shared" si="6"/>
        <v>7.0000000000000062E-2</v>
      </c>
      <c r="T14" s="114"/>
      <c r="U14" s="138">
        <v>0.40100000000000002</v>
      </c>
      <c r="V14" s="114"/>
      <c r="W14" s="78">
        <v>0.40100000000000002</v>
      </c>
      <c r="X14" s="137" t="e">
        <f ca="1">_xll.cfyql_SimpleQuoteSetValue(F14,W14/100,Trigger)</f>
        <v>#NAME?</v>
      </c>
      <c r="Y14" s="129"/>
    </row>
    <row r="15" spans="1:28" ht="11.25" customHeight="1" x14ac:dyDescent="0.2">
      <c r="A15" s="134"/>
      <c r="B15" s="142" t="str">
        <f t="shared" si="0"/>
        <v>8Y</v>
      </c>
      <c r="C15" s="141" t="str">
        <f t="shared" si="1"/>
        <v>AB</v>
      </c>
      <c r="D15" s="45" t="str">
        <f t="shared" si="2"/>
        <v>1E</v>
      </c>
      <c r="E15" s="43" t="str">
        <f t="shared" si="3"/>
        <v>EURAB1E8Y_Quote</v>
      </c>
      <c r="F15" s="43" t="e">
        <f ca="1">_xll.cfyql_SimpleQuote(Currency&amp;$C15&amp;$D15&amp;$B15&amp;QuoteSuffix,,RateTickValue,Permanent,Trigger,ObjectOverwrite)</f>
        <v>#NAME?</v>
      </c>
      <c r="G15" s="42" t="e">
        <f ca="1">_xll.ohRangeRetrieveError(F15)</f>
        <v>#NAME?</v>
      </c>
      <c r="H15" s="36"/>
      <c r="J15" s="134"/>
      <c r="K15" s="140" t="s">
        <v>48</v>
      </c>
      <c r="L15" s="140" t="s">
        <v>21</v>
      </c>
      <c r="M15" s="140" t="s">
        <v>71</v>
      </c>
      <c r="N15" s="139" t="str">
        <f t="shared" si="4"/>
        <v>EURAB1E8Y</v>
      </c>
      <c r="O15" s="139" t="str">
        <v>EURAB1E8Y=ICAP</v>
      </c>
      <c r="P15" s="78">
        <v>0.496</v>
      </c>
      <c r="Q15" s="78">
        <v>0.56600000000000006</v>
      </c>
      <c r="R15" s="78">
        <f t="shared" si="5"/>
        <v>0.53100000000000003</v>
      </c>
      <c r="S15" s="78">
        <f t="shared" si="6"/>
        <v>7.0000000000000062E-2</v>
      </c>
      <c r="T15" s="114"/>
      <c r="U15" s="138">
        <v>0.53100000000000003</v>
      </c>
      <c r="V15" s="114"/>
      <c r="W15" s="78">
        <v>0.53100000000000003</v>
      </c>
      <c r="X15" s="137" t="e">
        <f ca="1">_xll.cfyql_SimpleQuoteSetValue(F15,W15/100,Trigger)</f>
        <v>#NAME?</v>
      </c>
      <c r="Y15" s="129"/>
    </row>
    <row r="16" spans="1:28" ht="11.25" customHeight="1" x14ac:dyDescent="0.2">
      <c r="A16" s="134"/>
      <c r="B16" s="142" t="str">
        <f t="shared" si="0"/>
        <v>9Y</v>
      </c>
      <c r="C16" s="141" t="str">
        <f t="shared" si="1"/>
        <v>AB</v>
      </c>
      <c r="D16" s="45" t="str">
        <f t="shared" si="2"/>
        <v>1E</v>
      </c>
      <c r="E16" s="43" t="str">
        <f t="shared" si="3"/>
        <v>EURAB1E9Y_Quote</v>
      </c>
      <c r="F16" s="43" t="e">
        <f ca="1">_xll.cfyql_SimpleQuote(Currency&amp;$C16&amp;$D16&amp;$B16&amp;QuoteSuffix,,RateTickValue,Permanent,Trigger,ObjectOverwrite)</f>
        <v>#NAME?</v>
      </c>
      <c r="G16" s="42" t="e">
        <f ca="1">_xll.ohRangeRetrieveError(F16)</f>
        <v>#NAME?</v>
      </c>
      <c r="H16" s="36"/>
      <c r="J16" s="134"/>
      <c r="K16" s="140" t="s">
        <v>47</v>
      </c>
      <c r="L16" s="140" t="s">
        <v>21</v>
      </c>
      <c r="M16" s="140" t="s">
        <v>71</v>
      </c>
      <c r="N16" s="139" t="str">
        <f t="shared" si="4"/>
        <v>EURAB1E9Y</v>
      </c>
      <c r="O16" s="139" t="str">
        <v>EURAB1E9Y=ICAP</v>
      </c>
      <c r="P16" s="78">
        <v>0.61899999999999999</v>
      </c>
      <c r="Q16" s="78">
        <v>0.68899999999999995</v>
      </c>
      <c r="R16" s="78">
        <f t="shared" si="5"/>
        <v>0.65399999999999991</v>
      </c>
      <c r="S16" s="78">
        <f t="shared" si="6"/>
        <v>6.999999999999984E-2</v>
      </c>
      <c r="T16" s="114"/>
      <c r="U16" s="138">
        <v>0.65399999999999991</v>
      </c>
      <c r="V16" s="114"/>
      <c r="W16" s="78">
        <v>0.65399999999999991</v>
      </c>
      <c r="X16" s="137" t="e">
        <f ca="1">_xll.cfyql_SimpleQuoteSetValue(F16,W16/100,Trigger)</f>
        <v>#NAME?</v>
      </c>
      <c r="Y16" s="129"/>
    </row>
    <row r="17" spans="1:25" ht="11.25" customHeight="1" x14ac:dyDescent="0.2">
      <c r="A17" s="134"/>
      <c r="B17" s="142" t="str">
        <f t="shared" si="0"/>
        <v>10Y</v>
      </c>
      <c r="C17" s="141" t="str">
        <f t="shared" si="1"/>
        <v>AB</v>
      </c>
      <c r="D17" s="45" t="str">
        <f t="shared" si="2"/>
        <v>1E</v>
      </c>
      <c r="E17" s="43" t="str">
        <f t="shared" si="3"/>
        <v>EURAB1E10Y_Quote</v>
      </c>
      <c r="F17" s="43" t="e">
        <f ca="1">_xll.cfyql_SimpleQuote(Currency&amp;$C17&amp;$D17&amp;$B17&amp;QuoteSuffix,,RateTickValue,Permanent,Trigger,ObjectOverwrite)</f>
        <v>#NAME?</v>
      </c>
      <c r="G17" s="42" t="e">
        <f ca="1">_xll.ohRangeRetrieveError(F17)</f>
        <v>#NAME?</v>
      </c>
      <c r="H17" s="36"/>
      <c r="J17" s="134"/>
      <c r="K17" s="140" t="s">
        <v>46</v>
      </c>
      <c r="L17" s="140" t="s">
        <v>21</v>
      </c>
      <c r="M17" s="140" t="s">
        <v>71</v>
      </c>
      <c r="N17" s="139" t="str">
        <f t="shared" si="4"/>
        <v>EURAB1E10Y</v>
      </c>
      <c r="O17" s="139" t="str">
        <v>EURAB1E10Y=ICAP</v>
      </c>
      <c r="P17" s="78">
        <v>0.72799999999999998</v>
      </c>
      <c r="Q17" s="78">
        <v>0.79800000000000004</v>
      </c>
      <c r="R17" s="78">
        <f t="shared" si="5"/>
        <v>0.76300000000000001</v>
      </c>
      <c r="S17" s="78">
        <f t="shared" si="6"/>
        <v>7.0000000000000062E-2</v>
      </c>
      <c r="T17" s="114"/>
      <c r="U17" s="138">
        <v>0.76300000000000001</v>
      </c>
      <c r="V17" s="114"/>
      <c r="W17" s="78">
        <v>0.76300000000000001</v>
      </c>
      <c r="X17" s="137" t="e">
        <f ca="1">_xll.cfyql_SimpleQuoteSetValue(F17,W17/100,Trigger)</f>
        <v>#NAME?</v>
      </c>
      <c r="Y17" s="129"/>
    </row>
    <row r="18" spans="1:25" ht="11.25" customHeight="1" x14ac:dyDescent="0.2">
      <c r="A18" s="134"/>
      <c r="B18" s="142" t="str">
        <f t="shared" si="0"/>
        <v>11Y</v>
      </c>
      <c r="C18" s="141" t="str">
        <f t="shared" si="1"/>
        <v>AB</v>
      </c>
      <c r="D18" s="45" t="str">
        <f t="shared" si="2"/>
        <v>1E</v>
      </c>
      <c r="E18" s="43" t="str">
        <f t="shared" si="3"/>
        <v>EURAB1E11Y_Quote</v>
      </c>
      <c r="F18" s="43" t="e">
        <f ca="1">_xll.cfyql_SimpleQuote(Currency&amp;$C18&amp;$D18&amp;$B18&amp;QuoteSuffix,,RateTickValue,Permanent,Trigger,ObjectOverwrite)</f>
        <v>#NAME?</v>
      </c>
      <c r="G18" s="42" t="e">
        <f ca="1">_xll.ohRangeRetrieveError(F18)</f>
        <v>#NAME?</v>
      </c>
      <c r="H18" s="36"/>
      <c r="J18" s="134"/>
      <c r="K18" s="140" t="s">
        <v>45</v>
      </c>
      <c r="L18" s="140" t="s">
        <v>21</v>
      </c>
      <c r="M18" s="140" t="s">
        <v>71</v>
      </c>
      <c r="N18" s="139" t="str">
        <f t="shared" si="4"/>
        <v>EURAB1E11Y</v>
      </c>
      <c r="O18" s="139" t="str">
        <v>EURAB1E11Y=ICAP</v>
      </c>
      <c r="P18" s="78">
        <v>0.82899999999999996</v>
      </c>
      <c r="Q18" s="78">
        <v>0.89900000000000002</v>
      </c>
      <c r="R18" s="78">
        <f t="shared" si="5"/>
        <v>0.86399999999999999</v>
      </c>
      <c r="S18" s="78">
        <f t="shared" si="6"/>
        <v>7.0000000000000062E-2</v>
      </c>
      <c r="T18" s="114"/>
      <c r="U18" s="138">
        <v>0.86399999999999999</v>
      </c>
      <c r="V18" s="114"/>
      <c r="W18" s="78">
        <v>0.86399999999999999</v>
      </c>
      <c r="X18" s="137" t="e">
        <f ca="1">_xll.cfyql_SimpleQuoteSetValue(F18,W18/100,Trigger)</f>
        <v>#NAME?</v>
      </c>
      <c r="Y18" s="129"/>
    </row>
    <row r="19" spans="1:25" ht="11.25" customHeight="1" x14ac:dyDescent="0.2">
      <c r="A19" s="134"/>
      <c r="B19" s="142" t="str">
        <f t="shared" si="0"/>
        <v>12Y</v>
      </c>
      <c r="C19" s="141" t="str">
        <f t="shared" si="1"/>
        <v>AB</v>
      </c>
      <c r="D19" s="45" t="str">
        <f t="shared" si="2"/>
        <v>1E</v>
      </c>
      <c r="E19" s="43" t="str">
        <f t="shared" si="3"/>
        <v>EURAB1E12Y_Quote</v>
      </c>
      <c r="F19" s="43" t="e">
        <f ca="1">_xll.cfyql_SimpleQuote(Currency&amp;$C19&amp;$D19&amp;$B19&amp;QuoteSuffix,,RateTickValue,Permanent,Trigger,ObjectOverwrite)</f>
        <v>#NAME?</v>
      </c>
      <c r="G19" s="42" t="e">
        <f ca="1">_xll.ohRangeRetrieveError(F19)</f>
        <v>#NAME?</v>
      </c>
      <c r="H19" s="36"/>
      <c r="J19" s="134"/>
      <c r="K19" s="140" t="s">
        <v>44</v>
      </c>
      <c r="L19" s="140" t="s">
        <v>21</v>
      </c>
      <c r="M19" s="140" t="s">
        <v>71</v>
      </c>
      <c r="N19" s="139" t="str">
        <f t="shared" si="4"/>
        <v>EURAB1E12Y</v>
      </c>
      <c r="O19" s="139" t="str">
        <v>EURAB1E12Y=ICAP</v>
      </c>
      <c r="P19" s="78">
        <v>0.91799999999999993</v>
      </c>
      <c r="Q19" s="78">
        <v>0.9880000000000001</v>
      </c>
      <c r="R19" s="78">
        <f t="shared" si="5"/>
        <v>0.95300000000000007</v>
      </c>
      <c r="S19" s="78">
        <f t="shared" si="6"/>
        <v>7.0000000000000284E-2</v>
      </c>
      <c r="T19" s="114"/>
      <c r="U19" s="138">
        <v>0.95300000000000007</v>
      </c>
      <c r="V19" s="114"/>
      <c r="W19" s="78">
        <v>0.95300000000000007</v>
      </c>
      <c r="X19" s="137" t="e">
        <f ca="1">_xll.cfyql_SimpleQuoteSetValue(F19,W19/100,Trigger)</f>
        <v>#NAME?</v>
      </c>
      <c r="Y19" s="129"/>
    </row>
    <row r="20" spans="1:25" ht="11.25" customHeight="1" x14ac:dyDescent="0.2">
      <c r="A20" s="134"/>
      <c r="B20" s="142" t="str">
        <f t="shared" si="0"/>
        <v>13Y</v>
      </c>
      <c r="C20" s="141" t="str">
        <f t="shared" si="1"/>
        <v>AB</v>
      </c>
      <c r="D20" s="45" t="str">
        <f t="shared" si="2"/>
        <v>1E</v>
      </c>
      <c r="E20" s="43" t="str">
        <f t="shared" si="3"/>
        <v>EURAB1E13Y_Quote</v>
      </c>
      <c r="F20" s="43" t="e">
        <f ca="1">_xll.cfyql_SimpleQuote(Currency&amp;$C20&amp;$D20&amp;$B20&amp;QuoteSuffix,,RateTickValue,Permanent,Trigger,ObjectOverwrite)</f>
        <v>#NAME?</v>
      </c>
      <c r="G20" s="42" t="e">
        <f ca="1">_xll.ohRangeRetrieveError(F20)</f>
        <v>#NAME?</v>
      </c>
      <c r="H20" s="36"/>
      <c r="J20" s="134"/>
      <c r="K20" s="140" t="s">
        <v>43</v>
      </c>
      <c r="L20" s="140" t="s">
        <v>21</v>
      </c>
      <c r="M20" s="140" t="s">
        <v>71</v>
      </c>
      <c r="N20" s="139" t="str">
        <f t="shared" si="4"/>
        <v>EURAB1E13Y</v>
      </c>
      <c r="O20" s="139" t="str">
        <v>EURAB1E13Y=ICAP</v>
      </c>
      <c r="P20" s="78" t="s">
        <v>109</v>
      </c>
      <c r="Q20" s="78" t="s">
        <v>109</v>
      </c>
      <c r="R20" s="78" t="e">
        <f t="shared" si="5"/>
        <v>#NUM!</v>
      </c>
      <c r="S20" s="78" t="e">
        <f t="shared" si="6"/>
        <v>#NUM!</v>
      </c>
      <c r="T20" s="114"/>
      <c r="U20" s="138" t="e">
        <v>#NUM!</v>
      </c>
      <c r="V20" s="114"/>
      <c r="W20" s="78" t="e">
        <v>#NUM!</v>
      </c>
      <c r="X20" s="137" t="e">
        <f ca="1">_xll.cfyql_SimpleQuoteSetValue(F20,W20/100,Trigger)</f>
        <v>#NAME?</v>
      </c>
      <c r="Y20" s="129"/>
    </row>
    <row r="21" spans="1:25" ht="11.25" customHeight="1" x14ac:dyDescent="0.2">
      <c r="A21" s="134"/>
      <c r="B21" s="142" t="str">
        <f t="shared" si="0"/>
        <v>14Y</v>
      </c>
      <c r="C21" s="141" t="str">
        <f t="shared" si="1"/>
        <v>AB</v>
      </c>
      <c r="D21" s="45" t="str">
        <f t="shared" si="2"/>
        <v>1E</v>
      </c>
      <c r="E21" s="43" t="str">
        <f t="shared" si="3"/>
        <v>EURAB1E14Y_Quote</v>
      </c>
      <c r="F21" s="43" t="e">
        <f ca="1">_xll.cfyql_SimpleQuote(Currency&amp;$C21&amp;$D21&amp;$B21&amp;QuoteSuffix,,RateTickValue,Permanent,Trigger,ObjectOverwrite)</f>
        <v>#NAME?</v>
      </c>
      <c r="G21" s="42" t="e">
        <f ca="1">_xll.ohRangeRetrieveError(F21)</f>
        <v>#NAME?</v>
      </c>
      <c r="H21" s="36"/>
      <c r="J21" s="134"/>
      <c r="K21" s="140" t="s">
        <v>42</v>
      </c>
      <c r="L21" s="140" t="s">
        <v>21</v>
      </c>
      <c r="M21" s="140" t="s">
        <v>71</v>
      </c>
      <c r="N21" s="139" t="str">
        <f t="shared" si="4"/>
        <v>EURAB1E14Y</v>
      </c>
      <c r="O21" s="139" t="str">
        <v>EURAB1E14Y=ICAP</v>
      </c>
      <c r="P21" s="78" t="s">
        <v>109</v>
      </c>
      <c r="Q21" s="78" t="s">
        <v>109</v>
      </c>
      <c r="R21" s="78" t="e">
        <f t="shared" si="5"/>
        <v>#NUM!</v>
      </c>
      <c r="S21" s="78" t="e">
        <f t="shared" si="6"/>
        <v>#NUM!</v>
      </c>
      <c r="T21" s="114"/>
      <c r="U21" s="138" t="e">
        <v>#NUM!</v>
      </c>
      <c r="V21" s="114"/>
      <c r="W21" s="78" t="e">
        <v>#NUM!</v>
      </c>
      <c r="X21" s="137" t="e">
        <f ca="1">_xll.cfyql_SimpleQuoteSetValue(F21,W21/100,Trigger)</f>
        <v>#NAME?</v>
      </c>
      <c r="Y21" s="129"/>
    </row>
    <row r="22" spans="1:25" ht="11.25" customHeight="1" x14ac:dyDescent="0.2">
      <c r="A22" s="134"/>
      <c r="B22" s="142" t="str">
        <f t="shared" si="0"/>
        <v>15Y</v>
      </c>
      <c r="C22" s="141" t="str">
        <f t="shared" si="1"/>
        <v>AB</v>
      </c>
      <c r="D22" s="45" t="str">
        <f t="shared" si="2"/>
        <v>1E</v>
      </c>
      <c r="E22" s="43" t="str">
        <f t="shared" si="3"/>
        <v>EURAB1E15Y_Quote</v>
      </c>
      <c r="F22" s="43" t="e">
        <f ca="1">_xll.cfyql_SimpleQuote(Currency&amp;$C22&amp;$D22&amp;$B22&amp;QuoteSuffix,,RateTickValue,Permanent,Trigger,ObjectOverwrite)</f>
        <v>#NAME?</v>
      </c>
      <c r="G22" s="42" t="e">
        <f ca="1">_xll.ohRangeRetrieveError(F22)</f>
        <v>#NAME?</v>
      </c>
      <c r="H22" s="36"/>
      <c r="J22" s="134"/>
      <c r="K22" s="140" t="s">
        <v>41</v>
      </c>
      <c r="L22" s="140" t="s">
        <v>21</v>
      </c>
      <c r="M22" s="140" t="s">
        <v>71</v>
      </c>
      <c r="N22" s="139" t="str">
        <f t="shared" si="4"/>
        <v>EURAB1E15Y</v>
      </c>
      <c r="O22" s="139" t="str">
        <v>EURAB1E15Y=ICAP</v>
      </c>
      <c r="P22" s="78">
        <v>1.125</v>
      </c>
      <c r="Q22" s="78">
        <v>1.1950000000000001</v>
      </c>
      <c r="R22" s="78">
        <f t="shared" si="5"/>
        <v>1.1600000000000001</v>
      </c>
      <c r="S22" s="78">
        <f t="shared" si="6"/>
        <v>7.0000000000000284E-2</v>
      </c>
      <c r="T22" s="114"/>
      <c r="U22" s="138">
        <v>1.1600000000000001</v>
      </c>
      <c r="V22" s="114"/>
      <c r="W22" s="78">
        <v>1.1600000000000001</v>
      </c>
      <c r="X22" s="137" t="e">
        <f ca="1">_xll.cfyql_SimpleQuoteSetValue(F22,W22/100,Trigger)</f>
        <v>#NAME?</v>
      </c>
      <c r="Y22" s="129"/>
    </row>
    <row r="23" spans="1:25" ht="11.25" customHeight="1" x14ac:dyDescent="0.2">
      <c r="A23" s="134"/>
      <c r="B23" s="142" t="str">
        <f t="shared" si="0"/>
        <v>16Y</v>
      </c>
      <c r="C23" s="141" t="str">
        <f t="shared" si="1"/>
        <v>AB</v>
      </c>
      <c r="D23" s="45" t="str">
        <f t="shared" si="2"/>
        <v>1E</v>
      </c>
      <c r="E23" s="43" t="str">
        <f t="shared" si="3"/>
        <v>EURAB1E16Y_Quote</v>
      </c>
      <c r="F23" s="43" t="e">
        <f ca="1">_xll.cfyql_SimpleQuote(Currency&amp;$C23&amp;$D23&amp;$B23&amp;QuoteSuffix,,RateTickValue,Permanent,Trigger,ObjectOverwrite)</f>
        <v>#NAME?</v>
      </c>
      <c r="G23" s="42" t="e">
        <f ca="1">_xll.ohRangeRetrieveError(F23)</f>
        <v>#NAME?</v>
      </c>
      <c r="H23" s="36"/>
      <c r="J23" s="134"/>
      <c r="K23" s="140" t="s">
        <v>40</v>
      </c>
      <c r="L23" s="140" t="s">
        <v>21</v>
      </c>
      <c r="M23" s="140" t="s">
        <v>71</v>
      </c>
      <c r="N23" s="139" t="str">
        <f t="shared" si="4"/>
        <v>EURAB1E16Y</v>
      </c>
      <c r="O23" s="139" t="str">
        <v>EURAB1E16Y=ICAP</v>
      </c>
      <c r="P23" s="78" t="s">
        <v>109</v>
      </c>
      <c r="Q23" s="78" t="s">
        <v>109</v>
      </c>
      <c r="R23" s="78" t="e">
        <f t="shared" si="5"/>
        <v>#NUM!</v>
      </c>
      <c r="S23" s="78" t="e">
        <f t="shared" si="6"/>
        <v>#NUM!</v>
      </c>
      <c r="T23" s="114"/>
      <c r="U23" s="138" t="e">
        <v>#NUM!</v>
      </c>
      <c r="V23" s="114"/>
      <c r="W23" s="78" t="e">
        <v>#NUM!</v>
      </c>
      <c r="X23" s="137" t="e">
        <f ca="1">_xll.cfyql_SimpleQuoteSetValue(F23,W23/100,Trigger)</f>
        <v>#NAME?</v>
      </c>
      <c r="Y23" s="129"/>
    </row>
    <row r="24" spans="1:25" ht="11.25" customHeight="1" x14ac:dyDescent="0.2">
      <c r="A24" s="134"/>
      <c r="B24" s="142" t="str">
        <f t="shared" si="0"/>
        <v>17Y</v>
      </c>
      <c r="C24" s="141" t="str">
        <f t="shared" si="1"/>
        <v>AB</v>
      </c>
      <c r="D24" s="45" t="str">
        <f t="shared" si="2"/>
        <v>1E</v>
      </c>
      <c r="E24" s="43" t="str">
        <f t="shared" si="3"/>
        <v>EURAB1E17Y_Quote</v>
      </c>
      <c r="F24" s="43" t="e">
        <f ca="1">_xll.cfyql_SimpleQuote(Currency&amp;$C24&amp;$D24&amp;$B24&amp;QuoteSuffix,,RateTickValue,Permanent,Trigger,ObjectOverwrite)</f>
        <v>#NAME?</v>
      </c>
      <c r="G24" s="42" t="e">
        <f ca="1">_xll.ohRangeRetrieveError(F24)</f>
        <v>#NAME?</v>
      </c>
      <c r="H24" s="36"/>
      <c r="J24" s="134"/>
      <c r="K24" s="140" t="s">
        <v>39</v>
      </c>
      <c r="L24" s="140" t="s">
        <v>21</v>
      </c>
      <c r="M24" s="140" t="s">
        <v>71</v>
      </c>
      <c r="N24" s="139" t="str">
        <f t="shared" si="4"/>
        <v>EURAB1E17Y</v>
      </c>
      <c r="O24" s="139" t="str">
        <v>EURAB1E17Y=ICAP</v>
      </c>
      <c r="P24" s="78" t="s">
        <v>109</v>
      </c>
      <c r="Q24" s="78" t="s">
        <v>109</v>
      </c>
      <c r="R24" s="78" t="e">
        <f t="shared" si="5"/>
        <v>#NUM!</v>
      </c>
      <c r="S24" s="78" t="e">
        <f t="shared" si="6"/>
        <v>#NUM!</v>
      </c>
      <c r="T24" s="114"/>
      <c r="U24" s="138" t="e">
        <v>#NUM!</v>
      </c>
      <c r="V24" s="114"/>
      <c r="W24" s="78" t="e">
        <v>#NUM!</v>
      </c>
      <c r="X24" s="137" t="e">
        <f ca="1">_xll.cfyql_SimpleQuoteSetValue(F24,W24/100,Trigger)</f>
        <v>#NAME?</v>
      </c>
      <c r="Y24" s="129"/>
    </row>
    <row r="25" spans="1:25" ht="11.25" customHeight="1" x14ac:dyDescent="0.2">
      <c r="A25" s="134"/>
      <c r="B25" s="142" t="str">
        <f t="shared" si="0"/>
        <v>18Y</v>
      </c>
      <c r="C25" s="141" t="str">
        <f t="shared" si="1"/>
        <v>AB</v>
      </c>
      <c r="D25" s="45" t="str">
        <f t="shared" si="2"/>
        <v>1E</v>
      </c>
      <c r="E25" s="43" t="str">
        <f t="shared" si="3"/>
        <v>EURAB1E18Y_Quote</v>
      </c>
      <c r="F25" s="43" t="e">
        <f ca="1">_xll.cfyql_SimpleQuote(Currency&amp;$C25&amp;$D25&amp;$B25&amp;QuoteSuffix,,RateTickValue,Permanent,Trigger,ObjectOverwrite)</f>
        <v>#NAME?</v>
      </c>
      <c r="G25" s="42" t="e">
        <f ca="1">_xll.ohRangeRetrieveError(F25)</f>
        <v>#NAME?</v>
      </c>
      <c r="H25" s="36"/>
      <c r="J25" s="134"/>
      <c r="K25" s="140" t="s">
        <v>38</v>
      </c>
      <c r="L25" s="140" t="s">
        <v>21</v>
      </c>
      <c r="M25" s="140" t="s">
        <v>71</v>
      </c>
      <c r="N25" s="139" t="str">
        <f t="shared" si="4"/>
        <v>EURAB1E18Y</v>
      </c>
      <c r="O25" s="139" t="str">
        <v>EURAB1E18Y=ICAP</v>
      </c>
      <c r="P25" s="78" t="s">
        <v>109</v>
      </c>
      <c r="Q25" s="78" t="s">
        <v>109</v>
      </c>
      <c r="R25" s="78" t="e">
        <f t="shared" si="5"/>
        <v>#NUM!</v>
      </c>
      <c r="S25" s="78" t="e">
        <f t="shared" si="6"/>
        <v>#NUM!</v>
      </c>
      <c r="T25" s="114"/>
      <c r="U25" s="138" t="e">
        <v>#NUM!</v>
      </c>
      <c r="V25" s="114"/>
      <c r="W25" s="78" t="e">
        <v>#NUM!</v>
      </c>
      <c r="X25" s="137" t="e">
        <f ca="1">_xll.cfyql_SimpleQuoteSetValue(F25,W25/100,Trigger)</f>
        <v>#NAME?</v>
      </c>
      <c r="Y25" s="129"/>
    </row>
    <row r="26" spans="1:25" ht="11.25" customHeight="1" x14ac:dyDescent="0.2">
      <c r="A26" s="134"/>
      <c r="B26" s="142" t="str">
        <f t="shared" si="0"/>
        <v>19Y</v>
      </c>
      <c r="C26" s="141" t="str">
        <f t="shared" si="1"/>
        <v>AB</v>
      </c>
      <c r="D26" s="45" t="str">
        <f t="shared" si="2"/>
        <v>1E</v>
      </c>
      <c r="E26" s="43" t="str">
        <f t="shared" si="3"/>
        <v>EURAB1E19Y_Quote</v>
      </c>
      <c r="F26" s="43" t="e">
        <f ca="1">_xll.cfyql_SimpleQuote(Currency&amp;$C26&amp;$D26&amp;$B26&amp;QuoteSuffix,,RateTickValue,Permanent,Trigger,ObjectOverwrite)</f>
        <v>#NAME?</v>
      </c>
      <c r="G26" s="42" t="e">
        <f ca="1">_xll.ohRangeRetrieveError(F26)</f>
        <v>#NAME?</v>
      </c>
      <c r="H26" s="36"/>
      <c r="J26" s="134"/>
      <c r="K26" s="140" t="s">
        <v>37</v>
      </c>
      <c r="L26" s="140" t="s">
        <v>21</v>
      </c>
      <c r="M26" s="140" t="s">
        <v>71</v>
      </c>
      <c r="N26" s="139" t="str">
        <f t="shared" si="4"/>
        <v>EURAB1E19Y</v>
      </c>
      <c r="O26" s="139" t="str">
        <v>EURAB1E19Y=ICAP</v>
      </c>
      <c r="P26" s="78" t="s">
        <v>109</v>
      </c>
      <c r="Q26" s="78" t="s">
        <v>109</v>
      </c>
      <c r="R26" s="78" t="e">
        <f t="shared" si="5"/>
        <v>#NUM!</v>
      </c>
      <c r="S26" s="78" t="e">
        <f t="shared" si="6"/>
        <v>#NUM!</v>
      </c>
      <c r="T26" s="114"/>
      <c r="U26" s="138" t="e">
        <v>#NUM!</v>
      </c>
      <c r="V26" s="114"/>
      <c r="W26" s="78" t="e">
        <v>#NUM!</v>
      </c>
      <c r="X26" s="137" t="e">
        <f ca="1">_xll.cfyql_SimpleQuoteSetValue(F26,W26/100,Trigger)</f>
        <v>#NAME?</v>
      </c>
      <c r="Y26" s="129"/>
    </row>
    <row r="27" spans="1:25" ht="11.25" customHeight="1" x14ac:dyDescent="0.2">
      <c r="A27" s="134"/>
      <c r="B27" s="142" t="str">
        <f t="shared" si="0"/>
        <v>20Y</v>
      </c>
      <c r="C27" s="141" t="str">
        <f t="shared" si="1"/>
        <v>AB</v>
      </c>
      <c r="D27" s="45" t="str">
        <f t="shared" si="2"/>
        <v>1E</v>
      </c>
      <c r="E27" s="43" t="str">
        <f t="shared" si="3"/>
        <v>EURAB1E20Y_Quote</v>
      </c>
      <c r="F27" s="43" t="e">
        <f ca="1">_xll.cfyql_SimpleQuote(Currency&amp;$C27&amp;$D27&amp;$B27&amp;QuoteSuffix,,RateTickValue,Permanent,Trigger,ObjectOverwrite)</f>
        <v>#NAME?</v>
      </c>
      <c r="G27" s="42" t="e">
        <f ca="1">_xll.ohRangeRetrieveError(F27)</f>
        <v>#NAME?</v>
      </c>
      <c r="H27" s="36"/>
      <c r="J27" s="134"/>
      <c r="K27" s="140" t="s">
        <v>36</v>
      </c>
      <c r="L27" s="140" t="s">
        <v>21</v>
      </c>
      <c r="M27" s="140" t="s">
        <v>71</v>
      </c>
      <c r="N27" s="139" t="str">
        <f t="shared" si="4"/>
        <v>EURAB1E20Y</v>
      </c>
      <c r="O27" s="139" t="str">
        <v>EURAB1E20Y=ICAP</v>
      </c>
      <c r="P27" s="78">
        <v>1.304</v>
      </c>
      <c r="Q27" s="78">
        <v>1.3740000000000001</v>
      </c>
      <c r="R27" s="78">
        <f t="shared" si="5"/>
        <v>1.339</v>
      </c>
      <c r="S27" s="78">
        <f t="shared" si="6"/>
        <v>6.999999999999984E-2</v>
      </c>
      <c r="T27" s="114"/>
      <c r="U27" s="138">
        <v>1.339</v>
      </c>
      <c r="V27" s="114"/>
      <c r="W27" s="78">
        <v>1.339</v>
      </c>
      <c r="X27" s="137" t="e">
        <f ca="1">_xll.cfyql_SimpleQuoteSetValue(F27,W27/100,Trigger)</f>
        <v>#NAME?</v>
      </c>
      <c r="Y27" s="129"/>
    </row>
    <row r="28" spans="1:25" ht="11.25" customHeight="1" x14ac:dyDescent="0.2">
      <c r="A28" s="134"/>
      <c r="B28" s="142" t="str">
        <f t="shared" si="0"/>
        <v>21Y</v>
      </c>
      <c r="C28" s="141" t="str">
        <f t="shared" si="1"/>
        <v>AB</v>
      </c>
      <c r="D28" s="45" t="str">
        <f t="shared" si="2"/>
        <v>1E</v>
      </c>
      <c r="E28" s="43" t="str">
        <f t="shared" si="3"/>
        <v>EURAB1E21Y_Quote</v>
      </c>
      <c r="F28" s="43" t="e">
        <f ca="1">_xll.cfyql_SimpleQuote(Currency&amp;$C28&amp;$D28&amp;$B28&amp;QuoteSuffix,,RateTickValue,Permanent,Trigger,ObjectOverwrite)</f>
        <v>#NAME?</v>
      </c>
      <c r="G28" s="42" t="e">
        <f ca="1">_xll.ohRangeRetrieveError(F28)</f>
        <v>#NAME?</v>
      </c>
      <c r="H28" s="36"/>
      <c r="J28" s="134"/>
      <c r="K28" s="140" t="s">
        <v>35</v>
      </c>
      <c r="L28" s="140" t="s">
        <v>21</v>
      </c>
      <c r="M28" s="140" t="s">
        <v>71</v>
      </c>
      <c r="N28" s="139" t="str">
        <f t="shared" si="4"/>
        <v>EURAB1E21Y</v>
      </c>
      <c r="O28" s="139" t="str">
        <v>EURAB1E21Y=ICAP</v>
      </c>
      <c r="P28" s="78" t="s">
        <v>109</v>
      </c>
      <c r="Q28" s="78" t="s">
        <v>109</v>
      </c>
      <c r="R28" s="78" t="e">
        <f t="shared" si="5"/>
        <v>#NUM!</v>
      </c>
      <c r="S28" s="78" t="e">
        <f t="shared" si="6"/>
        <v>#NUM!</v>
      </c>
      <c r="T28" s="114"/>
      <c r="U28" s="138" t="e">
        <v>#NUM!</v>
      </c>
      <c r="V28" s="114"/>
      <c r="W28" s="78" t="e">
        <v>#NUM!</v>
      </c>
      <c r="X28" s="137" t="e">
        <f ca="1">_xll.cfyql_SimpleQuoteSetValue(F28,W28/100,Trigger)</f>
        <v>#NAME?</v>
      </c>
      <c r="Y28" s="129"/>
    </row>
    <row r="29" spans="1:25" ht="11.25" customHeight="1" x14ac:dyDescent="0.2">
      <c r="A29" s="134"/>
      <c r="B29" s="142" t="str">
        <f t="shared" si="0"/>
        <v>22Y</v>
      </c>
      <c r="C29" s="141" t="str">
        <f t="shared" si="1"/>
        <v>AB</v>
      </c>
      <c r="D29" s="45" t="str">
        <f t="shared" si="2"/>
        <v>1E</v>
      </c>
      <c r="E29" s="43" t="str">
        <f t="shared" si="3"/>
        <v>EURAB1E22Y_Quote</v>
      </c>
      <c r="F29" s="43" t="e">
        <f ca="1">_xll.cfyql_SimpleQuote(Currency&amp;$C29&amp;$D29&amp;$B29&amp;QuoteSuffix,,RateTickValue,Permanent,Trigger,ObjectOverwrite)</f>
        <v>#NAME?</v>
      </c>
      <c r="G29" s="42" t="e">
        <f ca="1">_xll.ohRangeRetrieveError(F29)</f>
        <v>#NAME?</v>
      </c>
      <c r="H29" s="36"/>
      <c r="J29" s="134"/>
      <c r="K29" s="140" t="s">
        <v>34</v>
      </c>
      <c r="L29" s="140" t="s">
        <v>21</v>
      </c>
      <c r="M29" s="140" t="s">
        <v>71</v>
      </c>
      <c r="N29" s="139" t="str">
        <f t="shared" si="4"/>
        <v>EURAB1E22Y</v>
      </c>
      <c r="O29" s="139" t="str">
        <v>EURAB1E22Y=ICAP</v>
      </c>
      <c r="P29" s="78" t="s">
        <v>109</v>
      </c>
      <c r="Q29" s="78" t="s">
        <v>109</v>
      </c>
      <c r="R29" s="78" t="e">
        <f t="shared" si="5"/>
        <v>#NUM!</v>
      </c>
      <c r="S29" s="78" t="e">
        <f t="shared" si="6"/>
        <v>#NUM!</v>
      </c>
      <c r="T29" s="114"/>
      <c r="U29" s="138" t="e">
        <v>#NUM!</v>
      </c>
      <c r="V29" s="114"/>
      <c r="W29" s="78" t="e">
        <v>#NUM!</v>
      </c>
      <c r="X29" s="137" t="e">
        <f ca="1">_xll.cfyql_SimpleQuoteSetValue(F29,W29/100,Trigger)</f>
        <v>#NAME?</v>
      </c>
      <c r="Y29" s="129"/>
    </row>
    <row r="30" spans="1:25" ht="11.25" customHeight="1" x14ac:dyDescent="0.2">
      <c r="A30" s="134"/>
      <c r="B30" s="142" t="str">
        <f t="shared" si="0"/>
        <v>23Y</v>
      </c>
      <c r="C30" s="141" t="str">
        <f t="shared" si="1"/>
        <v>AB</v>
      </c>
      <c r="D30" s="45" t="str">
        <f t="shared" si="2"/>
        <v>1E</v>
      </c>
      <c r="E30" s="43" t="str">
        <f t="shared" si="3"/>
        <v>EURAB1E23Y_Quote</v>
      </c>
      <c r="F30" s="43" t="e">
        <f ca="1">_xll.cfyql_SimpleQuote(Currency&amp;$C30&amp;$D30&amp;$B30&amp;QuoteSuffix,,RateTickValue,Permanent,Trigger,ObjectOverwrite)</f>
        <v>#NAME?</v>
      </c>
      <c r="G30" s="42" t="e">
        <f ca="1">_xll.ohRangeRetrieveError(F30)</f>
        <v>#NAME?</v>
      </c>
      <c r="H30" s="36"/>
      <c r="J30" s="134"/>
      <c r="K30" s="140" t="s">
        <v>33</v>
      </c>
      <c r="L30" s="140" t="s">
        <v>21</v>
      </c>
      <c r="M30" s="140" t="s">
        <v>71</v>
      </c>
      <c r="N30" s="139" t="str">
        <f t="shared" si="4"/>
        <v>EURAB1E23Y</v>
      </c>
      <c r="O30" s="139" t="str">
        <v>EURAB1E23Y=ICAP</v>
      </c>
      <c r="P30" s="78" t="s">
        <v>109</v>
      </c>
      <c r="Q30" s="78" t="s">
        <v>109</v>
      </c>
      <c r="R30" s="78" t="e">
        <f t="shared" si="5"/>
        <v>#NUM!</v>
      </c>
      <c r="S30" s="78" t="e">
        <f t="shared" si="6"/>
        <v>#NUM!</v>
      </c>
      <c r="T30" s="114"/>
      <c r="U30" s="138" t="e">
        <v>#NUM!</v>
      </c>
      <c r="V30" s="114"/>
      <c r="W30" s="78" t="e">
        <v>#NUM!</v>
      </c>
      <c r="X30" s="137" t="e">
        <f ca="1">_xll.cfyql_SimpleQuoteSetValue(F30,W30/100,Trigger)</f>
        <v>#NAME?</v>
      </c>
      <c r="Y30" s="129"/>
    </row>
    <row r="31" spans="1:25" ht="11.25" customHeight="1" x14ac:dyDescent="0.2">
      <c r="A31" s="134"/>
      <c r="B31" s="142" t="str">
        <f t="shared" si="0"/>
        <v>24Y</v>
      </c>
      <c r="C31" s="141" t="str">
        <f t="shared" si="1"/>
        <v>AB</v>
      </c>
      <c r="D31" s="45" t="str">
        <f t="shared" si="2"/>
        <v>1E</v>
      </c>
      <c r="E31" s="43" t="str">
        <f t="shared" si="3"/>
        <v>EURAB1E24Y_Quote</v>
      </c>
      <c r="F31" s="43" t="e">
        <f ca="1">_xll.cfyql_SimpleQuote(Currency&amp;$C31&amp;$D31&amp;$B31&amp;QuoteSuffix,,RateTickValue,Permanent,Trigger,ObjectOverwrite)</f>
        <v>#NAME?</v>
      </c>
      <c r="G31" s="42" t="e">
        <f ca="1">_xll.ohRangeRetrieveError(F31)</f>
        <v>#NAME?</v>
      </c>
      <c r="H31" s="36"/>
      <c r="J31" s="134"/>
      <c r="K31" s="140" t="s">
        <v>32</v>
      </c>
      <c r="L31" s="140" t="s">
        <v>21</v>
      </c>
      <c r="M31" s="140" t="s">
        <v>71</v>
      </c>
      <c r="N31" s="139" t="str">
        <f t="shared" si="4"/>
        <v>EURAB1E24Y</v>
      </c>
      <c r="O31" s="139" t="str">
        <v>EURAB1E24Y=ICAP</v>
      </c>
      <c r="P31" s="78" t="s">
        <v>109</v>
      </c>
      <c r="Q31" s="78" t="s">
        <v>109</v>
      </c>
      <c r="R31" s="78" t="e">
        <f t="shared" si="5"/>
        <v>#NUM!</v>
      </c>
      <c r="S31" s="78" t="e">
        <f t="shared" si="6"/>
        <v>#NUM!</v>
      </c>
      <c r="T31" s="114"/>
      <c r="U31" s="138" t="e">
        <v>#NUM!</v>
      </c>
      <c r="V31" s="114"/>
      <c r="W31" s="78" t="e">
        <v>#NUM!</v>
      </c>
      <c r="X31" s="137" t="e">
        <f ca="1">_xll.cfyql_SimpleQuoteSetValue(F31,W31/100,Trigger)</f>
        <v>#NAME?</v>
      </c>
      <c r="Y31" s="129"/>
    </row>
    <row r="32" spans="1:25" ht="11.25" customHeight="1" x14ac:dyDescent="0.2">
      <c r="A32" s="134"/>
      <c r="B32" s="142" t="str">
        <f t="shared" si="0"/>
        <v>25Y</v>
      </c>
      <c r="C32" s="141" t="str">
        <f t="shared" si="1"/>
        <v>AB</v>
      </c>
      <c r="D32" s="45" t="str">
        <f t="shared" si="2"/>
        <v>1E</v>
      </c>
      <c r="E32" s="43" t="str">
        <f t="shared" si="3"/>
        <v>EURAB1E25Y_Quote</v>
      </c>
      <c r="F32" s="43" t="e">
        <f ca="1">_xll.cfyql_SimpleQuote(Currency&amp;$C32&amp;$D32&amp;$B32&amp;QuoteSuffix,,RateTickValue,Permanent,Trigger,ObjectOverwrite)</f>
        <v>#NAME?</v>
      </c>
      <c r="G32" s="42" t="e">
        <f ca="1">_xll.ohRangeRetrieveError(F32)</f>
        <v>#NAME?</v>
      </c>
      <c r="H32" s="36"/>
      <c r="J32" s="134"/>
      <c r="K32" s="140" t="s">
        <v>31</v>
      </c>
      <c r="L32" s="140" t="s">
        <v>21</v>
      </c>
      <c r="M32" s="140" t="s">
        <v>71</v>
      </c>
      <c r="N32" s="139" t="str">
        <f t="shared" si="4"/>
        <v>EURAB1E25Y</v>
      </c>
      <c r="O32" s="139" t="str">
        <v>EURAB1E25Y=ICAP</v>
      </c>
      <c r="P32" s="78">
        <v>1.3559999999999999</v>
      </c>
      <c r="Q32" s="78">
        <v>1.4259999999999999</v>
      </c>
      <c r="R32" s="78">
        <f t="shared" si="5"/>
        <v>1.391</v>
      </c>
      <c r="S32" s="78">
        <f t="shared" si="6"/>
        <v>7.0000000000000284E-2</v>
      </c>
      <c r="T32" s="114"/>
      <c r="U32" s="138">
        <v>1.391</v>
      </c>
      <c r="V32" s="114"/>
      <c r="W32" s="78">
        <v>1.391</v>
      </c>
      <c r="X32" s="137" t="e">
        <f ca="1">_xll.cfyql_SimpleQuoteSetValue(F32,W32/100,Trigger)</f>
        <v>#NAME?</v>
      </c>
      <c r="Y32" s="129"/>
    </row>
    <row r="33" spans="1:31" ht="11.25" customHeight="1" x14ac:dyDescent="0.2">
      <c r="A33" s="134"/>
      <c r="B33" s="142" t="str">
        <f t="shared" si="0"/>
        <v>26Y</v>
      </c>
      <c r="C33" s="141" t="str">
        <f t="shared" si="1"/>
        <v>AB</v>
      </c>
      <c r="D33" s="45" t="str">
        <f t="shared" si="2"/>
        <v>1E</v>
      </c>
      <c r="E33" s="43" t="str">
        <f t="shared" si="3"/>
        <v>EURAB1E26Y_Quote</v>
      </c>
      <c r="F33" s="43" t="e">
        <f ca="1">_xll.cfyql_SimpleQuote(Currency&amp;$C33&amp;$D33&amp;$B33&amp;QuoteSuffix,,RateTickValue,Permanent,Trigger,ObjectOverwrite)</f>
        <v>#NAME?</v>
      </c>
      <c r="G33" s="42" t="e">
        <f ca="1">_xll.ohRangeRetrieveError(F33)</f>
        <v>#NAME?</v>
      </c>
      <c r="H33" s="36"/>
      <c r="J33" s="134"/>
      <c r="K33" s="140" t="s">
        <v>30</v>
      </c>
      <c r="L33" s="140" t="s">
        <v>21</v>
      </c>
      <c r="M33" s="140" t="s">
        <v>71</v>
      </c>
      <c r="N33" s="139" t="str">
        <f t="shared" si="4"/>
        <v>EURAB1E26Y</v>
      </c>
      <c r="O33" s="139" t="str">
        <v>EURAB1E26Y=ICAP</v>
      </c>
      <c r="P33" s="78" t="s">
        <v>109</v>
      </c>
      <c r="Q33" s="78" t="s">
        <v>109</v>
      </c>
      <c r="R33" s="78" t="e">
        <f t="shared" si="5"/>
        <v>#NUM!</v>
      </c>
      <c r="S33" s="78" t="e">
        <f t="shared" si="6"/>
        <v>#NUM!</v>
      </c>
      <c r="T33" s="114"/>
      <c r="U33" s="138" t="e">
        <v>#NUM!</v>
      </c>
      <c r="V33" s="114"/>
      <c r="W33" s="78" t="e">
        <v>#NUM!</v>
      </c>
      <c r="X33" s="137" t="e">
        <f ca="1">_xll.cfyql_SimpleQuoteSetValue(F33,W33/100,Trigger)</f>
        <v>#NAME?</v>
      </c>
      <c r="Y33" s="129"/>
    </row>
    <row r="34" spans="1:31" ht="11.25" customHeight="1" x14ac:dyDescent="0.2">
      <c r="A34" s="134"/>
      <c r="B34" s="142" t="str">
        <f t="shared" si="0"/>
        <v>27Y</v>
      </c>
      <c r="C34" s="141" t="str">
        <f t="shared" si="1"/>
        <v>AB</v>
      </c>
      <c r="D34" s="45" t="str">
        <f t="shared" si="2"/>
        <v>1E</v>
      </c>
      <c r="E34" s="43" t="str">
        <f t="shared" si="3"/>
        <v>EURAB1E27Y_Quote</v>
      </c>
      <c r="F34" s="43" t="e">
        <f ca="1">_xll.cfyql_SimpleQuote(Currency&amp;$C34&amp;$D34&amp;$B34&amp;QuoteSuffix,,RateTickValue,Permanent,Trigger,ObjectOverwrite)</f>
        <v>#NAME?</v>
      </c>
      <c r="G34" s="42" t="e">
        <f ca="1">_xll.ohRangeRetrieveError(F34)</f>
        <v>#NAME?</v>
      </c>
      <c r="H34" s="36"/>
      <c r="J34" s="134"/>
      <c r="K34" s="140" t="s">
        <v>29</v>
      </c>
      <c r="L34" s="140" t="s">
        <v>21</v>
      </c>
      <c r="M34" s="140" t="s">
        <v>71</v>
      </c>
      <c r="N34" s="139" t="str">
        <f t="shared" si="4"/>
        <v>EURAB1E27Y</v>
      </c>
      <c r="O34" s="139" t="str">
        <v>EURAB1E27Y=ICAP</v>
      </c>
      <c r="P34" s="78" t="s">
        <v>109</v>
      </c>
      <c r="Q34" s="78" t="s">
        <v>109</v>
      </c>
      <c r="R34" s="78" t="e">
        <f t="shared" si="5"/>
        <v>#NUM!</v>
      </c>
      <c r="S34" s="78" t="e">
        <f t="shared" si="6"/>
        <v>#NUM!</v>
      </c>
      <c r="T34" s="114"/>
      <c r="U34" s="138" t="e">
        <v>#NUM!</v>
      </c>
      <c r="V34" s="114"/>
      <c r="W34" s="78" t="e">
        <v>#NUM!</v>
      </c>
      <c r="X34" s="137" t="e">
        <f ca="1">_xll.cfyql_SimpleQuoteSetValue(F34,W34/100,Trigger)</f>
        <v>#NAME?</v>
      </c>
      <c r="Y34" s="129"/>
    </row>
    <row r="35" spans="1:31" ht="11.25" customHeight="1" x14ac:dyDescent="0.2">
      <c r="A35" s="134"/>
      <c r="B35" s="142" t="str">
        <f t="shared" si="0"/>
        <v>28Y</v>
      </c>
      <c r="C35" s="141" t="str">
        <f t="shared" si="1"/>
        <v>AB</v>
      </c>
      <c r="D35" s="45" t="str">
        <f t="shared" si="2"/>
        <v>1E</v>
      </c>
      <c r="E35" s="43" t="str">
        <f t="shared" si="3"/>
        <v>EURAB1E28Y_Quote</v>
      </c>
      <c r="F35" s="43" t="e">
        <f ca="1">_xll.cfyql_SimpleQuote(Currency&amp;$C35&amp;$D35&amp;$B35&amp;QuoteSuffix,,RateTickValue,Permanent,Trigger,ObjectOverwrite)</f>
        <v>#NAME?</v>
      </c>
      <c r="G35" s="42" t="e">
        <f ca="1">_xll.ohRangeRetrieveError(F35)</f>
        <v>#NAME?</v>
      </c>
      <c r="H35" s="36"/>
      <c r="J35" s="134"/>
      <c r="K35" s="140" t="s">
        <v>28</v>
      </c>
      <c r="L35" s="140" t="s">
        <v>21</v>
      </c>
      <c r="M35" s="140" t="s">
        <v>71</v>
      </c>
      <c r="N35" s="139" t="str">
        <f t="shared" si="4"/>
        <v>EURAB1E28Y</v>
      </c>
      <c r="O35" s="139" t="str">
        <v>EURAB1E28Y=ICAP</v>
      </c>
      <c r="P35" s="78" t="s">
        <v>109</v>
      </c>
      <c r="Q35" s="78" t="s">
        <v>109</v>
      </c>
      <c r="R35" s="78" t="e">
        <f t="shared" si="5"/>
        <v>#NUM!</v>
      </c>
      <c r="S35" s="78" t="e">
        <f t="shared" si="6"/>
        <v>#NUM!</v>
      </c>
      <c r="T35" s="114"/>
      <c r="U35" s="138" t="e">
        <v>#NUM!</v>
      </c>
      <c r="V35" s="114"/>
      <c r="W35" s="78" t="e">
        <v>#NUM!</v>
      </c>
      <c r="X35" s="137" t="e">
        <f ca="1">_xll.cfyql_SimpleQuoteSetValue(F35,W35/100,Trigger)</f>
        <v>#NAME?</v>
      </c>
      <c r="Y35" s="129"/>
      <c r="AE35" s="176"/>
    </row>
    <row r="36" spans="1:31" ht="11.25" customHeight="1" x14ac:dyDescent="0.2">
      <c r="A36" s="134"/>
      <c r="B36" s="142" t="str">
        <f t="shared" si="0"/>
        <v>29Y</v>
      </c>
      <c r="C36" s="141" t="str">
        <f t="shared" si="1"/>
        <v>AB</v>
      </c>
      <c r="D36" s="45" t="str">
        <f t="shared" si="2"/>
        <v>1E</v>
      </c>
      <c r="E36" s="43" t="str">
        <f t="shared" si="3"/>
        <v>EURAB1E29Y_Quote</v>
      </c>
      <c r="F36" s="43" t="e">
        <f ca="1">_xll.cfyql_SimpleQuote(Currency&amp;$C36&amp;$D36&amp;$B36&amp;QuoteSuffix,,RateTickValue,Permanent,Trigger,ObjectOverwrite)</f>
        <v>#NAME?</v>
      </c>
      <c r="G36" s="42" t="e">
        <f ca="1">_xll.ohRangeRetrieveError(F36)</f>
        <v>#NAME?</v>
      </c>
      <c r="H36" s="36"/>
      <c r="J36" s="134"/>
      <c r="K36" s="140" t="s">
        <v>27</v>
      </c>
      <c r="L36" s="140" t="s">
        <v>21</v>
      </c>
      <c r="M36" s="140" t="s">
        <v>71</v>
      </c>
      <c r="N36" s="139" t="str">
        <f t="shared" si="4"/>
        <v>EURAB1E29Y</v>
      </c>
      <c r="O36" s="139" t="str">
        <v>EURAB1E29Y=ICAP</v>
      </c>
      <c r="P36" s="78" t="s">
        <v>109</v>
      </c>
      <c r="Q36" s="78" t="s">
        <v>109</v>
      </c>
      <c r="R36" s="78" t="e">
        <f t="shared" si="5"/>
        <v>#NUM!</v>
      </c>
      <c r="S36" s="78" t="e">
        <f t="shared" si="6"/>
        <v>#NUM!</v>
      </c>
      <c r="T36" s="114"/>
      <c r="U36" s="138" t="e">
        <v>#NUM!</v>
      </c>
      <c r="V36" s="114"/>
      <c r="W36" s="78" t="e">
        <v>#NUM!</v>
      </c>
      <c r="X36" s="137" t="e">
        <f ca="1">_xll.cfyql_SimpleQuoteSetValue(F36,W36/100,Trigger)</f>
        <v>#NAME?</v>
      </c>
      <c r="Y36" s="129"/>
      <c r="AE36" s="176"/>
    </row>
    <row r="37" spans="1:31" ht="11.25" customHeight="1" x14ac:dyDescent="0.2">
      <c r="A37" s="134"/>
      <c r="B37" s="142" t="str">
        <f t="shared" si="0"/>
        <v>30Y</v>
      </c>
      <c r="C37" s="141" t="str">
        <f t="shared" si="1"/>
        <v>AB</v>
      </c>
      <c r="D37" s="45" t="str">
        <f t="shared" si="2"/>
        <v>1E</v>
      </c>
      <c r="E37" s="43" t="str">
        <f t="shared" si="3"/>
        <v>EURAB1E30Y_Quote</v>
      </c>
      <c r="F37" s="43" t="e">
        <f ca="1">_xll.cfyql_SimpleQuote(Currency&amp;$C37&amp;$D37&amp;$B37&amp;QuoteSuffix,,RateTickValue,Permanent,Trigger,ObjectOverwrite)</f>
        <v>#NAME?</v>
      </c>
      <c r="G37" s="42" t="e">
        <f ca="1">_xll.ohRangeRetrieveError(F37)</f>
        <v>#NAME?</v>
      </c>
      <c r="H37" s="36"/>
      <c r="J37" s="134"/>
      <c r="K37" s="140" t="s">
        <v>26</v>
      </c>
      <c r="L37" s="140" t="s">
        <v>21</v>
      </c>
      <c r="M37" s="140" t="s">
        <v>71</v>
      </c>
      <c r="N37" s="139" t="str">
        <f t="shared" si="4"/>
        <v>EURAB1E30Y</v>
      </c>
      <c r="O37" s="139" t="str">
        <v>EURAB1E30Y=ICAP</v>
      </c>
      <c r="P37" s="78">
        <v>1.371</v>
      </c>
      <c r="Q37" s="78">
        <v>1.4410000000000001</v>
      </c>
      <c r="R37" s="78">
        <f t="shared" si="5"/>
        <v>1.4060000000000001</v>
      </c>
      <c r="S37" s="78">
        <f t="shared" si="6"/>
        <v>7.0000000000000284E-2</v>
      </c>
      <c r="T37" s="114"/>
      <c r="U37" s="138">
        <v>1.4060000000000001</v>
      </c>
      <c r="V37" s="114"/>
      <c r="W37" s="78">
        <v>1.4060000000000001</v>
      </c>
      <c r="X37" s="137" t="e">
        <f ca="1">_xll.cfyql_SimpleQuoteSetValue(F37,W37/100,Trigger)</f>
        <v>#NAME?</v>
      </c>
      <c r="Y37" s="129"/>
      <c r="AE37" s="176"/>
    </row>
    <row r="38" spans="1:31" ht="11.25" customHeight="1" x14ac:dyDescent="0.2">
      <c r="A38" s="134"/>
      <c r="B38" s="142" t="str">
        <f t="shared" si="0"/>
        <v>35Y</v>
      </c>
      <c r="C38" s="141" t="str">
        <f t="shared" si="1"/>
        <v>AB</v>
      </c>
      <c r="D38" s="45" t="str">
        <f t="shared" si="2"/>
        <v>1E</v>
      </c>
      <c r="E38" s="43" t="str">
        <f t="shared" si="3"/>
        <v>EURAB1E35Y_Quote</v>
      </c>
      <c r="F38" s="43" t="e">
        <f ca="1">_xll.cfyql_SimpleQuote(Currency&amp;$C38&amp;$D38&amp;$B38&amp;QuoteSuffix,,RateTickValue,Permanent,Trigger,ObjectOverwrite)</f>
        <v>#NAME?</v>
      </c>
      <c r="G38" s="42" t="e">
        <f ca="1">_xll.ohRangeRetrieveError(F38)</f>
        <v>#NAME?</v>
      </c>
      <c r="H38" s="36"/>
      <c r="J38" s="134"/>
      <c r="K38" s="140" t="s">
        <v>25</v>
      </c>
      <c r="L38" s="140" t="s">
        <v>21</v>
      </c>
      <c r="M38" s="140" t="s">
        <v>71</v>
      </c>
      <c r="N38" s="139" t="str">
        <f t="shared" si="4"/>
        <v>EURAB1E35Y</v>
      </c>
      <c r="O38" s="139" t="str">
        <v>EURAB1E35Y=ICAP</v>
      </c>
      <c r="P38" s="78" t="s">
        <v>109</v>
      </c>
      <c r="Q38" s="78" t="s">
        <v>109</v>
      </c>
      <c r="R38" s="78" t="e">
        <f t="shared" si="5"/>
        <v>#NUM!</v>
      </c>
      <c r="S38" s="78" t="e">
        <f t="shared" si="6"/>
        <v>#NUM!</v>
      </c>
      <c r="T38" s="114"/>
      <c r="U38" s="138" t="e">
        <v>#NUM!</v>
      </c>
      <c r="V38" s="114"/>
      <c r="W38" s="78" t="e">
        <v>#NUM!</v>
      </c>
      <c r="X38" s="137" t="e">
        <f ca="1">_xll.cfyql_SimpleQuoteSetValue(F38,W38/100,Trigger)</f>
        <v>#NAME?</v>
      </c>
      <c r="Y38" s="129"/>
      <c r="AE38" s="176"/>
    </row>
    <row r="39" spans="1:31" ht="11.25" customHeight="1" x14ac:dyDescent="0.2">
      <c r="A39" s="134"/>
      <c r="B39" s="142" t="str">
        <f t="shared" si="0"/>
        <v>40Y</v>
      </c>
      <c r="C39" s="141" t="str">
        <f t="shared" si="1"/>
        <v>AB</v>
      </c>
      <c r="D39" s="45" t="str">
        <f t="shared" si="2"/>
        <v>1E</v>
      </c>
      <c r="E39" s="43" t="str">
        <f t="shared" si="3"/>
        <v>EURAB1E40Y_Quote</v>
      </c>
      <c r="F39" s="43" t="e">
        <f ca="1">_xll.cfyql_SimpleQuote(Currency&amp;$C39&amp;$D39&amp;$B39&amp;QuoteSuffix,,RateTickValue,Permanent,Trigger,ObjectOverwrite)</f>
        <v>#NAME?</v>
      </c>
      <c r="G39" s="42" t="e">
        <f ca="1">_xll.ohRangeRetrieveError(F39)</f>
        <v>#NAME?</v>
      </c>
      <c r="H39" s="36"/>
      <c r="J39" s="134"/>
      <c r="K39" s="140" t="s">
        <v>24</v>
      </c>
      <c r="L39" s="140" t="s">
        <v>21</v>
      </c>
      <c r="M39" s="140" t="s">
        <v>71</v>
      </c>
      <c r="N39" s="139" t="str">
        <f t="shared" si="4"/>
        <v>EURAB1E40Y</v>
      </c>
      <c r="O39" s="139" t="str">
        <v>EURAB1E40Y=ICAP</v>
      </c>
      <c r="P39" s="78">
        <v>1.391</v>
      </c>
      <c r="Q39" s="78">
        <v>1.4610000000000001</v>
      </c>
      <c r="R39" s="78">
        <f t="shared" si="5"/>
        <v>1.4260000000000002</v>
      </c>
      <c r="S39" s="78">
        <f t="shared" si="6"/>
        <v>7.0000000000000284E-2</v>
      </c>
      <c r="T39" s="114"/>
      <c r="U39" s="138">
        <v>1.4260000000000002</v>
      </c>
      <c r="V39" s="114"/>
      <c r="W39" s="78">
        <v>1.4260000000000002</v>
      </c>
      <c r="X39" s="137" t="e">
        <f ca="1">_xll.cfyql_SimpleQuoteSetValue(F39,W39/100,Trigger)</f>
        <v>#NAME?</v>
      </c>
      <c r="Y39" s="129"/>
      <c r="AE39" s="176"/>
    </row>
    <row r="40" spans="1:31" ht="11.25" customHeight="1" x14ac:dyDescent="0.2">
      <c r="A40" s="134"/>
      <c r="B40" s="142" t="str">
        <f t="shared" si="0"/>
        <v>50Y</v>
      </c>
      <c r="C40" s="141" t="str">
        <f t="shared" si="1"/>
        <v>AB</v>
      </c>
      <c r="D40" s="45" t="str">
        <f t="shared" si="2"/>
        <v>1E</v>
      </c>
      <c r="E40" s="43" t="str">
        <f t="shared" si="3"/>
        <v>EURAB1E50Y_Quote</v>
      </c>
      <c r="F40" s="43" t="e">
        <f ca="1">_xll.cfyql_SimpleQuote(Currency&amp;$C40&amp;$D40&amp;$B40&amp;QuoteSuffix,,RateTickValue,Permanent,Trigger,ObjectOverwrite)</f>
        <v>#NAME?</v>
      </c>
      <c r="G40" s="42" t="e">
        <f ca="1">_xll.ohRangeRetrieveError(F40)</f>
        <v>#NAME?</v>
      </c>
      <c r="H40" s="36"/>
      <c r="J40" s="134"/>
      <c r="K40" s="140" t="s">
        <v>23</v>
      </c>
      <c r="L40" s="140" t="s">
        <v>21</v>
      </c>
      <c r="M40" s="140" t="s">
        <v>71</v>
      </c>
      <c r="N40" s="139" t="str">
        <f t="shared" si="4"/>
        <v>EURAB1E50Y</v>
      </c>
      <c r="O40" s="139" t="str">
        <v>EURAB1E50Y=ICAP</v>
      </c>
      <c r="P40" s="78">
        <v>1.355</v>
      </c>
      <c r="Q40" s="78">
        <v>1.425</v>
      </c>
      <c r="R40" s="78">
        <f t="shared" si="5"/>
        <v>1.3900000000000001</v>
      </c>
      <c r="S40" s="78">
        <f t="shared" si="6"/>
        <v>7.0000000000000284E-2</v>
      </c>
      <c r="T40" s="114"/>
      <c r="U40" s="138">
        <v>1.3900000000000001</v>
      </c>
      <c r="V40" s="114"/>
      <c r="W40" s="78">
        <v>1.3900000000000001</v>
      </c>
      <c r="X40" s="137" t="e">
        <f ca="1">_xll.cfyql_SimpleQuoteSetValue(F40,W40/100,Trigger)</f>
        <v>#NAME?</v>
      </c>
      <c r="Y40" s="129"/>
      <c r="AE40" s="176"/>
    </row>
    <row r="41" spans="1:31" ht="11.25" customHeight="1" x14ac:dyDescent="0.2">
      <c r="A41" s="134"/>
      <c r="B41" s="136" t="str">
        <f t="shared" si="0"/>
        <v>60Y</v>
      </c>
      <c r="C41" s="135" t="str">
        <f t="shared" si="1"/>
        <v>AB</v>
      </c>
      <c r="D41" s="40" t="str">
        <f t="shared" si="2"/>
        <v>1E</v>
      </c>
      <c r="E41" s="38" t="str">
        <f t="shared" si="3"/>
        <v>EURAB1E60Y_Quote</v>
      </c>
      <c r="F41" s="38" t="e">
        <f ca="1">_xll.cfyql_SimpleQuote(Currency&amp;$C41&amp;$D41&amp;$B41&amp;QuoteSuffix,,RateTickValue,Permanent,Trigger,ObjectOverwrite)</f>
        <v>#NAME?</v>
      </c>
      <c r="G41" s="37" t="e">
        <f ca="1">_xll.ohRangeRetrieveError(F41)</f>
        <v>#NAME?</v>
      </c>
      <c r="H41" s="36"/>
      <c r="J41" s="134"/>
      <c r="K41" s="140" t="s">
        <v>22</v>
      </c>
      <c r="L41" s="140" t="s">
        <v>21</v>
      </c>
      <c r="M41" s="140" t="s">
        <v>71</v>
      </c>
      <c r="N41" s="139" t="str">
        <f t="shared" si="4"/>
        <v>EURAB1E60Y</v>
      </c>
      <c r="O41" s="139" t="str">
        <v>EURAB1E60Y=ICAP</v>
      </c>
      <c r="P41" s="78">
        <v>1.347</v>
      </c>
      <c r="Q41" s="78">
        <v>1.417</v>
      </c>
      <c r="R41" s="78">
        <f t="shared" si="5"/>
        <v>1.3820000000000001</v>
      </c>
      <c r="S41" s="65">
        <f t="shared" si="6"/>
        <v>7.0000000000000284E-2</v>
      </c>
      <c r="T41" s="114"/>
      <c r="U41" s="131">
        <v>1.3820000000000001</v>
      </c>
      <c r="V41" s="114"/>
      <c r="W41" s="65">
        <v>1.3820000000000001</v>
      </c>
      <c r="X41" s="130" t="e">
        <f ca="1">_xll.cfyql_SimpleQuoteSetValue(F41,W41/100,Trigger)</f>
        <v>#NAME?</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110</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t="e">
        <f ca="1">_xll.cfyql_Trigger('General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_xll.cfyql_Trigger(X5:X41)</f>
        <v>#NAME?</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3E</v>
      </c>
      <c r="E5" s="43" t="str">
        <f t="shared" ref="E5:E41" si="3">Currency&amp;$C5&amp;$D5&amp;$B5&amp;QuoteSuffix</f>
        <v>EURAB3E1Y_Quote</v>
      </c>
      <c r="F5" s="43" t="e">
        <f ca="1">_xll.cfyql_SimpleQuote(Currency&amp;$C5&amp;$D5&amp;$B5&amp;QuoteSuffix,,RateTickValue,Permanent,Trigger,ObjectOverwrite)</f>
        <v>#NAME?</v>
      </c>
      <c r="G5" s="42" t="e">
        <f ca="1">_xll.ohRangeRetrieveError(F5)</f>
        <v>#NAME?</v>
      </c>
      <c r="H5" s="36"/>
      <c r="J5" s="134"/>
      <c r="K5" s="140" t="s">
        <v>58</v>
      </c>
      <c r="L5" s="140" t="s">
        <v>21</v>
      </c>
      <c r="M5" s="140" t="s">
        <v>69</v>
      </c>
      <c r="N5" s="139" t="str">
        <f t="shared" ref="N5:N41" si="4">Currency&amp;$L5&amp;$M5&amp;$K5</f>
        <v>EURAB3E1Y</v>
      </c>
      <c r="O5" s="139"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4"/>
      <c r="U5" s="138">
        <v>-5.5999999999999994E-2</v>
      </c>
      <c r="V5" s="114"/>
      <c r="W5" s="78">
        <f t="array" ref="W5:W41">QuoteStatic</f>
        <v>-5.5999999999999994E-2</v>
      </c>
      <c r="X5" s="137" t="e">
        <f ca="1">_xll.cfyql_SimpleQuoteSetValue(F5,W5/100,Trigger)</f>
        <v>#NAME?</v>
      </c>
      <c r="Y5" s="129"/>
    </row>
    <row r="6" spans="1:28" ht="11.25" customHeight="1" x14ac:dyDescent="0.2">
      <c r="A6" s="134"/>
      <c r="B6" s="142" t="str">
        <f t="shared" si="0"/>
        <v>15M</v>
      </c>
      <c r="C6" s="141" t="str">
        <f t="shared" si="1"/>
        <v>AB</v>
      </c>
      <c r="D6" s="45" t="str">
        <f t="shared" si="2"/>
        <v>3E</v>
      </c>
      <c r="E6" s="43" t="str">
        <f t="shared" si="3"/>
        <v>EURAB3E15M_Quote</v>
      </c>
      <c r="F6" s="43" t="e">
        <f ca="1">_xll.cfyql_SimpleQuote(Currency&amp;$C6&amp;$D6&amp;$B6&amp;QuoteSuffix,,RateTickValue,Permanent,Trigger,ObjectOverwrite)</f>
        <v>#NAME?</v>
      </c>
      <c r="G6" s="42" t="e">
        <f ca="1">_xll.ohRangeRetrieveError(F6)</f>
        <v>#NAME?</v>
      </c>
      <c r="H6" s="36"/>
      <c r="J6" s="134"/>
      <c r="K6" s="140" t="s">
        <v>57</v>
      </c>
      <c r="L6" s="140" t="s">
        <v>21</v>
      </c>
      <c r="M6" s="140" t="s">
        <v>69</v>
      </c>
      <c r="N6" s="139" t="str">
        <f t="shared" si="4"/>
        <v>EURAB3E15M</v>
      </c>
      <c r="O6" s="139" t="str">
        <v>EURAB3E15M=ICAP</v>
      </c>
      <c r="P6" s="78">
        <v>-8.0999999999999989E-2</v>
      </c>
      <c r="Q6" s="78">
        <v>-3.1E-2</v>
      </c>
      <c r="R6" s="78">
        <f t="shared" si="5"/>
        <v>-5.5999999999999994E-2</v>
      </c>
      <c r="S6" s="78">
        <f t="shared" si="6"/>
        <v>4.9999999999999989E-2</v>
      </c>
      <c r="T6" s="114"/>
      <c r="U6" s="138">
        <v>-5.5999999999999994E-2</v>
      </c>
      <c r="V6" s="114"/>
      <c r="W6" s="78">
        <v>-5.5999999999999994E-2</v>
      </c>
      <c r="X6" s="137" t="e">
        <f ca="1">_xll.cfyql_SimpleQuoteSetValue(F6,W6/100,Trigger)</f>
        <v>#NAME?</v>
      </c>
      <c r="Y6" s="129"/>
    </row>
    <row r="7" spans="1:28" ht="11.25" customHeight="1" x14ac:dyDescent="0.2">
      <c r="A7" s="134"/>
      <c r="B7" s="142" t="str">
        <f t="shared" si="0"/>
        <v>18M</v>
      </c>
      <c r="C7" s="141" t="str">
        <f t="shared" si="1"/>
        <v>AB</v>
      </c>
      <c r="D7" s="45" t="str">
        <f t="shared" si="2"/>
        <v>3E</v>
      </c>
      <c r="E7" s="43" t="str">
        <f t="shared" si="3"/>
        <v>EURAB3E18M_Quote</v>
      </c>
      <c r="F7" s="43" t="e">
        <f ca="1">_xll.cfyql_SimpleQuote(Currency&amp;$C7&amp;$D7&amp;$B7&amp;QuoteSuffix,,RateTickValue,Permanent,Trigger,ObjectOverwrite)</f>
        <v>#NAME?</v>
      </c>
      <c r="G7" s="42" t="e">
        <f ca="1">_xll.ohRangeRetrieveError(F7)</f>
        <v>#NAME?</v>
      </c>
      <c r="H7" s="36"/>
      <c r="J7" s="134"/>
      <c r="K7" s="140" t="s">
        <v>56</v>
      </c>
      <c r="L7" s="140" t="s">
        <v>21</v>
      </c>
      <c r="M7" s="140" t="s">
        <v>69</v>
      </c>
      <c r="N7" s="139" t="str">
        <f t="shared" si="4"/>
        <v>EURAB3E18M</v>
      </c>
      <c r="O7" s="139" t="str">
        <v>EURAB3E18M=ICAP</v>
      </c>
      <c r="P7" s="78">
        <v>-7.8E-2</v>
      </c>
      <c r="Q7" s="78">
        <v>-2.7999999999999997E-2</v>
      </c>
      <c r="R7" s="78">
        <f t="shared" si="5"/>
        <v>-5.2999999999999999E-2</v>
      </c>
      <c r="S7" s="78">
        <f t="shared" si="6"/>
        <v>0.05</v>
      </c>
      <c r="T7" s="114"/>
      <c r="U7" s="138">
        <v>-5.2999999999999999E-2</v>
      </c>
      <c r="V7" s="114"/>
      <c r="W7" s="78">
        <v>-5.2999999999999999E-2</v>
      </c>
      <c r="X7" s="137" t="e">
        <f ca="1">_xll.cfyql_SimpleQuoteSetValue(F7,W7/100,Trigger)</f>
        <v>#NAME?</v>
      </c>
      <c r="Y7" s="129"/>
    </row>
    <row r="8" spans="1:28" ht="11.25" customHeight="1" x14ac:dyDescent="0.2">
      <c r="A8" s="134"/>
      <c r="B8" s="142" t="str">
        <f t="shared" si="0"/>
        <v>21M</v>
      </c>
      <c r="C8" s="141" t="str">
        <f t="shared" si="1"/>
        <v>AB</v>
      </c>
      <c r="D8" s="45" t="str">
        <f t="shared" si="2"/>
        <v>3E</v>
      </c>
      <c r="E8" s="43" t="str">
        <f t="shared" si="3"/>
        <v>EURAB3E21M_Quote</v>
      </c>
      <c r="F8" s="43" t="e">
        <f ca="1">_xll.cfyql_SimpleQuote(Currency&amp;$C8&amp;$D8&amp;$B8&amp;QuoteSuffix,,RateTickValue,Permanent,Trigger,ObjectOverwrite)</f>
        <v>#NAME?</v>
      </c>
      <c r="G8" s="42" t="e">
        <f ca="1">_xll.ohRangeRetrieveError(F8)</f>
        <v>#NAME?</v>
      </c>
      <c r="H8" s="36"/>
      <c r="J8" s="134"/>
      <c r="K8" s="140" t="s">
        <v>55</v>
      </c>
      <c r="L8" s="140" t="s">
        <v>21</v>
      </c>
      <c r="M8" s="140" t="s">
        <v>69</v>
      </c>
      <c r="N8" s="139" t="str">
        <f t="shared" si="4"/>
        <v>EURAB3E21M</v>
      </c>
      <c r="O8" s="139" t="str">
        <v>EURAB3E21M=ICAP</v>
      </c>
      <c r="P8" s="78">
        <v>-7.3999999999999996E-2</v>
      </c>
      <c r="Q8" s="78">
        <v>-2.4E-2</v>
      </c>
      <c r="R8" s="78">
        <f t="shared" si="5"/>
        <v>-4.9000000000000002E-2</v>
      </c>
      <c r="S8" s="78">
        <f t="shared" si="6"/>
        <v>4.9999999999999989E-2</v>
      </c>
      <c r="T8" s="114"/>
      <c r="U8" s="138">
        <v>-4.9000000000000002E-2</v>
      </c>
      <c r="V8" s="114"/>
      <c r="W8" s="78">
        <v>-4.9000000000000002E-2</v>
      </c>
      <c r="X8" s="137" t="e">
        <f ca="1">_xll.cfyql_SimpleQuoteSetValue(F8,W8/100,Trigger)</f>
        <v>#NAME?</v>
      </c>
      <c r="Y8" s="129"/>
    </row>
    <row r="9" spans="1:28" ht="11.25" customHeight="1" x14ac:dyDescent="0.2">
      <c r="A9" s="134"/>
      <c r="B9" s="142" t="str">
        <f t="shared" si="0"/>
        <v>2Y</v>
      </c>
      <c r="C9" s="141" t="str">
        <f t="shared" si="1"/>
        <v>AB</v>
      </c>
      <c r="D9" s="45" t="str">
        <f t="shared" si="2"/>
        <v>3E</v>
      </c>
      <c r="E9" s="43" t="str">
        <f t="shared" si="3"/>
        <v>EURAB3E2Y_Quote</v>
      </c>
      <c r="F9" s="43" t="e">
        <f ca="1">_xll.cfyql_SimpleQuote(Currency&amp;$C9&amp;$D9&amp;$B9&amp;QuoteSuffix,,RateTickValue,Permanent,Trigger,ObjectOverwrite)</f>
        <v>#NAME?</v>
      </c>
      <c r="G9" s="42" t="e">
        <f ca="1">_xll.ohRangeRetrieveError(F9)</f>
        <v>#NAME?</v>
      </c>
      <c r="H9" s="36"/>
      <c r="J9" s="134"/>
      <c r="K9" s="140" t="s">
        <v>54</v>
      </c>
      <c r="L9" s="140" t="s">
        <v>21</v>
      </c>
      <c r="M9" s="140" t="s">
        <v>69</v>
      </c>
      <c r="N9" s="139" t="str">
        <f t="shared" si="4"/>
        <v>EURAB3E2Y</v>
      </c>
      <c r="O9" s="139" t="str">
        <v>EURAB3E2Y=ICAP</v>
      </c>
      <c r="P9" s="78">
        <v>-6.4000000000000001E-2</v>
      </c>
      <c r="Q9" s="78">
        <v>-1.3999999999999999E-2</v>
      </c>
      <c r="R9" s="78">
        <f t="shared" si="5"/>
        <v>-3.9E-2</v>
      </c>
      <c r="S9" s="78">
        <f t="shared" si="6"/>
        <v>0.05</v>
      </c>
      <c r="T9" s="114"/>
      <c r="U9" s="138">
        <v>-3.9E-2</v>
      </c>
      <c r="V9" s="114"/>
      <c r="W9" s="78">
        <v>-3.9E-2</v>
      </c>
      <c r="X9" s="137" t="e">
        <f ca="1">_xll.cfyql_SimpleQuoteSetValue(F9,W9/100,Trigger)</f>
        <v>#NAME?</v>
      </c>
      <c r="Y9" s="129"/>
    </row>
    <row r="10" spans="1:28" ht="11.25" customHeight="1" x14ac:dyDescent="0.2">
      <c r="A10" s="134"/>
      <c r="B10" s="142" t="str">
        <f t="shared" si="0"/>
        <v>3Y</v>
      </c>
      <c r="C10" s="141" t="str">
        <f t="shared" si="1"/>
        <v>AB</v>
      </c>
      <c r="D10" s="45" t="str">
        <f t="shared" si="2"/>
        <v>3E</v>
      </c>
      <c r="E10" s="43" t="str">
        <f t="shared" si="3"/>
        <v>EURAB3E3Y_Quote</v>
      </c>
      <c r="F10" s="43" t="e">
        <f ca="1">_xll.cfyql_SimpleQuote(Currency&amp;$C10&amp;$D10&amp;$B10&amp;QuoteSuffix,,RateTickValue,Permanent,Trigger,ObjectOverwrite)</f>
        <v>#NAME?</v>
      </c>
      <c r="G10" s="42" t="e">
        <f ca="1">_xll.ohRangeRetrieveError(F10)</f>
        <v>#NAME?</v>
      </c>
      <c r="H10" s="36"/>
      <c r="J10" s="134"/>
      <c r="K10" s="140" t="s">
        <v>53</v>
      </c>
      <c r="L10" s="140" t="s">
        <v>21</v>
      </c>
      <c r="M10" s="140" t="s">
        <v>69</v>
      </c>
      <c r="N10" s="139" t="str">
        <f t="shared" si="4"/>
        <v>EURAB3E3Y</v>
      </c>
      <c r="O10" s="139" t="str">
        <v>EURAB3E3Y=ICAP</v>
      </c>
      <c r="P10" s="78">
        <v>0</v>
      </c>
      <c r="Q10" s="78">
        <v>0.05</v>
      </c>
      <c r="R10" s="78">
        <f t="shared" si="5"/>
        <v>2.5000000000000001E-2</v>
      </c>
      <c r="S10" s="78">
        <f t="shared" si="6"/>
        <v>0.05</v>
      </c>
      <c r="T10" s="114"/>
      <c r="U10" s="138">
        <v>2.5000000000000001E-2</v>
      </c>
      <c r="V10" s="114"/>
      <c r="W10" s="78">
        <v>2.5000000000000001E-2</v>
      </c>
      <c r="X10" s="137" t="e">
        <f ca="1">_xll.cfyql_SimpleQuoteSetValue(F10,W10/100,Trigger)</f>
        <v>#NAME?</v>
      </c>
      <c r="Y10" s="129"/>
    </row>
    <row r="11" spans="1:28" ht="11.25" customHeight="1" x14ac:dyDescent="0.2">
      <c r="A11" s="134"/>
      <c r="B11" s="142" t="str">
        <f t="shared" si="0"/>
        <v>4Y</v>
      </c>
      <c r="C11" s="141" t="str">
        <f t="shared" si="1"/>
        <v>AB</v>
      </c>
      <c r="D11" s="45" t="str">
        <f t="shared" si="2"/>
        <v>3E</v>
      </c>
      <c r="E11" s="43" t="str">
        <f t="shared" si="3"/>
        <v>EURAB3E4Y_Quote</v>
      </c>
      <c r="F11" s="43" t="e">
        <f ca="1">_xll.cfyql_SimpleQuote(Currency&amp;$C11&amp;$D11&amp;$B11&amp;QuoteSuffix,,RateTickValue,Permanent,Trigger,ObjectOverwrite)</f>
        <v>#NAME?</v>
      </c>
      <c r="G11" s="42" t="e">
        <f ca="1">_xll.ohRangeRetrieveError(F11)</f>
        <v>#NAME?</v>
      </c>
      <c r="H11" s="36"/>
      <c r="J11" s="134"/>
      <c r="K11" s="140" t="s">
        <v>52</v>
      </c>
      <c r="L11" s="140" t="s">
        <v>21</v>
      </c>
      <c r="M11" s="140" t="s">
        <v>69</v>
      </c>
      <c r="N11" s="139" t="str">
        <f t="shared" si="4"/>
        <v>EURAB3E4Y</v>
      </c>
      <c r="O11" s="139" t="str">
        <v>EURAB3E4Y=ICAP</v>
      </c>
      <c r="P11" s="78">
        <v>0.1</v>
      </c>
      <c r="Q11" s="78">
        <v>0.15</v>
      </c>
      <c r="R11" s="78">
        <f t="shared" si="5"/>
        <v>0.125</v>
      </c>
      <c r="S11" s="78">
        <f t="shared" si="6"/>
        <v>4.9999999999999989E-2</v>
      </c>
      <c r="T11" s="114"/>
      <c r="U11" s="138">
        <v>0.125</v>
      </c>
      <c r="V11" s="114"/>
      <c r="W11" s="78">
        <v>0.125</v>
      </c>
      <c r="X11" s="137" t="e">
        <f ca="1">_xll.cfyql_SimpleQuoteSetValue(F11,W11/100,Trigger)</f>
        <v>#NAME?</v>
      </c>
      <c r="Y11" s="129"/>
    </row>
    <row r="12" spans="1:28" ht="11.25" customHeight="1" x14ac:dyDescent="0.2">
      <c r="A12" s="134"/>
      <c r="B12" s="142" t="str">
        <f t="shared" si="0"/>
        <v>5Y</v>
      </c>
      <c r="C12" s="141" t="str">
        <f t="shared" si="1"/>
        <v>AB</v>
      </c>
      <c r="D12" s="45" t="str">
        <f t="shared" si="2"/>
        <v>3E</v>
      </c>
      <c r="E12" s="43" t="str">
        <f t="shared" si="3"/>
        <v>EURAB3E5Y_Quote</v>
      </c>
      <c r="F12" s="43" t="e">
        <f ca="1">_xll.cfyql_SimpleQuote(Currency&amp;$C12&amp;$D12&amp;$B12&amp;QuoteSuffix,,RateTickValue,Permanent,Trigger,ObjectOverwrite)</f>
        <v>#NAME?</v>
      </c>
      <c r="G12" s="42" t="e">
        <f ca="1">_xll.ohRangeRetrieveError(F12)</f>
        <v>#NAME?</v>
      </c>
      <c r="H12" s="36"/>
      <c r="J12" s="134"/>
      <c r="K12" s="140" t="s">
        <v>51</v>
      </c>
      <c r="L12" s="140" t="s">
        <v>21</v>
      </c>
      <c r="M12" s="140" t="s">
        <v>69</v>
      </c>
      <c r="N12" s="139" t="str">
        <f t="shared" si="4"/>
        <v>EURAB3E5Y</v>
      </c>
      <c r="O12" s="139" t="str">
        <v>EURAB3E5Y=ICAP</v>
      </c>
      <c r="P12" s="78">
        <v>0.217</v>
      </c>
      <c r="Q12" s="78">
        <v>0.26700000000000002</v>
      </c>
      <c r="R12" s="78">
        <f t="shared" si="5"/>
        <v>0.24199999999999999</v>
      </c>
      <c r="S12" s="78">
        <f t="shared" si="6"/>
        <v>4.9999999999999989E-2</v>
      </c>
      <c r="T12" s="114"/>
      <c r="U12" s="138">
        <v>0.24199999999999999</v>
      </c>
      <c r="V12" s="114"/>
      <c r="W12" s="78">
        <v>0.24199999999999999</v>
      </c>
      <c r="X12" s="137" t="e">
        <f ca="1">_xll.cfyql_SimpleQuoteSetValue(F12,W12/100,Trigger)</f>
        <v>#NAME?</v>
      </c>
      <c r="Y12" s="129"/>
    </row>
    <row r="13" spans="1:28" ht="11.25" customHeight="1" x14ac:dyDescent="0.2">
      <c r="A13" s="134"/>
      <c r="B13" s="142" t="str">
        <f t="shared" si="0"/>
        <v>6Y</v>
      </c>
      <c r="C13" s="141" t="str">
        <f t="shared" si="1"/>
        <v>AB</v>
      </c>
      <c r="D13" s="45" t="str">
        <f t="shared" si="2"/>
        <v>3E</v>
      </c>
      <c r="E13" s="43" t="str">
        <f t="shared" si="3"/>
        <v>EURAB3E6Y_Quote</v>
      </c>
      <c r="F13" s="43" t="e">
        <f ca="1">_xll.cfyql_SimpleQuote(Currency&amp;$C13&amp;$D13&amp;$B13&amp;QuoteSuffix,,RateTickValue,Permanent,Trigger,ObjectOverwrite)</f>
        <v>#NAME?</v>
      </c>
      <c r="G13" s="42" t="e">
        <f ca="1">_xll.ohRangeRetrieveError(F13)</f>
        <v>#NAME?</v>
      </c>
      <c r="H13" s="36"/>
      <c r="J13" s="134"/>
      <c r="K13" s="140" t="s">
        <v>50</v>
      </c>
      <c r="L13" s="140" t="s">
        <v>21</v>
      </c>
      <c r="M13" s="140" t="s">
        <v>69</v>
      </c>
      <c r="N13" s="139" t="str">
        <f t="shared" si="4"/>
        <v>EURAB3E6Y</v>
      </c>
      <c r="O13" s="139" t="str">
        <v>EURAB3E6Y=ICAP</v>
      </c>
      <c r="P13" s="78">
        <v>0.34900000000000003</v>
      </c>
      <c r="Q13" s="78">
        <v>0.39900000000000002</v>
      </c>
      <c r="R13" s="78">
        <f t="shared" si="5"/>
        <v>0.374</v>
      </c>
      <c r="S13" s="78">
        <f t="shared" si="6"/>
        <v>4.9999999999999933E-2</v>
      </c>
      <c r="T13" s="114"/>
      <c r="U13" s="138">
        <v>0.374</v>
      </c>
      <c r="V13" s="114"/>
      <c r="W13" s="78">
        <v>0.374</v>
      </c>
      <c r="X13" s="137" t="e">
        <f ca="1">_xll.cfyql_SimpleQuoteSetValue(F13,W13/100,Trigger)</f>
        <v>#NAME?</v>
      </c>
      <c r="Y13" s="129"/>
    </row>
    <row r="14" spans="1:28" ht="11.25" customHeight="1" x14ac:dyDescent="0.2">
      <c r="A14" s="134"/>
      <c r="B14" s="142" t="str">
        <f t="shared" si="0"/>
        <v>7Y</v>
      </c>
      <c r="C14" s="141" t="str">
        <f t="shared" si="1"/>
        <v>AB</v>
      </c>
      <c r="D14" s="45" t="str">
        <f t="shared" si="2"/>
        <v>3E</v>
      </c>
      <c r="E14" s="43" t="str">
        <f t="shared" si="3"/>
        <v>EURAB3E7Y_Quote</v>
      </c>
      <c r="F14" s="43" t="e">
        <f ca="1">_xll.cfyql_SimpleQuote(Currency&amp;$C14&amp;$D14&amp;$B14&amp;QuoteSuffix,,RateTickValue,Permanent,Trigger,ObjectOverwrite)</f>
        <v>#NAME?</v>
      </c>
      <c r="G14" s="42" t="e">
        <f ca="1">_xll.ohRangeRetrieveError(F14)</f>
        <v>#NAME?</v>
      </c>
      <c r="H14" s="36"/>
      <c r="J14" s="134"/>
      <c r="K14" s="140" t="s">
        <v>49</v>
      </c>
      <c r="L14" s="140" t="s">
        <v>21</v>
      </c>
      <c r="M14" s="140" t="s">
        <v>69</v>
      </c>
      <c r="N14" s="139" t="str">
        <f t="shared" si="4"/>
        <v>EURAB3E7Y</v>
      </c>
      <c r="O14" s="139" t="str">
        <v>EURAB3E7Y=ICAP</v>
      </c>
      <c r="P14" s="78">
        <v>0.48399999999999999</v>
      </c>
      <c r="Q14" s="78">
        <v>0.53400000000000003</v>
      </c>
      <c r="R14" s="78">
        <f t="shared" si="5"/>
        <v>0.50900000000000001</v>
      </c>
      <c r="S14" s="78">
        <f t="shared" si="6"/>
        <v>5.0000000000000044E-2</v>
      </c>
      <c r="T14" s="114"/>
      <c r="U14" s="138">
        <v>0.50900000000000001</v>
      </c>
      <c r="V14" s="114"/>
      <c r="W14" s="78">
        <v>0.50900000000000001</v>
      </c>
      <c r="X14" s="137" t="e">
        <f ca="1">_xll.cfyql_SimpleQuoteSetValue(F14,W14/100,Trigger)</f>
        <v>#NAME?</v>
      </c>
      <c r="Y14" s="129"/>
    </row>
    <row r="15" spans="1:28" ht="11.25" customHeight="1" x14ac:dyDescent="0.2">
      <c r="A15" s="134"/>
      <c r="B15" s="142" t="str">
        <f t="shared" si="0"/>
        <v>8Y</v>
      </c>
      <c r="C15" s="141" t="str">
        <f t="shared" si="1"/>
        <v>AB</v>
      </c>
      <c r="D15" s="45" t="str">
        <f t="shared" si="2"/>
        <v>3E</v>
      </c>
      <c r="E15" s="43" t="str">
        <f t="shared" si="3"/>
        <v>EURAB3E8Y_Quote</v>
      </c>
      <c r="F15" s="43" t="e">
        <f ca="1">_xll.cfyql_SimpleQuote(Currency&amp;$C15&amp;$D15&amp;$B15&amp;QuoteSuffix,,RateTickValue,Permanent,Trigger,ObjectOverwrite)</f>
        <v>#NAME?</v>
      </c>
      <c r="G15" s="42" t="e">
        <f ca="1">_xll.ohRangeRetrieveError(F15)</f>
        <v>#NAME?</v>
      </c>
      <c r="H15" s="36"/>
      <c r="J15" s="134"/>
      <c r="K15" s="140" t="s">
        <v>48</v>
      </c>
      <c r="L15" s="140" t="s">
        <v>21</v>
      </c>
      <c r="M15" s="140" t="s">
        <v>69</v>
      </c>
      <c r="N15" s="139" t="str">
        <f t="shared" si="4"/>
        <v>EURAB3E8Y</v>
      </c>
      <c r="O15" s="139" t="str">
        <v>EURAB3E8Y=ICAP</v>
      </c>
      <c r="P15" s="78">
        <v>0.61399999999999999</v>
      </c>
      <c r="Q15" s="78">
        <v>0.66399999999999992</v>
      </c>
      <c r="R15" s="78">
        <f t="shared" si="5"/>
        <v>0.63900000000000001</v>
      </c>
      <c r="S15" s="78">
        <f t="shared" si="6"/>
        <v>5.0000000000000044E-2</v>
      </c>
      <c r="T15" s="114"/>
      <c r="U15" s="138">
        <v>0.63900000000000001</v>
      </c>
      <c r="V15" s="114"/>
      <c r="W15" s="78">
        <v>0.63900000000000001</v>
      </c>
      <c r="X15" s="137" t="e">
        <f ca="1">_xll.cfyql_SimpleQuoteSetValue(F15,W15/100,Trigger)</f>
        <v>#NAME?</v>
      </c>
      <c r="Y15" s="129"/>
    </row>
    <row r="16" spans="1:28" ht="11.25" customHeight="1" x14ac:dyDescent="0.2">
      <c r="A16" s="134"/>
      <c r="B16" s="142" t="str">
        <f t="shared" si="0"/>
        <v>9Y</v>
      </c>
      <c r="C16" s="141" t="str">
        <f t="shared" si="1"/>
        <v>AB</v>
      </c>
      <c r="D16" s="45" t="str">
        <f t="shared" si="2"/>
        <v>3E</v>
      </c>
      <c r="E16" s="43" t="str">
        <f t="shared" si="3"/>
        <v>EURAB3E9Y_Quote</v>
      </c>
      <c r="F16" s="43" t="e">
        <f ca="1">_xll.cfyql_SimpleQuote(Currency&amp;$C16&amp;$D16&amp;$B16&amp;QuoteSuffix,,RateTickValue,Permanent,Trigger,ObjectOverwrite)</f>
        <v>#NAME?</v>
      </c>
      <c r="G16" s="42" t="e">
        <f ca="1">_xll.ohRangeRetrieveError(F16)</f>
        <v>#NAME?</v>
      </c>
      <c r="H16" s="36"/>
      <c r="J16" s="134"/>
      <c r="K16" s="140" t="s">
        <v>47</v>
      </c>
      <c r="L16" s="140" t="s">
        <v>21</v>
      </c>
      <c r="M16" s="140" t="s">
        <v>69</v>
      </c>
      <c r="N16" s="139" t="str">
        <f t="shared" si="4"/>
        <v>EURAB3E9Y</v>
      </c>
      <c r="O16" s="139" t="str">
        <v>EURAB3E9Y=ICAP</v>
      </c>
      <c r="P16" s="78">
        <v>0.73599999999999999</v>
      </c>
      <c r="Q16" s="78">
        <v>0.78600000000000003</v>
      </c>
      <c r="R16" s="78">
        <f t="shared" si="5"/>
        <v>0.76100000000000001</v>
      </c>
      <c r="S16" s="78">
        <f t="shared" si="6"/>
        <v>5.0000000000000044E-2</v>
      </c>
      <c r="T16" s="114"/>
      <c r="U16" s="138">
        <v>0.76100000000000001</v>
      </c>
      <c r="V16" s="114"/>
      <c r="W16" s="78">
        <v>0.76100000000000001</v>
      </c>
      <c r="X16" s="137" t="e">
        <f ca="1">_xll.cfyql_SimpleQuoteSetValue(F16,W16/100,Trigger)</f>
        <v>#NAME?</v>
      </c>
      <c r="Y16" s="129"/>
    </row>
    <row r="17" spans="1:25" ht="11.25" customHeight="1" x14ac:dyDescent="0.2">
      <c r="A17" s="134"/>
      <c r="B17" s="142" t="str">
        <f t="shared" si="0"/>
        <v>10Y</v>
      </c>
      <c r="C17" s="141" t="str">
        <f t="shared" si="1"/>
        <v>AB</v>
      </c>
      <c r="D17" s="45" t="str">
        <f t="shared" si="2"/>
        <v>3E</v>
      </c>
      <c r="E17" s="43" t="str">
        <f t="shared" si="3"/>
        <v>EURAB3E10Y_Quote</v>
      </c>
      <c r="F17" s="43" t="e">
        <f ca="1">_xll.cfyql_SimpleQuote(Currency&amp;$C17&amp;$D17&amp;$B17&amp;QuoteSuffix,,RateTickValue,Permanent,Trigger,ObjectOverwrite)</f>
        <v>#NAME?</v>
      </c>
      <c r="G17" s="42" t="e">
        <f ca="1">_xll.ohRangeRetrieveError(F17)</f>
        <v>#NAME?</v>
      </c>
      <c r="H17" s="36"/>
      <c r="J17" s="134"/>
      <c r="K17" s="140" t="s">
        <v>46</v>
      </c>
      <c r="L17" s="140" t="s">
        <v>21</v>
      </c>
      <c r="M17" s="140" t="s">
        <v>69</v>
      </c>
      <c r="N17" s="139" t="str">
        <f t="shared" si="4"/>
        <v>EURAB3E10Y</v>
      </c>
      <c r="O17" s="139" t="str">
        <v>EURAB3E10Y=ICAP</v>
      </c>
      <c r="P17" s="78">
        <v>0.84499999999999997</v>
      </c>
      <c r="Q17" s="78">
        <v>0.89499999999999991</v>
      </c>
      <c r="R17" s="78">
        <f t="shared" si="5"/>
        <v>0.86999999999999988</v>
      </c>
      <c r="S17" s="78">
        <f t="shared" si="6"/>
        <v>4.9999999999999822E-2</v>
      </c>
      <c r="T17" s="114"/>
      <c r="U17" s="138">
        <v>0.86999999999999988</v>
      </c>
      <c r="V17" s="114"/>
      <c r="W17" s="78">
        <v>0.86999999999999988</v>
      </c>
      <c r="X17" s="137" t="e">
        <f ca="1">_xll.cfyql_SimpleQuoteSetValue(F17,W17/100,Trigger)</f>
        <v>#NAME?</v>
      </c>
      <c r="Y17" s="129"/>
    </row>
    <row r="18" spans="1:25" ht="11.25" customHeight="1" x14ac:dyDescent="0.2">
      <c r="A18" s="134"/>
      <c r="B18" s="142" t="str">
        <f t="shared" si="0"/>
        <v>11Y</v>
      </c>
      <c r="C18" s="141" t="str">
        <f t="shared" si="1"/>
        <v>AB</v>
      </c>
      <c r="D18" s="45" t="str">
        <f t="shared" si="2"/>
        <v>3E</v>
      </c>
      <c r="E18" s="43" t="str">
        <f t="shared" si="3"/>
        <v>EURAB3E11Y_Quote</v>
      </c>
      <c r="F18" s="43" t="e">
        <f ca="1">_xll.cfyql_SimpleQuote(Currency&amp;$C18&amp;$D18&amp;$B18&amp;QuoteSuffix,,RateTickValue,Permanent,Trigger,ObjectOverwrite)</f>
        <v>#NAME?</v>
      </c>
      <c r="G18" s="42" t="e">
        <f ca="1">_xll.ohRangeRetrieveError(F18)</f>
        <v>#NAME?</v>
      </c>
      <c r="H18" s="36"/>
      <c r="J18" s="134"/>
      <c r="K18" s="140" t="s">
        <v>45</v>
      </c>
      <c r="L18" s="140" t="s">
        <v>21</v>
      </c>
      <c r="M18" s="140" t="s">
        <v>69</v>
      </c>
      <c r="N18" s="139" t="str">
        <f t="shared" si="4"/>
        <v>EURAB3E11Y</v>
      </c>
      <c r="O18" s="139" t="str">
        <v>EURAB3E11Y=ICAP</v>
      </c>
      <c r="P18" s="78">
        <v>0.94399999999999995</v>
      </c>
      <c r="Q18" s="78">
        <v>0.99399999999999999</v>
      </c>
      <c r="R18" s="78">
        <f t="shared" si="5"/>
        <v>0.96899999999999997</v>
      </c>
      <c r="S18" s="78">
        <f t="shared" si="6"/>
        <v>5.0000000000000044E-2</v>
      </c>
      <c r="T18" s="114"/>
      <c r="U18" s="138">
        <v>0.96899999999999997</v>
      </c>
      <c r="V18" s="114"/>
      <c r="W18" s="78">
        <v>0.96899999999999997</v>
      </c>
      <c r="X18" s="137" t="e">
        <f ca="1">_xll.cfyql_SimpleQuoteSetValue(F18,W18/100,Trigger)</f>
        <v>#NAME?</v>
      </c>
      <c r="Y18" s="129"/>
    </row>
    <row r="19" spans="1:25" ht="11.25" customHeight="1" x14ac:dyDescent="0.2">
      <c r="A19" s="134"/>
      <c r="B19" s="142" t="str">
        <f t="shared" si="0"/>
        <v>12Y</v>
      </c>
      <c r="C19" s="141" t="str">
        <f t="shared" si="1"/>
        <v>AB</v>
      </c>
      <c r="D19" s="45" t="str">
        <f t="shared" si="2"/>
        <v>3E</v>
      </c>
      <c r="E19" s="43" t="str">
        <f t="shared" si="3"/>
        <v>EURAB3E12Y_Quote</v>
      </c>
      <c r="F19" s="43" t="e">
        <f ca="1">_xll.cfyql_SimpleQuote(Currency&amp;$C19&amp;$D19&amp;$B19&amp;QuoteSuffix,,RateTickValue,Permanent,Trigger,ObjectOverwrite)</f>
        <v>#NAME?</v>
      </c>
      <c r="G19" s="42" t="e">
        <f ca="1">_xll.ohRangeRetrieveError(F19)</f>
        <v>#NAME?</v>
      </c>
      <c r="H19" s="36"/>
      <c r="J19" s="134"/>
      <c r="K19" s="140" t="s">
        <v>44</v>
      </c>
      <c r="L19" s="140" t="s">
        <v>21</v>
      </c>
      <c r="M19" s="140" t="s">
        <v>69</v>
      </c>
      <c r="N19" s="139" t="str">
        <f t="shared" si="4"/>
        <v>EURAB3E12Y</v>
      </c>
      <c r="O19" s="139" t="str">
        <v>EURAB3E12Y=ICAP</v>
      </c>
      <c r="P19" s="78">
        <v>1.0309999999999999</v>
      </c>
      <c r="Q19" s="78">
        <v>1.081</v>
      </c>
      <c r="R19" s="78">
        <f t="shared" si="5"/>
        <v>1.056</v>
      </c>
      <c r="S19" s="78">
        <f t="shared" si="6"/>
        <v>5.0000000000000266E-2</v>
      </c>
      <c r="T19" s="114"/>
      <c r="U19" s="138">
        <v>1.056</v>
      </c>
      <c r="V19" s="114"/>
      <c r="W19" s="78">
        <v>1.056</v>
      </c>
      <c r="X19" s="137" t="e">
        <f ca="1">_xll.cfyql_SimpleQuoteSetValue(F19,W19/100,Trigger)</f>
        <v>#NAME?</v>
      </c>
      <c r="Y19" s="129"/>
    </row>
    <row r="20" spans="1:25" ht="11.25" customHeight="1" x14ac:dyDescent="0.2">
      <c r="A20" s="134"/>
      <c r="B20" s="142" t="str">
        <f t="shared" si="0"/>
        <v>13Y</v>
      </c>
      <c r="C20" s="141" t="str">
        <f t="shared" si="1"/>
        <v>AB</v>
      </c>
      <c r="D20" s="45" t="str">
        <f t="shared" si="2"/>
        <v>3E</v>
      </c>
      <c r="E20" s="43" t="str">
        <f t="shared" si="3"/>
        <v>EURAB3E13Y_Quote</v>
      </c>
      <c r="F20" s="43" t="e">
        <f ca="1">_xll.cfyql_SimpleQuote(Currency&amp;$C20&amp;$D20&amp;$B20&amp;QuoteSuffix,,RateTickValue,Permanent,Trigger,ObjectOverwrite)</f>
        <v>#NAME?</v>
      </c>
      <c r="G20" s="42" t="e">
        <f ca="1">_xll.ohRangeRetrieveError(F20)</f>
        <v>#NAME?</v>
      </c>
      <c r="H20" s="36"/>
      <c r="J20" s="134"/>
      <c r="K20" s="140" t="s">
        <v>43</v>
      </c>
      <c r="L20" s="140" t="s">
        <v>21</v>
      </c>
      <c r="M20" s="140" t="s">
        <v>69</v>
      </c>
      <c r="N20" s="139" t="str">
        <f t="shared" si="4"/>
        <v>EURAB3E13Y</v>
      </c>
      <c r="O20" s="139" t="str">
        <v>EURAB3E13Y=ICAP</v>
      </c>
      <c r="P20" s="78" t="s">
        <v>109</v>
      </c>
      <c r="Q20" s="78" t="s">
        <v>109</v>
      </c>
      <c r="R20" s="78" t="e">
        <f t="shared" si="5"/>
        <v>#NUM!</v>
      </c>
      <c r="S20" s="78" t="e">
        <f t="shared" si="6"/>
        <v>#NUM!</v>
      </c>
      <c r="T20" s="114"/>
      <c r="U20" s="138" t="e">
        <v>#NUM!</v>
      </c>
      <c r="V20" s="114"/>
      <c r="W20" s="78" t="e">
        <v>#NUM!</v>
      </c>
      <c r="X20" s="137" t="e">
        <f ca="1">_xll.cfyql_SimpleQuoteSetValue(F20,W20/100,Trigger)</f>
        <v>#NAME?</v>
      </c>
      <c r="Y20" s="129"/>
    </row>
    <row r="21" spans="1:25" ht="11.25" customHeight="1" x14ac:dyDescent="0.2">
      <c r="A21" s="134"/>
      <c r="B21" s="142" t="str">
        <f t="shared" si="0"/>
        <v>14Y</v>
      </c>
      <c r="C21" s="141" t="str">
        <f t="shared" si="1"/>
        <v>AB</v>
      </c>
      <c r="D21" s="45" t="str">
        <f t="shared" si="2"/>
        <v>3E</v>
      </c>
      <c r="E21" s="43" t="str">
        <f t="shared" si="3"/>
        <v>EURAB3E14Y_Quote</v>
      </c>
      <c r="F21" s="43" t="e">
        <f ca="1">_xll.cfyql_SimpleQuote(Currency&amp;$C21&amp;$D21&amp;$B21&amp;QuoteSuffix,,RateTickValue,Permanent,Trigger,ObjectOverwrite)</f>
        <v>#NAME?</v>
      </c>
      <c r="G21" s="42" t="e">
        <f ca="1">_xll.ohRangeRetrieveError(F21)</f>
        <v>#NAME?</v>
      </c>
      <c r="H21" s="36"/>
      <c r="J21" s="134"/>
      <c r="K21" s="140" t="s">
        <v>42</v>
      </c>
      <c r="L21" s="140" t="s">
        <v>21</v>
      </c>
      <c r="M21" s="140" t="s">
        <v>69</v>
      </c>
      <c r="N21" s="139" t="str">
        <f t="shared" si="4"/>
        <v>EURAB3E14Y</v>
      </c>
      <c r="O21" s="139" t="str">
        <v>EURAB3E14Y=ICAP</v>
      </c>
      <c r="P21" s="78" t="s">
        <v>109</v>
      </c>
      <c r="Q21" s="78" t="s">
        <v>109</v>
      </c>
      <c r="R21" s="78" t="e">
        <f t="shared" si="5"/>
        <v>#NUM!</v>
      </c>
      <c r="S21" s="78" t="e">
        <f t="shared" si="6"/>
        <v>#NUM!</v>
      </c>
      <c r="T21" s="114"/>
      <c r="U21" s="138" t="e">
        <v>#NUM!</v>
      </c>
      <c r="V21" s="114"/>
      <c r="W21" s="78" t="e">
        <v>#NUM!</v>
      </c>
      <c r="X21" s="137" t="e">
        <f ca="1">_xll.cfyql_SimpleQuoteSetValue(F21,W21/100,Trigger)</f>
        <v>#NAME?</v>
      </c>
      <c r="Y21" s="129"/>
    </row>
    <row r="22" spans="1:25" ht="11.25" customHeight="1" x14ac:dyDescent="0.2">
      <c r="A22" s="134"/>
      <c r="B22" s="142" t="str">
        <f t="shared" si="0"/>
        <v>15Y</v>
      </c>
      <c r="C22" s="141" t="str">
        <f t="shared" si="1"/>
        <v>AB</v>
      </c>
      <c r="D22" s="45" t="str">
        <f t="shared" si="2"/>
        <v>3E</v>
      </c>
      <c r="E22" s="43" t="str">
        <f t="shared" si="3"/>
        <v>EURAB3E15Y_Quote</v>
      </c>
      <c r="F22" s="43" t="e">
        <f ca="1">_xll.cfyql_SimpleQuote(Currency&amp;$C22&amp;$D22&amp;$B22&amp;QuoteSuffix,,RateTickValue,Permanent,Trigger,ObjectOverwrite)</f>
        <v>#NAME?</v>
      </c>
      <c r="G22" s="42" t="e">
        <f ca="1">_xll.ohRangeRetrieveError(F22)</f>
        <v>#NAME?</v>
      </c>
      <c r="H22" s="36"/>
      <c r="J22" s="134"/>
      <c r="K22" s="140" t="s">
        <v>41</v>
      </c>
      <c r="L22" s="140" t="s">
        <v>21</v>
      </c>
      <c r="M22" s="140" t="s">
        <v>69</v>
      </c>
      <c r="N22" s="139" t="str">
        <f t="shared" si="4"/>
        <v>EURAB3E15Y</v>
      </c>
      <c r="O22" s="139" t="str">
        <v>EURAB3E15Y=ICAP</v>
      </c>
      <c r="P22" s="78">
        <v>1.232</v>
      </c>
      <c r="Q22" s="78">
        <v>1.282</v>
      </c>
      <c r="R22" s="78">
        <f t="shared" si="5"/>
        <v>1.2570000000000001</v>
      </c>
      <c r="S22" s="78">
        <f t="shared" si="6"/>
        <v>5.0000000000000266E-2</v>
      </c>
      <c r="T22" s="114"/>
      <c r="U22" s="138">
        <v>1.2570000000000001</v>
      </c>
      <c r="V22" s="114"/>
      <c r="W22" s="78">
        <v>1.2570000000000001</v>
      </c>
      <c r="X22" s="137" t="e">
        <f ca="1">_xll.cfyql_SimpleQuoteSetValue(F22,W22/100,Trigger)</f>
        <v>#NAME?</v>
      </c>
      <c r="Y22" s="129"/>
    </row>
    <row r="23" spans="1:25" ht="11.25" customHeight="1" x14ac:dyDescent="0.2">
      <c r="A23" s="134"/>
      <c r="B23" s="142" t="str">
        <f t="shared" si="0"/>
        <v>16Y</v>
      </c>
      <c r="C23" s="141" t="str">
        <f t="shared" si="1"/>
        <v>AB</v>
      </c>
      <c r="D23" s="45" t="str">
        <f t="shared" si="2"/>
        <v>3E</v>
      </c>
      <c r="E23" s="43" t="str">
        <f t="shared" si="3"/>
        <v>EURAB3E16Y_Quote</v>
      </c>
      <c r="F23" s="43" t="e">
        <f ca="1">_xll.cfyql_SimpleQuote(Currency&amp;$C23&amp;$D23&amp;$B23&amp;QuoteSuffix,,RateTickValue,Permanent,Trigger,ObjectOverwrite)</f>
        <v>#NAME?</v>
      </c>
      <c r="G23" s="42" t="e">
        <f ca="1">_xll.ohRangeRetrieveError(F23)</f>
        <v>#NAME?</v>
      </c>
      <c r="H23" s="36"/>
      <c r="J23" s="134"/>
      <c r="K23" s="140" t="s">
        <v>40</v>
      </c>
      <c r="L23" s="140" t="s">
        <v>21</v>
      </c>
      <c r="M23" s="140" t="s">
        <v>69</v>
      </c>
      <c r="N23" s="139" t="str">
        <f t="shared" si="4"/>
        <v>EURAB3E16Y</v>
      </c>
      <c r="O23" s="139" t="str">
        <v>EURAB3E16Y=ICAP</v>
      </c>
      <c r="P23" s="78" t="s">
        <v>109</v>
      </c>
      <c r="Q23" s="78" t="s">
        <v>109</v>
      </c>
      <c r="R23" s="78" t="e">
        <f t="shared" si="5"/>
        <v>#NUM!</v>
      </c>
      <c r="S23" s="78" t="e">
        <f t="shared" si="6"/>
        <v>#NUM!</v>
      </c>
      <c r="T23" s="114"/>
      <c r="U23" s="138" t="e">
        <v>#NUM!</v>
      </c>
      <c r="V23" s="114"/>
      <c r="W23" s="78" t="e">
        <v>#NUM!</v>
      </c>
      <c r="X23" s="137" t="e">
        <f ca="1">_xll.cfyql_SimpleQuoteSetValue(F23,W23/100,Trigger)</f>
        <v>#NAME?</v>
      </c>
      <c r="Y23" s="129"/>
    </row>
    <row r="24" spans="1:25" ht="11.25" customHeight="1" x14ac:dyDescent="0.2">
      <c r="A24" s="134"/>
      <c r="B24" s="142" t="str">
        <f t="shared" si="0"/>
        <v>17Y</v>
      </c>
      <c r="C24" s="141" t="str">
        <f t="shared" si="1"/>
        <v>AB</v>
      </c>
      <c r="D24" s="45" t="str">
        <f t="shared" si="2"/>
        <v>3E</v>
      </c>
      <c r="E24" s="43" t="str">
        <f t="shared" si="3"/>
        <v>EURAB3E17Y_Quote</v>
      </c>
      <c r="F24" s="43" t="e">
        <f ca="1">_xll.cfyql_SimpleQuote(Currency&amp;$C24&amp;$D24&amp;$B24&amp;QuoteSuffix,,RateTickValue,Permanent,Trigger,ObjectOverwrite)</f>
        <v>#NAME?</v>
      </c>
      <c r="G24" s="42" t="e">
        <f ca="1">_xll.ohRangeRetrieveError(F24)</f>
        <v>#NAME?</v>
      </c>
      <c r="H24" s="36"/>
      <c r="J24" s="134"/>
      <c r="K24" s="140" t="s">
        <v>39</v>
      </c>
      <c r="L24" s="140" t="s">
        <v>21</v>
      </c>
      <c r="M24" s="140" t="s">
        <v>69</v>
      </c>
      <c r="N24" s="139" t="str">
        <f t="shared" si="4"/>
        <v>EURAB3E17Y</v>
      </c>
      <c r="O24" s="139" t="str">
        <v>EURAB3E17Y=ICAP</v>
      </c>
      <c r="P24" s="78" t="s">
        <v>109</v>
      </c>
      <c r="Q24" s="78" t="s">
        <v>109</v>
      </c>
      <c r="R24" s="78" t="e">
        <f t="shared" si="5"/>
        <v>#NUM!</v>
      </c>
      <c r="S24" s="78" t="e">
        <f t="shared" si="6"/>
        <v>#NUM!</v>
      </c>
      <c r="T24" s="114"/>
      <c r="U24" s="138" t="e">
        <v>#NUM!</v>
      </c>
      <c r="V24" s="114"/>
      <c r="W24" s="78" t="e">
        <v>#NUM!</v>
      </c>
      <c r="X24" s="137" t="e">
        <f ca="1">_xll.cfyql_SimpleQuoteSetValue(F24,W24/100,Trigger)</f>
        <v>#NAME?</v>
      </c>
      <c r="Y24" s="129"/>
    </row>
    <row r="25" spans="1:25" ht="11.25" customHeight="1" x14ac:dyDescent="0.2">
      <c r="A25" s="134"/>
      <c r="B25" s="142" t="str">
        <f t="shared" si="0"/>
        <v>18Y</v>
      </c>
      <c r="C25" s="141" t="str">
        <f t="shared" si="1"/>
        <v>AB</v>
      </c>
      <c r="D25" s="45" t="str">
        <f t="shared" si="2"/>
        <v>3E</v>
      </c>
      <c r="E25" s="43" t="str">
        <f t="shared" si="3"/>
        <v>EURAB3E18Y_Quote</v>
      </c>
      <c r="F25" s="43" t="e">
        <f ca="1">_xll.cfyql_SimpleQuote(Currency&amp;$C25&amp;$D25&amp;$B25&amp;QuoteSuffix,,RateTickValue,Permanent,Trigger,ObjectOverwrite)</f>
        <v>#NAME?</v>
      </c>
      <c r="G25" s="42" t="e">
        <f ca="1">_xll.ohRangeRetrieveError(F25)</f>
        <v>#NAME?</v>
      </c>
      <c r="H25" s="36"/>
      <c r="J25" s="134"/>
      <c r="K25" s="140" t="s">
        <v>38</v>
      </c>
      <c r="L25" s="140" t="s">
        <v>21</v>
      </c>
      <c r="M25" s="140" t="s">
        <v>69</v>
      </c>
      <c r="N25" s="139" t="str">
        <f t="shared" si="4"/>
        <v>EURAB3E18Y</v>
      </c>
      <c r="O25" s="139" t="str">
        <v>EURAB3E18Y=ICAP</v>
      </c>
      <c r="P25" s="78" t="s">
        <v>109</v>
      </c>
      <c r="Q25" s="78" t="s">
        <v>109</v>
      </c>
      <c r="R25" s="78" t="e">
        <f t="shared" si="5"/>
        <v>#NUM!</v>
      </c>
      <c r="S25" s="78" t="e">
        <f t="shared" si="6"/>
        <v>#NUM!</v>
      </c>
      <c r="T25" s="114"/>
      <c r="U25" s="138" t="e">
        <v>#NUM!</v>
      </c>
      <c r="V25" s="114"/>
      <c r="W25" s="78" t="e">
        <v>#NUM!</v>
      </c>
      <c r="X25" s="137" t="e">
        <f ca="1">_xll.cfyql_SimpleQuoteSetValue(F25,W25/100,Trigger)</f>
        <v>#NAME?</v>
      </c>
      <c r="Y25" s="129"/>
    </row>
    <row r="26" spans="1:25" ht="11.25" customHeight="1" x14ac:dyDescent="0.2">
      <c r="A26" s="134"/>
      <c r="B26" s="142" t="str">
        <f t="shared" si="0"/>
        <v>19Y</v>
      </c>
      <c r="C26" s="141" t="str">
        <f t="shared" si="1"/>
        <v>AB</v>
      </c>
      <c r="D26" s="45" t="str">
        <f t="shared" si="2"/>
        <v>3E</v>
      </c>
      <c r="E26" s="43" t="str">
        <f t="shared" si="3"/>
        <v>EURAB3E19Y_Quote</v>
      </c>
      <c r="F26" s="43" t="e">
        <f ca="1">_xll.cfyql_SimpleQuote(Currency&amp;$C26&amp;$D26&amp;$B26&amp;QuoteSuffix,,RateTickValue,Permanent,Trigger,ObjectOverwrite)</f>
        <v>#NAME?</v>
      </c>
      <c r="G26" s="42" t="e">
        <f ca="1">_xll.ohRangeRetrieveError(F26)</f>
        <v>#NAME?</v>
      </c>
      <c r="H26" s="36"/>
      <c r="J26" s="134"/>
      <c r="K26" s="140" t="s">
        <v>37</v>
      </c>
      <c r="L26" s="140" t="s">
        <v>21</v>
      </c>
      <c r="M26" s="140" t="s">
        <v>69</v>
      </c>
      <c r="N26" s="139" t="str">
        <f t="shared" si="4"/>
        <v>EURAB3E19Y</v>
      </c>
      <c r="O26" s="139" t="str">
        <v>EURAB3E19Y=ICAP</v>
      </c>
      <c r="P26" s="78" t="s">
        <v>109</v>
      </c>
      <c r="Q26" s="78" t="s">
        <v>109</v>
      </c>
      <c r="R26" s="78" t="e">
        <f t="shared" si="5"/>
        <v>#NUM!</v>
      </c>
      <c r="S26" s="78" t="e">
        <f t="shared" si="6"/>
        <v>#NUM!</v>
      </c>
      <c r="T26" s="114"/>
      <c r="U26" s="138" t="e">
        <v>#NUM!</v>
      </c>
      <c r="V26" s="114"/>
      <c r="W26" s="78" t="e">
        <v>#NUM!</v>
      </c>
      <c r="X26" s="137" t="e">
        <f ca="1">_xll.cfyql_SimpleQuoteSetValue(F26,W26/100,Trigger)</f>
        <v>#NAME?</v>
      </c>
      <c r="Y26" s="129"/>
    </row>
    <row r="27" spans="1:25" ht="11.25" customHeight="1" x14ac:dyDescent="0.2">
      <c r="A27" s="134"/>
      <c r="B27" s="142" t="str">
        <f t="shared" si="0"/>
        <v>20Y</v>
      </c>
      <c r="C27" s="141" t="str">
        <f t="shared" si="1"/>
        <v>AB</v>
      </c>
      <c r="D27" s="45" t="str">
        <f t="shared" si="2"/>
        <v>3E</v>
      </c>
      <c r="E27" s="43" t="str">
        <f t="shared" si="3"/>
        <v>EURAB3E20Y_Quote</v>
      </c>
      <c r="F27" s="43" t="e">
        <f ca="1">_xll.cfyql_SimpleQuote(Currency&amp;$C27&amp;$D27&amp;$B27&amp;QuoteSuffix,,RateTickValue,Permanent,Trigger,ObjectOverwrite)</f>
        <v>#NAME?</v>
      </c>
      <c r="G27" s="42" t="e">
        <f ca="1">_xll.ohRangeRetrieveError(F27)</f>
        <v>#NAME?</v>
      </c>
      <c r="H27" s="36"/>
      <c r="J27" s="134"/>
      <c r="K27" s="140" t="s">
        <v>36</v>
      </c>
      <c r="L27" s="140" t="s">
        <v>21</v>
      </c>
      <c r="M27" s="140" t="s">
        <v>69</v>
      </c>
      <c r="N27" s="139" t="str">
        <f t="shared" si="4"/>
        <v>EURAB3E20Y</v>
      </c>
      <c r="O27" s="139" t="str">
        <v>EURAB3E20Y=ICAP</v>
      </c>
      <c r="P27" s="78">
        <v>1.4</v>
      </c>
      <c r="Q27" s="78">
        <v>1.45</v>
      </c>
      <c r="R27" s="78">
        <f t="shared" si="5"/>
        <v>1.4249999999999998</v>
      </c>
      <c r="S27" s="78">
        <f t="shared" si="6"/>
        <v>4.9999999999999822E-2</v>
      </c>
      <c r="T27" s="114"/>
      <c r="U27" s="138">
        <v>1.4249999999999998</v>
      </c>
      <c r="V27" s="114"/>
      <c r="W27" s="78">
        <v>1.4249999999999998</v>
      </c>
      <c r="X27" s="137" t="e">
        <f ca="1">_xll.cfyql_SimpleQuoteSetValue(F27,W27/100,Trigger)</f>
        <v>#NAME?</v>
      </c>
      <c r="Y27" s="129"/>
    </row>
    <row r="28" spans="1:25" ht="11.25" customHeight="1" x14ac:dyDescent="0.2">
      <c r="A28" s="134"/>
      <c r="B28" s="142" t="str">
        <f t="shared" si="0"/>
        <v>21Y</v>
      </c>
      <c r="C28" s="141" t="str">
        <f t="shared" si="1"/>
        <v>AB</v>
      </c>
      <c r="D28" s="45" t="str">
        <f t="shared" si="2"/>
        <v>3E</v>
      </c>
      <c r="E28" s="43" t="str">
        <f t="shared" si="3"/>
        <v>EURAB3E21Y_Quote</v>
      </c>
      <c r="F28" s="43" t="e">
        <f ca="1">_xll.cfyql_SimpleQuote(Currency&amp;$C28&amp;$D28&amp;$B28&amp;QuoteSuffix,,RateTickValue,Permanent,Trigger,ObjectOverwrite)</f>
        <v>#NAME?</v>
      </c>
      <c r="G28" s="42" t="e">
        <f ca="1">_xll.ohRangeRetrieveError(F28)</f>
        <v>#NAME?</v>
      </c>
      <c r="H28" s="36"/>
      <c r="J28" s="134"/>
      <c r="K28" s="140" t="s">
        <v>35</v>
      </c>
      <c r="L28" s="140" t="s">
        <v>21</v>
      </c>
      <c r="M28" s="140" t="s">
        <v>69</v>
      </c>
      <c r="N28" s="139" t="str">
        <f t="shared" si="4"/>
        <v>EURAB3E21Y</v>
      </c>
      <c r="O28" s="139" t="str">
        <v>EURAB3E21Y=ICAP</v>
      </c>
      <c r="P28" s="78" t="s">
        <v>109</v>
      </c>
      <c r="Q28" s="78" t="s">
        <v>109</v>
      </c>
      <c r="R28" s="78" t="e">
        <f t="shared" si="5"/>
        <v>#NUM!</v>
      </c>
      <c r="S28" s="78" t="e">
        <f t="shared" si="6"/>
        <v>#NUM!</v>
      </c>
      <c r="T28" s="114"/>
      <c r="U28" s="138" t="e">
        <v>#NUM!</v>
      </c>
      <c r="V28" s="114"/>
      <c r="W28" s="78" t="e">
        <v>#NUM!</v>
      </c>
      <c r="X28" s="137" t="e">
        <f ca="1">_xll.cfyql_SimpleQuoteSetValue(F28,W28/100,Trigger)</f>
        <v>#NAME?</v>
      </c>
      <c r="Y28" s="129"/>
    </row>
    <row r="29" spans="1:25" ht="11.25" customHeight="1" x14ac:dyDescent="0.2">
      <c r="A29" s="134"/>
      <c r="B29" s="142" t="str">
        <f t="shared" si="0"/>
        <v>22Y</v>
      </c>
      <c r="C29" s="141" t="str">
        <f t="shared" si="1"/>
        <v>AB</v>
      </c>
      <c r="D29" s="45" t="str">
        <f t="shared" si="2"/>
        <v>3E</v>
      </c>
      <c r="E29" s="43" t="str">
        <f t="shared" si="3"/>
        <v>EURAB3E22Y_Quote</v>
      </c>
      <c r="F29" s="43" t="e">
        <f ca="1">_xll.cfyql_SimpleQuote(Currency&amp;$C29&amp;$D29&amp;$B29&amp;QuoteSuffix,,RateTickValue,Permanent,Trigger,ObjectOverwrite)</f>
        <v>#NAME?</v>
      </c>
      <c r="G29" s="42" t="e">
        <f ca="1">_xll.ohRangeRetrieveError(F29)</f>
        <v>#NAME?</v>
      </c>
      <c r="H29" s="36"/>
      <c r="J29" s="134"/>
      <c r="K29" s="140" t="s">
        <v>34</v>
      </c>
      <c r="L29" s="140" t="s">
        <v>21</v>
      </c>
      <c r="M29" s="140" t="s">
        <v>69</v>
      </c>
      <c r="N29" s="139" t="str">
        <f t="shared" si="4"/>
        <v>EURAB3E22Y</v>
      </c>
      <c r="O29" s="139" t="str">
        <v>EURAB3E22Y=ICAP</v>
      </c>
      <c r="P29" s="78" t="s">
        <v>109</v>
      </c>
      <c r="Q29" s="78" t="s">
        <v>109</v>
      </c>
      <c r="R29" s="78" t="e">
        <f t="shared" si="5"/>
        <v>#NUM!</v>
      </c>
      <c r="S29" s="78" t="e">
        <f t="shared" si="6"/>
        <v>#NUM!</v>
      </c>
      <c r="T29" s="114"/>
      <c r="U29" s="138" t="e">
        <v>#NUM!</v>
      </c>
      <c r="V29" s="114"/>
      <c r="W29" s="78" t="e">
        <v>#NUM!</v>
      </c>
      <c r="X29" s="137" t="e">
        <f ca="1">_xll.cfyql_SimpleQuoteSetValue(F29,W29/100,Trigger)</f>
        <v>#NAME?</v>
      </c>
      <c r="Y29" s="129"/>
    </row>
    <row r="30" spans="1:25" ht="11.25" customHeight="1" x14ac:dyDescent="0.2">
      <c r="A30" s="134"/>
      <c r="B30" s="142" t="str">
        <f t="shared" si="0"/>
        <v>23Y</v>
      </c>
      <c r="C30" s="141" t="str">
        <f t="shared" si="1"/>
        <v>AB</v>
      </c>
      <c r="D30" s="45" t="str">
        <f t="shared" si="2"/>
        <v>3E</v>
      </c>
      <c r="E30" s="43" t="str">
        <f t="shared" si="3"/>
        <v>EURAB3E23Y_Quote</v>
      </c>
      <c r="F30" s="43" t="e">
        <f ca="1">_xll.cfyql_SimpleQuote(Currency&amp;$C30&amp;$D30&amp;$B30&amp;QuoteSuffix,,RateTickValue,Permanent,Trigger,ObjectOverwrite)</f>
        <v>#NAME?</v>
      </c>
      <c r="G30" s="42" t="e">
        <f ca="1">_xll.ohRangeRetrieveError(F30)</f>
        <v>#NAME?</v>
      </c>
      <c r="H30" s="36"/>
      <c r="J30" s="134"/>
      <c r="K30" s="140" t="s">
        <v>33</v>
      </c>
      <c r="L30" s="140" t="s">
        <v>21</v>
      </c>
      <c r="M30" s="140" t="s">
        <v>69</v>
      </c>
      <c r="N30" s="139" t="str">
        <f t="shared" si="4"/>
        <v>EURAB3E23Y</v>
      </c>
      <c r="O30" s="139" t="str">
        <v>EURAB3E23Y=ICAP</v>
      </c>
      <c r="P30" s="78" t="s">
        <v>109</v>
      </c>
      <c r="Q30" s="78" t="s">
        <v>109</v>
      </c>
      <c r="R30" s="78" t="e">
        <f t="shared" si="5"/>
        <v>#NUM!</v>
      </c>
      <c r="S30" s="78" t="e">
        <f t="shared" si="6"/>
        <v>#NUM!</v>
      </c>
      <c r="T30" s="114"/>
      <c r="U30" s="138" t="e">
        <v>#NUM!</v>
      </c>
      <c r="V30" s="114"/>
      <c r="W30" s="78" t="e">
        <v>#NUM!</v>
      </c>
      <c r="X30" s="137" t="e">
        <f ca="1">_xll.cfyql_SimpleQuoteSetValue(F30,W30/100,Trigger)</f>
        <v>#NAME?</v>
      </c>
      <c r="Y30" s="129"/>
    </row>
    <row r="31" spans="1:25" ht="11.25" customHeight="1" x14ac:dyDescent="0.2">
      <c r="A31" s="134"/>
      <c r="B31" s="142" t="str">
        <f t="shared" si="0"/>
        <v>24Y</v>
      </c>
      <c r="C31" s="141" t="str">
        <f t="shared" si="1"/>
        <v>AB</v>
      </c>
      <c r="D31" s="45" t="str">
        <f t="shared" si="2"/>
        <v>3E</v>
      </c>
      <c r="E31" s="43" t="str">
        <f t="shared" si="3"/>
        <v>EURAB3E24Y_Quote</v>
      </c>
      <c r="F31" s="43" t="e">
        <f ca="1">_xll.cfyql_SimpleQuote(Currency&amp;$C31&amp;$D31&amp;$B31&amp;QuoteSuffix,,RateTickValue,Permanent,Trigger,ObjectOverwrite)</f>
        <v>#NAME?</v>
      </c>
      <c r="G31" s="42" t="e">
        <f ca="1">_xll.ohRangeRetrieveError(F31)</f>
        <v>#NAME?</v>
      </c>
      <c r="H31" s="36"/>
      <c r="J31" s="134"/>
      <c r="K31" s="140" t="s">
        <v>32</v>
      </c>
      <c r="L31" s="140" t="s">
        <v>21</v>
      </c>
      <c r="M31" s="140" t="s">
        <v>69</v>
      </c>
      <c r="N31" s="139" t="str">
        <f t="shared" si="4"/>
        <v>EURAB3E24Y</v>
      </c>
      <c r="O31" s="139" t="str">
        <v>EURAB3E24Y=ICAP</v>
      </c>
      <c r="P31" s="78" t="s">
        <v>109</v>
      </c>
      <c r="Q31" s="78" t="s">
        <v>109</v>
      </c>
      <c r="R31" s="78" t="e">
        <f t="shared" si="5"/>
        <v>#NUM!</v>
      </c>
      <c r="S31" s="78" t="e">
        <f t="shared" si="6"/>
        <v>#NUM!</v>
      </c>
      <c r="T31" s="114"/>
      <c r="U31" s="138" t="e">
        <v>#NUM!</v>
      </c>
      <c r="V31" s="114"/>
      <c r="W31" s="78" t="e">
        <v>#NUM!</v>
      </c>
      <c r="X31" s="137" t="e">
        <f ca="1">_xll.cfyql_SimpleQuoteSetValue(F31,W31/100,Trigger)</f>
        <v>#NAME?</v>
      </c>
      <c r="Y31" s="129"/>
    </row>
    <row r="32" spans="1:25" ht="11.25" customHeight="1" x14ac:dyDescent="0.2">
      <c r="A32" s="134"/>
      <c r="B32" s="142" t="str">
        <f t="shared" si="0"/>
        <v>25Y</v>
      </c>
      <c r="C32" s="141" t="str">
        <f t="shared" si="1"/>
        <v>AB</v>
      </c>
      <c r="D32" s="45" t="str">
        <f t="shared" si="2"/>
        <v>3E</v>
      </c>
      <c r="E32" s="43" t="str">
        <f t="shared" si="3"/>
        <v>EURAB3E25Y_Quote</v>
      </c>
      <c r="F32" s="43" t="e">
        <f ca="1">_xll.cfyql_SimpleQuote(Currency&amp;$C32&amp;$D32&amp;$B32&amp;QuoteSuffix,,RateTickValue,Permanent,Trigger,ObjectOverwrite)</f>
        <v>#NAME?</v>
      </c>
      <c r="G32" s="42" t="e">
        <f ca="1">_xll.ohRangeRetrieveError(F32)</f>
        <v>#NAME?</v>
      </c>
      <c r="H32" s="36"/>
      <c r="J32" s="134"/>
      <c r="K32" s="140" t="s">
        <v>31</v>
      </c>
      <c r="L32" s="140" t="s">
        <v>21</v>
      </c>
      <c r="M32" s="140" t="s">
        <v>69</v>
      </c>
      <c r="N32" s="139" t="str">
        <f t="shared" si="4"/>
        <v>EURAB3E25Y</v>
      </c>
      <c r="O32" s="139" t="str">
        <v>EURAB3E25Y=ICAP</v>
      </c>
      <c r="P32" s="78">
        <v>1.4430000000000001</v>
      </c>
      <c r="Q32" s="78">
        <v>1.4929999999999999</v>
      </c>
      <c r="R32" s="78">
        <f t="shared" si="5"/>
        <v>1.468</v>
      </c>
      <c r="S32" s="78">
        <f t="shared" si="6"/>
        <v>4.9999999999999822E-2</v>
      </c>
      <c r="T32" s="114"/>
      <c r="U32" s="138">
        <v>1.468</v>
      </c>
      <c r="V32" s="114"/>
      <c r="W32" s="78">
        <v>1.468</v>
      </c>
      <c r="X32" s="137" t="e">
        <f ca="1">_xll.cfyql_SimpleQuoteSetValue(F32,W32/100,Trigger)</f>
        <v>#NAME?</v>
      </c>
      <c r="Y32" s="129"/>
    </row>
    <row r="33" spans="1:31" ht="11.25" customHeight="1" x14ac:dyDescent="0.2">
      <c r="A33" s="134"/>
      <c r="B33" s="142" t="str">
        <f t="shared" si="0"/>
        <v>26Y</v>
      </c>
      <c r="C33" s="141" t="str">
        <f t="shared" si="1"/>
        <v>AB</v>
      </c>
      <c r="D33" s="45" t="str">
        <f t="shared" si="2"/>
        <v>3E</v>
      </c>
      <c r="E33" s="43" t="str">
        <f t="shared" si="3"/>
        <v>EURAB3E26Y_Quote</v>
      </c>
      <c r="F33" s="43" t="e">
        <f ca="1">_xll.cfyql_SimpleQuote(Currency&amp;$C33&amp;$D33&amp;$B33&amp;QuoteSuffix,,RateTickValue,Permanent,Trigger,ObjectOverwrite)</f>
        <v>#NAME?</v>
      </c>
      <c r="G33" s="42" t="e">
        <f ca="1">_xll.ohRangeRetrieveError(F33)</f>
        <v>#NAME?</v>
      </c>
      <c r="H33" s="36"/>
      <c r="J33" s="134"/>
      <c r="K33" s="140" t="s">
        <v>30</v>
      </c>
      <c r="L33" s="140" t="s">
        <v>21</v>
      </c>
      <c r="M33" s="140" t="s">
        <v>69</v>
      </c>
      <c r="N33" s="139" t="str">
        <f t="shared" si="4"/>
        <v>EURAB3E26Y</v>
      </c>
      <c r="O33" s="139" t="str">
        <v>EURAB3E26Y=ICAP</v>
      </c>
      <c r="P33" s="78" t="s">
        <v>109</v>
      </c>
      <c r="Q33" s="78" t="s">
        <v>109</v>
      </c>
      <c r="R33" s="78" t="e">
        <f t="shared" si="5"/>
        <v>#NUM!</v>
      </c>
      <c r="S33" s="78" t="e">
        <f t="shared" si="6"/>
        <v>#NUM!</v>
      </c>
      <c r="T33" s="114"/>
      <c r="U33" s="138" t="e">
        <v>#NUM!</v>
      </c>
      <c r="V33" s="114"/>
      <c r="W33" s="78" t="e">
        <v>#NUM!</v>
      </c>
      <c r="X33" s="137" t="e">
        <f ca="1">_xll.cfyql_SimpleQuoteSetValue(F33,W33/100,Trigger)</f>
        <v>#NAME?</v>
      </c>
      <c r="Y33" s="129"/>
    </row>
    <row r="34" spans="1:31" ht="11.25" customHeight="1" x14ac:dyDescent="0.2">
      <c r="A34" s="134"/>
      <c r="B34" s="142" t="str">
        <f t="shared" si="0"/>
        <v>27Y</v>
      </c>
      <c r="C34" s="141" t="str">
        <f t="shared" si="1"/>
        <v>AB</v>
      </c>
      <c r="D34" s="45" t="str">
        <f t="shared" si="2"/>
        <v>3E</v>
      </c>
      <c r="E34" s="43" t="str">
        <f t="shared" si="3"/>
        <v>EURAB3E27Y_Quote</v>
      </c>
      <c r="F34" s="43" t="e">
        <f ca="1">_xll.cfyql_SimpleQuote(Currency&amp;$C34&amp;$D34&amp;$B34&amp;QuoteSuffix,,RateTickValue,Permanent,Trigger,ObjectOverwrite)</f>
        <v>#NAME?</v>
      </c>
      <c r="G34" s="42" t="e">
        <f ca="1">_xll.ohRangeRetrieveError(F34)</f>
        <v>#NAME?</v>
      </c>
      <c r="H34" s="36"/>
      <c r="J34" s="134"/>
      <c r="K34" s="140" t="s">
        <v>29</v>
      </c>
      <c r="L34" s="140" t="s">
        <v>21</v>
      </c>
      <c r="M34" s="140" t="s">
        <v>69</v>
      </c>
      <c r="N34" s="139" t="str">
        <f t="shared" si="4"/>
        <v>EURAB3E27Y</v>
      </c>
      <c r="O34" s="139" t="str">
        <v>EURAB3E27Y=ICAP</v>
      </c>
      <c r="P34" s="78" t="s">
        <v>109</v>
      </c>
      <c r="Q34" s="78" t="s">
        <v>109</v>
      </c>
      <c r="R34" s="78" t="e">
        <f t="shared" si="5"/>
        <v>#NUM!</v>
      </c>
      <c r="S34" s="78" t="e">
        <f t="shared" si="6"/>
        <v>#NUM!</v>
      </c>
      <c r="T34" s="114"/>
      <c r="U34" s="138" t="e">
        <v>#NUM!</v>
      </c>
      <c r="V34" s="114"/>
      <c r="W34" s="78" t="e">
        <v>#NUM!</v>
      </c>
      <c r="X34" s="137" t="e">
        <f ca="1">_xll.cfyql_SimpleQuoteSetValue(F34,W34/100,Trigger)</f>
        <v>#NAME?</v>
      </c>
      <c r="Y34" s="129"/>
    </row>
    <row r="35" spans="1:31" ht="11.25" customHeight="1" x14ac:dyDescent="0.2">
      <c r="A35" s="134"/>
      <c r="B35" s="142" t="str">
        <f t="shared" si="0"/>
        <v>28Y</v>
      </c>
      <c r="C35" s="141" t="str">
        <f t="shared" si="1"/>
        <v>AB</v>
      </c>
      <c r="D35" s="45" t="str">
        <f t="shared" si="2"/>
        <v>3E</v>
      </c>
      <c r="E35" s="43" t="str">
        <f t="shared" si="3"/>
        <v>EURAB3E28Y_Quote</v>
      </c>
      <c r="F35" s="43" t="e">
        <f ca="1">_xll.cfyql_SimpleQuote(Currency&amp;$C35&amp;$D35&amp;$B35&amp;QuoteSuffix,,RateTickValue,Permanent,Trigger,ObjectOverwrite)</f>
        <v>#NAME?</v>
      </c>
      <c r="G35" s="42" t="e">
        <f ca="1">_xll.ohRangeRetrieveError(F35)</f>
        <v>#NAME?</v>
      </c>
      <c r="H35" s="36"/>
      <c r="J35" s="134"/>
      <c r="K35" s="140" t="s">
        <v>28</v>
      </c>
      <c r="L35" s="140" t="s">
        <v>21</v>
      </c>
      <c r="M35" s="140" t="s">
        <v>69</v>
      </c>
      <c r="N35" s="139" t="str">
        <f t="shared" si="4"/>
        <v>EURAB3E28Y</v>
      </c>
      <c r="O35" s="139" t="str">
        <v>EURAB3E28Y=ICAP</v>
      </c>
      <c r="P35" s="78" t="s">
        <v>109</v>
      </c>
      <c r="Q35" s="78" t="s">
        <v>109</v>
      </c>
      <c r="R35" s="78" t="e">
        <f t="shared" si="5"/>
        <v>#NUM!</v>
      </c>
      <c r="S35" s="78" t="e">
        <f t="shared" si="6"/>
        <v>#NUM!</v>
      </c>
      <c r="T35" s="114"/>
      <c r="U35" s="138" t="e">
        <v>#NUM!</v>
      </c>
      <c r="V35" s="114"/>
      <c r="W35" s="78" t="e">
        <v>#NUM!</v>
      </c>
      <c r="X35" s="137" t="e">
        <f ca="1">_xll.cfyql_SimpleQuoteSetValue(F35,W35/100,Trigger)</f>
        <v>#NAME?</v>
      </c>
      <c r="Y35" s="129"/>
      <c r="AE35" s="176"/>
    </row>
    <row r="36" spans="1:31" ht="11.25" customHeight="1" x14ac:dyDescent="0.2">
      <c r="A36" s="134"/>
      <c r="B36" s="142" t="str">
        <f t="shared" si="0"/>
        <v>29Y</v>
      </c>
      <c r="C36" s="141" t="str">
        <f t="shared" si="1"/>
        <v>AB</v>
      </c>
      <c r="D36" s="45" t="str">
        <f t="shared" si="2"/>
        <v>3E</v>
      </c>
      <c r="E36" s="43" t="str">
        <f t="shared" si="3"/>
        <v>EURAB3E29Y_Quote</v>
      </c>
      <c r="F36" s="43" t="e">
        <f ca="1">_xll.cfyql_SimpleQuote(Currency&amp;$C36&amp;$D36&amp;$B36&amp;QuoteSuffix,,RateTickValue,Permanent,Trigger,ObjectOverwrite)</f>
        <v>#NAME?</v>
      </c>
      <c r="G36" s="42" t="e">
        <f ca="1">_xll.ohRangeRetrieveError(F36)</f>
        <v>#NAME?</v>
      </c>
      <c r="H36" s="36"/>
      <c r="J36" s="134"/>
      <c r="K36" s="140" t="s">
        <v>27</v>
      </c>
      <c r="L36" s="140" t="s">
        <v>21</v>
      </c>
      <c r="M36" s="140" t="s">
        <v>69</v>
      </c>
      <c r="N36" s="139" t="str">
        <f t="shared" si="4"/>
        <v>EURAB3E29Y</v>
      </c>
      <c r="O36" s="139" t="str">
        <v>EURAB3E29Y=ICAP</v>
      </c>
      <c r="P36" s="78" t="s">
        <v>109</v>
      </c>
      <c r="Q36" s="78" t="s">
        <v>109</v>
      </c>
      <c r="R36" s="78" t="e">
        <f t="shared" si="5"/>
        <v>#NUM!</v>
      </c>
      <c r="S36" s="78" t="e">
        <f t="shared" si="6"/>
        <v>#NUM!</v>
      </c>
      <c r="T36" s="114"/>
      <c r="U36" s="138" t="e">
        <v>#NUM!</v>
      </c>
      <c r="V36" s="114"/>
      <c r="W36" s="78" t="e">
        <v>#NUM!</v>
      </c>
      <c r="X36" s="137" t="e">
        <f ca="1">_xll.cfyql_SimpleQuoteSetValue(F36,W36/100,Trigger)</f>
        <v>#NAME?</v>
      </c>
      <c r="Y36" s="129"/>
      <c r="AE36" s="176"/>
    </row>
    <row r="37" spans="1:31" ht="11.25" customHeight="1" x14ac:dyDescent="0.2">
      <c r="A37" s="134"/>
      <c r="B37" s="142" t="str">
        <f t="shared" si="0"/>
        <v>30Y</v>
      </c>
      <c r="C37" s="141" t="str">
        <f t="shared" si="1"/>
        <v>AB</v>
      </c>
      <c r="D37" s="45" t="str">
        <f t="shared" si="2"/>
        <v>3E</v>
      </c>
      <c r="E37" s="43" t="str">
        <f t="shared" si="3"/>
        <v>EURAB3E30Y_Quote</v>
      </c>
      <c r="F37" s="43" t="e">
        <f ca="1">_xll.cfyql_SimpleQuote(Currency&amp;$C37&amp;$D37&amp;$B37&amp;QuoteSuffix,,RateTickValue,Permanent,Trigger,ObjectOverwrite)</f>
        <v>#NAME?</v>
      </c>
      <c r="G37" s="42" t="e">
        <f ca="1">_xll.ohRangeRetrieveError(F37)</f>
        <v>#NAME?</v>
      </c>
      <c r="H37" s="36"/>
      <c r="J37" s="134"/>
      <c r="K37" s="140" t="s">
        <v>26</v>
      </c>
      <c r="L37" s="140" t="s">
        <v>21</v>
      </c>
      <c r="M37" s="140" t="s">
        <v>69</v>
      </c>
      <c r="N37" s="139" t="str">
        <f t="shared" si="4"/>
        <v>EURAB3E30Y</v>
      </c>
      <c r="O37" s="139" t="str">
        <v>EURAB3E30Y=ICAP</v>
      </c>
      <c r="P37" s="78">
        <v>1.4530000000000001</v>
      </c>
      <c r="Q37" s="78">
        <v>1.5030000000000001</v>
      </c>
      <c r="R37" s="78">
        <f t="shared" si="5"/>
        <v>1.4780000000000002</v>
      </c>
      <c r="S37" s="78">
        <f t="shared" si="6"/>
        <v>5.0000000000000266E-2</v>
      </c>
      <c r="T37" s="114"/>
      <c r="U37" s="138">
        <v>1.4780000000000002</v>
      </c>
      <c r="V37" s="114"/>
      <c r="W37" s="78">
        <v>1.4780000000000002</v>
      </c>
      <c r="X37" s="137" t="e">
        <f ca="1">_xll.cfyql_SimpleQuoteSetValue(F37,W37/100,Trigger)</f>
        <v>#NAME?</v>
      </c>
      <c r="Y37" s="129"/>
      <c r="AE37" s="176"/>
    </row>
    <row r="38" spans="1:31" ht="11.25" customHeight="1" x14ac:dyDescent="0.2">
      <c r="A38" s="134"/>
      <c r="B38" s="142" t="str">
        <f t="shared" si="0"/>
        <v>35Y</v>
      </c>
      <c r="C38" s="141" t="str">
        <f t="shared" si="1"/>
        <v>AB</v>
      </c>
      <c r="D38" s="45" t="str">
        <f t="shared" si="2"/>
        <v>3E</v>
      </c>
      <c r="E38" s="43" t="str">
        <f t="shared" si="3"/>
        <v>EURAB3E35Y_Quote</v>
      </c>
      <c r="F38" s="43" t="e">
        <f ca="1">_xll.cfyql_SimpleQuote(Currency&amp;$C38&amp;$D38&amp;$B38&amp;QuoteSuffix,,RateTickValue,Permanent,Trigger,ObjectOverwrite)</f>
        <v>#NAME?</v>
      </c>
      <c r="G38" s="42" t="e">
        <f ca="1">_xll.ohRangeRetrieveError(F38)</f>
        <v>#NAME?</v>
      </c>
      <c r="H38" s="36"/>
      <c r="J38" s="134"/>
      <c r="K38" s="140" t="s">
        <v>25</v>
      </c>
      <c r="L38" s="140" t="s">
        <v>21</v>
      </c>
      <c r="M38" s="140" t="s">
        <v>69</v>
      </c>
      <c r="N38" s="139" t="str">
        <f t="shared" si="4"/>
        <v>EURAB3E35Y</v>
      </c>
      <c r="O38" s="139" t="str">
        <v>EURAB3E35Y=ICAP</v>
      </c>
      <c r="P38" s="78" t="s">
        <v>109</v>
      </c>
      <c r="Q38" s="78" t="s">
        <v>109</v>
      </c>
      <c r="R38" s="78" t="e">
        <f t="shared" si="5"/>
        <v>#NUM!</v>
      </c>
      <c r="S38" s="78" t="e">
        <f t="shared" si="6"/>
        <v>#NUM!</v>
      </c>
      <c r="T38" s="114"/>
      <c r="U38" s="138" t="e">
        <v>#NUM!</v>
      </c>
      <c r="V38" s="114"/>
      <c r="W38" s="78" t="e">
        <v>#NUM!</v>
      </c>
      <c r="X38" s="137" t="e">
        <f ca="1">_xll.cfyql_SimpleQuoteSetValue(F38,W38/100,Trigger)</f>
        <v>#NAME?</v>
      </c>
      <c r="Y38" s="129"/>
      <c r="AE38" s="176"/>
    </row>
    <row r="39" spans="1:31" ht="11.25" customHeight="1" x14ac:dyDescent="0.2">
      <c r="A39" s="134"/>
      <c r="B39" s="142" t="str">
        <f t="shared" si="0"/>
        <v>40Y</v>
      </c>
      <c r="C39" s="141" t="str">
        <f t="shared" si="1"/>
        <v>AB</v>
      </c>
      <c r="D39" s="45" t="str">
        <f t="shared" si="2"/>
        <v>3E</v>
      </c>
      <c r="E39" s="43" t="str">
        <f t="shared" si="3"/>
        <v>EURAB3E40Y_Quote</v>
      </c>
      <c r="F39" s="43" t="e">
        <f ca="1">_xll.cfyql_SimpleQuote(Currency&amp;$C39&amp;$D39&amp;$B39&amp;QuoteSuffix,,RateTickValue,Permanent,Trigger,ObjectOverwrite)</f>
        <v>#NAME?</v>
      </c>
      <c r="G39" s="42" t="e">
        <f ca="1">_xll.ohRangeRetrieveError(F39)</f>
        <v>#NAME?</v>
      </c>
      <c r="H39" s="36"/>
      <c r="J39" s="134"/>
      <c r="K39" s="140" t="s">
        <v>24</v>
      </c>
      <c r="L39" s="140" t="s">
        <v>21</v>
      </c>
      <c r="M39" s="140" t="s">
        <v>69</v>
      </c>
      <c r="N39" s="139" t="str">
        <f t="shared" si="4"/>
        <v>EURAB3E40Y</v>
      </c>
      <c r="O39" s="139" t="str">
        <v>EURAB3E40Y=ICAP</v>
      </c>
      <c r="P39" s="78">
        <v>1.4650000000000001</v>
      </c>
      <c r="Q39" s="78">
        <v>1.5150000000000001</v>
      </c>
      <c r="R39" s="78">
        <f t="shared" si="5"/>
        <v>1.4900000000000002</v>
      </c>
      <c r="S39" s="78">
        <f t="shared" si="6"/>
        <v>5.0000000000000266E-2</v>
      </c>
      <c r="T39" s="114"/>
      <c r="U39" s="138">
        <v>1.4900000000000002</v>
      </c>
      <c r="V39" s="114"/>
      <c r="W39" s="78">
        <v>1.4900000000000002</v>
      </c>
      <c r="X39" s="137" t="e">
        <f ca="1">_xll.cfyql_SimpleQuoteSetValue(F39,W39/100,Trigger)</f>
        <v>#NAME?</v>
      </c>
      <c r="Y39" s="129"/>
      <c r="AE39" s="176"/>
    </row>
    <row r="40" spans="1:31" ht="11.25" customHeight="1" x14ac:dyDescent="0.2">
      <c r="A40" s="134"/>
      <c r="B40" s="142" t="str">
        <f t="shared" si="0"/>
        <v>50Y</v>
      </c>
      <c r="C40" s="141" t="str">
        <f t="shared" si="1"/>
        <v>AB</v>
      </c>
      <c r="D40" s="45" t="str">
        <f t="shared" si="2"/>
        <v>3E</v>
      </c>
      <c r="E40" s="43" t="str">
        <f t="shared" si="3"/>
        <v>EURAB3E50Y_Quote</v>
      </c>
      <c r="F40" s="43" t="e">
        <f ca="1">_xll.cfyql_SimpleQuote(Currency&amp;$C40&amp;$D40&amp;$B40&amp;QuoteSuffix,,RateTickValue,Permanent,Trigger,ObjectOverwrite)</f>
        <v>#NAME?</v>
      </c>
      <c r="G40" s="42" t="e">
        <f ca="1">_xll.ohRangeRetrieveError(F40)</f>
        <v>#NAME?</v>
      </c>
      <c r="H40" s="36"/>
      <c r="J40" s="134"/>
      <c r="K40" s="140" t="s">
        <v>23</v>
      </c>
      <c r="L40" s="140" t="s">
        <v>21</v>
      </c>
      <c r="M40" s="140" t="s">
        <v>69</v>
      </c>
      <c r="N40" s="139" t="str">
        <f t="shared" si="4"/>
        <v>EURAB3E50Y</v>
      </c>
      <c r="O40" s="139" t="str">
        <v>EURAB3E50Y=ICAP</v>
      </c>
      <c r="P40" s="78">
        <v>1.4239999999999999</v>
      </c>
      <c r="Q40" s="78">
        <v>1.474</v>
      </c>
      <c r="R40" s="78">
        <f t="shared" si="5"/>
        <v>1.4489999999999998</v>
      </c>
      <c r="S40" s="78">
        <f t="shared" si="6"/>
        <v>4.9999999999999822E-2</v>
      </c>
      <c r="T40" s="114"/>
      <c r="U40" s="138">
        <v>1.4489999999999998</v>
      </c>
      <c r="V40" s="114"/>
      <c r="W40" s="78">
        <v>1.4489999999999998</v>
      </c>
      <c r="X40" s="137" t="e">
        <f ca="1">_xll.cfyql_SimpleQuoteSetValue(F40,W40/100,Trigger)</f>
        <v>#NAME?</v>
      </c>
      <c r="Y40" s="129"/>
      <c r="AE40" s="176"/>
    </row>
    <row r="41" spans="1:31" ht="11.25" customHeight="1" x14ac:dyDescent="0.2">
      <c r="A41" s="134"/>
      <c r="B41" s="136" t="str">
        <f t="shared" si="0"/>
        <v>60Y</v>
      </c>
      <c r="C41" s="135" t="str">
        <f t="shared" si="1"/>
        <v>AB</v>
      </c>
      <c r="D41" s="40" t="str">
        <f t="shared" si="2"/>
        <v>3E</v>
      </c>
      <c r="E41" s="38" t="str">
        <f t="shared" si="3"/>
        <v>EURAB3E60Y_Quote</v>
      </c>
      <c r="F41" s="38" t="e">
        <f ca="1">_xll.cfyql_SimpleQuote(Currency&amp;$C41&amp;$D41&amp;$B41&amp;QuoteSuffix,,RateTickValue,Permanent,Trigger,ObjectOverwrite)</f>
        <v>#NAME?</v>
      </c>
      <c r="G41" s="37" t="e">
        <f ca="1">_xll.ohRangeRetrieveError(F41)</f>
        <v>#NAME?</v>
      </c>
      <c r="H41" s="36"/>
      <c r="J41" s="134"/>
      <c r="K41" s="140" t="s">
        <v>22</v>
      </c>
      <c r="L41" s="140" t="s">
        <v>21</v>
      </c>
      <c r="M41" s="140" t="s">
        <v>69</v>
      </c>
      <c r="N41" s="139" t="str">
        <f t="shared" si="4"/>
        <v>EURAB3E60Y</v>
      </c>
      <c r="O41" s="139" t="str">
        <v>EURAB3E60Y=ICAP</v>
      </c>
      <c r="P41" s="78">
        <v>1.4119999999999999</v>
      </c>
      <c r="Q41" s="78">
        <v>1.462</v>
      </c>
      <c r="R41" s="78">
        <f t="shared" si="5"/>
        <v>1.4369999999999998</v>
      </c>
      <c r="S41" s="65">
        <f t="shared" si="6"/>
        <v>4.9999999999999822E-2</v>
      </c>
      <c r="T41" s="114"/>
      <c r="U41" s="131">
        <v>1.4369999999999998</v>
      </c>
      <c r="V41" s="114"/>
      <c r="W41" s="65">
        <v>1.4369999999999998</v>
      </c>
      <c r="X41" s="130" t="e">
        <f ca="1">_xll.cfyql_SimpleQuoteSetValue(F41,W41/100,Trigger)</f>
        <v>#NAME?</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7"/>
      <c r="B1" s="124"/>
      <c r="C1" s="54"/>
      <c r="D1" s="54"/>
      <c r="E1" s="54"/>
      <c r="F1" s="55"/>
      <c r="G1" s="54"/>
      <c r="H1" s="53"/>
      <c r="J1" s="152" t="s">
        <v>108</v>
      </c>
      <c r="K1" s="122"/>
      <c r="L1" s="122"/>
      <c r="M1" s="122"/>
      <c r="N1" s="122"/>
      <c r="O1" s="122"/>
      <c r="P1" s="122"/>
      <c r="Q1" s="122"/>
      <c r="R1" s="122"/>
      <c r="S1" s="122"/>
      <c r="T1" s="122"/>
      <c r="U1" s="122"/>
      <c r="V1" s="122"/>
      <c r="W1" s="122"/>
      <c r="X1" s="122"/>
      <c r="Y1" s="170"/>
    </row>
    <row r="2" spans="1:30" ht="15" x14ac:dyDescent="0.25">
      <c r="A2" s="120"/>
      <c r="B2" s="109"/>
      <c r="C2" s="109"/>
      <c r="D2" s="109"/>
      <c r="E2" s="109"/>
      <c r="F2" s="150"/>
      <c r="G2" s="109"/>
      <c r="H2" s="119"/>
      <c r="J2" s="112"/>
      <c r="K2" s="110"/>
      <c r="L2" s="169"/>
      <c r="M2" s="169"/>
      <c r="N2" s="169"/>
      <c r="O2" s="118" t="str">
        <f>VLOOKUP(J1,AreaTable,2,FALSE)</f>
        <v>ICAP</v>
      </c>
      <c r="P2" s="111"/>
      <c r="Q2" s="111"/>
      <c r="R2" s="110"/>
      <c r="S2" s="110"/>
      <c r="T2" s="111"/>
      <c r="U2" s="111"/>
      <c r="V2" s="111"/>
      <c r="W2" s="111"/>
      <c r="X2" s="117" t="e">
        <f ca="1">_xll.ohTrigger(X5:X41)</f>
        <v>#NAME?</v>
      </c>
      <c r="Y2" s="36"/>
      <c r="AA2" s="1360" t="s">
        <v>529</v>
      </c>
      <c r="AB2" s="1363" t="e">
        <f ca="1">_xll.cfyql_Trigger('General Settings'!Trigger)</f>
        <v>#NAME?</v>
      </c>
    </row>
    <row r="3" spans="1:30" ht="15.75"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t="e">
        <f ca="1">_xll.cfyql_Trigger(X5:X41)</f>
        <v>#NAME?</v>
      </c>
    </row>
    <row r="4" spans="1:30"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30" x14ac:dyDescent="0.2">
      <c r="A5" s="134"/>
      <c r="B5" s="142" t="str">
        <f t="shared" ref="B5:B41" si="0">K5</f>
        <v>1Y</v>
      </c>
      <c r="C5" s="141" t="str">
        <f t="shared" ref="C5:C41" si="1">L5</f>
        <v>AB</v>
      </c>
      <c r="D5" s="45" t="str">
        <f t="shared" ref="D5:D41" si="2">M5</f>
        <v>6E</v>
      </c>
      <c r="E5" s="43" t="str">
        <f t="shared" ref="E5:E41" si="3">Currency&amp;$C5&amp;$D5&amp;$B5&amp;QuoteSuffix</f>
        <v>EURAB6E1Y_Quote</v>
      </c>
      <c r="F5" s="43" t="e">
        <f ca="1">_xll.cfyql_SimpleQuote(Currency&amp;$C5&amp;$D5&amp;$B5&amp;QuoteSuffix,,RateTickValue,Permanent,Trigger,ObjectOverwrite)</f>
        <v>#NAME?</v>
      </c>
      <c r="G5" s="42" t="e">
        <f ca="1">_xll.ohRangeRetrieveError(F5)</f>
        <v>#NAME?</v>
      </c>
      <c r="H5" s="36"/>
      <c r="J5" s="134"/>
      <c r="K5" s="140" t="s">
        <v>58</v>
      </c>
      <c r="L5" s="140" t="s">
        <v>21</v>
      </c>
      <c r="M5" s="140" t="s">
        <v>66</v>
      </c>
      <c r="N5" s="139" t="str">
        <f t="shared" ref="N5:N41" si="4">Currency&amp;$L5&amp;$M5&amp;$K5</f>
        <v>EURAB6E1Y</v>
      </c>
      <c r="O5" s="139"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4"/>
      <c r="U5" s="138">
        <v>2.4999999999999998E-2</v>
      </c>
      <c r="V5" s="114"/>
      <c r="W5" s="78">
        <f t="array" ref="W5:W41">QuoteStatic</f>
        <v>2.4999999999999998E-2</v>
      </c>
      <c r="X5" s="137" t="e">
        <f ca="1">_xll.cfyql_SimpleQuoteSetValue(F5,W5/100,Trigger)</f>
        <v>#NAME?</v>
      </c>
      <c r="Y5" s="129"/>
    </row>
    <row r="6" spans="1:30" x14ac:dyDescent="0.2">
      <c r="A6" s="134"/>
      <c r="B6" s="142" t="str">
        <f t="shared" si="0"/>
        <v>15M</v>
      </c>
      <c r="C6" s="141" t="str">
        <f t="shared" si="1"/>
        <v>AB</v>
      </c>
      <c r="D6" s="45" t="str">
        <f t="shared" si="2"/>
        <v>6E</v>
      </c>
      <c r="E6" s="43" t="str">
        <f t="shared" si="3"/>
        <v>EURAB6E15M_Quote</v>
      </c>
      <c r="F6" s="43" t="e">
        <f ca="1">_xll.cfyql_SimpleQuote(Currency&amp;$C6&amp;$D6&amp;$B6&amp;QuoteSuffix,,RateTickValue,Permanent,Trigger,ObjectOverwrite)</f>
        <v>#NAME?</v>
      </c>
      <c r="G6" s="42" t="e">
        <f ca="1">_xll.ohRangeRetrieveError(F6)</f>
        <v>#NAME?</v>
      </c>
      <c r="H6" s="36"/>
      <c r="J6" s="134"/>
      <c r="K6" s="140" t="s">
        <v>57</v>
      </c>
      <c r="L6" s="140" t="s">
        <v>21</v>
      </c>
      <c r="M6" s="140" t="s">
        <v>66</v>
      </c>
      <c r="N6" s="139" t="str">
        <f t="shared" si="4"/>
        <v>EURAB6E15M</v>
      </c>
      <c r="O6" s="139" t="str">
        <v>EURAB6E15M=ICAP</v>
      </c>
      <c r="P6" s="78">
        <v>-1.3999999999999999E-2</v>
      </c>
      <c r="Q6" s="78">
        <v>3.5999999999999997E-2</v>
      </c>
      <c r="R6" s="78">
        <f t="shared" si="5"/>
        <v>1.0999999999999999E-2</v>
      </c>
      <c r="S6" s="78">
        <f t="shared" si="6"/>
        <v>4.9999999999999996E-2</v>
      </c>
      <c r="T6" s="114"/>
      <c r="U6" s="138">
        <v>1.0999999999999999E-2</v>
      </c>
      <c r="V6" s="114"/>
      <c r="W6" s="78">
        <v>1.0999999999999999E-2</v>
      </c>
      <c r="X6" s="137" t="e">
        <f ca="1">_xll.cfyql_SimpleQuoteSetValue(F6,W6/100,Trigger)</f>
        <v>#NAME?</v>
      </c>
      <c r="Y6" s="129"/>
      <c r="AD6" s="174"/>
    </row>
    <row r="7" spans="1:30" x14ac:dyDescent="0.2">
      <c r="A7" s="134"/>
      <c r="B7" s="142" t="str">
        <f t="shared" si="0"/>
        <v>18M</v>
      </c>
      <c r="C7" s="141" t="str">
        <f t="shared" si="1"/>
        <v>AB</v>
      </c>
      <c r="D7" s="45" t="str">
        <f t="shared" si="2"/>
        <v>6E</v>
      </c>
      <c r="E7" s="43" t="str">
        <f t="shared" si="3"/>
        <v>EURAB6E18M_Quote</v>
      </c>
      <c r="F7" s="43" t="e">
        <f ca="1">_xll.cfyql_SimpleQuote(Currency&amp;$C7&amp;$D7&amp;$B7&amp;QuoteSuffix,,RateTickValue,Permanent,Trigger,ObjectOverwrite)</f>
        <v>#NAME?</v>
      </c>
      <c r="G7" s="42" t="e">
        <f ca="1">_xll.ohRangeRetrieveError(F7)</f>
        <v>#NAME?</v>
      </c>
      <c r="H7" s="36"/>
      <c r="J7" s="134"/>
      <c r="K7" s="140" t="s">
        <v>56</v>
      </c>
      <c r="L7" s="140" t="s">
        <v>21</v>
      </c>
      <c r="M7" s="140" t="s">
        <v>66</v>
      </c>
      <c r="N7" s="139" t="str">
        <f t="shared" si="4"/>
        <v>EURAB6E18M</v>
      </c>
      <c r="O7" s="139" t="str">
        <v>EURAB6E18M=ICAP</v>
      </c>
      <c r="P7" s="78">
        <v>6.0000000000000001E-3</v>
      </c>
      <c r="Q7" s="78">
        <v>5.5999999999999994E-2</v>
      </c>
      <c r="R7" s="78">
        <f t="shared" si="5"/>
        <v>3.0999999999999996E-2</v>
      </c>
      <c r="S7" s="78">
        <f t="shared" si="6"/>
        <v>4.9999999999999989E-2</v>
      </c>
      <c r="T7" s="114"/>
      <c r="U7" s="138">
        <v>3.0999999999999996E-2</v>
      </c>
      <c r="V7" s="114"/>
      <c r="W7" s="78">
        <v>3.0999999999999996E-2</v>
      </c>
      <c r="X7" s="137" t="e">
        <f ca="1">_xll.cfyql_SimpleQuoteSetValue(F7,W7/100,Trigger)</f>
        <v>#NAME?</v>
      </c>
      <c r="Y7" s="129"/>
      <c r="AD7" s="174"/>
    </row>
    <row r="8" spans="1:30" x14ac:dyDescent="0.2">
      <c r="A8" s="134"/>
      <c r="B8" s="142" t="str">
        <f t="shared" si="0"/>
        <v>21M</v>
      </c>
      <c r="C8" s="141" t="str">
        <f t="shared" si="1"/>
        <v>AB</v>
      </c>
      <c r="D8" s="45" t="str">
        <f t="shared" si="2"/>
        <v>6E</v>
      </c>
      <c r="E8" s="43" t="str">
        <f t="shared" si="3"/>
        <v>EURAB6E21M_Quote</v>
      </c>
      <c r="F8" s="43" t="e">
        <f ca="1">_xll.cfyql_SimpleQuote(Currency&amp;$C8&amp;$D8&amp;$B8&amp;QuoteSuffix,,RateTickValue,Permanent,Trigger,ObjectOverwrite)</f>
        <v>#NAME?</v>
      </c>
      <c r="G8" s="42" t="e">
        <f ca="1">_xll.ohRangeRetrieveError(F8)</f>
        <v>#NAME?</v>
      </c>
      <c r="H8" s="36"/>
      <c r="J8" s="134"/>
      <c r="K8" s="140" t="s">
        <v>55</v>
      </c>
      <c r="L8" s="140" t="s">
        <v>21</v>
      </c>
      <c r="M8" s="140" t="s">
        <v>66</v>
      </c>
      <c r="N8" s="139" t="str">
        <f t="shared" si="4"/>
        <v>EURAB6E21M</v>
      </c>
      <c r="O8" s="139" t="str">
        <v>EURAB6E21M=ICAP</v>
      </c>
      <c r="P8" s="78">
        <v>1E-3</v>
      </c>
      <c r="Q8" s="78">
        <v>5.1000000000000004E-2</v>
      </c>
      <c r="R8" s="78">
        <f t="shared" si="5"/>
        <v>2.6000000000000002E-2</v>
      </c>
      <c r="S8" s="78">
        <f t="shared" si="6"/>
        <v>0.05</v>
      </c>
      <c r="T8" s="114"/>
      <c r="U8" s="138">
        <v>2.6000000000000002E-2</v>
      </c>
      <c r="V8" s="114"/>
      <c r="W8" s="78">
        <v>2.6000000000000002E-2</v>
      </c>
      <c r="X8" s="137" t="e">
        <f ca="1">_xll.cfyql_SimpleQuoteSetValue(F8,W8/100,Trigger)</f>
        <v>#NAME?</v>
      </c>
      <c r="Y8" s="129"/>
    </row>
    <row r="9" spans="1:30" x14ac:dyDescent="0.2">
      <c r="A9" s="134"/>
      <c r="B9" s="142" t="str">
        <f t="shared" si="0"/>
        <v>2Y</v>
      </c>
      <c r="C9" s="141" t="str">
        <f t="shared" si="1"/>
        <v>AB</v>
      </c>
      <c r="D9" s="45" t="str">
        <f t="shared" si="2"/>
        <v>6E</v>
      </c>
      <c r="E9" s="43" t="str">
        <f t="shared" si="3"/>
        <v>EURAB6E2Y_Quote</v>
      </c>
      <c r="F9" s="43" t="e">
        <f ca="1">_xll.cfyql_SimpleQuote(Currency&amp;$C9&amp;$D9&amp;$B9&amp;QuoteSuffix,,RateTickValue,Permanent,Trigger,ObjectOverwrite)</f>
        <v>#NAME?</v>
      </c>
      <c r="G9" s="42" t="e">
        <f ca="1">_xll.ohRangeRetrieveError(F9)</f>
        <v>#NAME?</v>
      </c>
      <c r="H9" s="36"/>
      <c r="J9" s="134"/>
      <c r="K9" s="140" t="s">
        <v>54</v>
      </c>
      <c r="L9" s="140" t="s">
        <v>21</v>
      </c>
      <c r="M9" s="140" t="s">
        <v>66</v>
      </c>
      <c r="N9" s="139" t="str">
        <f t="shared" si="4"/>
        <v>EURAB6E2Y</v>
      </c>
      <c r="O9" s="139" t="str">
        <v>EURAB6E2Y=ICAP</v>
      </c>
      <c r="P9" s="78">
        <v>0.03</v>
      </c>
      <c r="Q9" s="78">
        <v>6.9999999999999993E-2</v>
      </c>
      <c r="R9" s="78">
        <f t="shared" si="5"/>
        <v>4.9999999999999996E-2</v>
      </c>
      <c r="S9" s="78">
        <f t="shared" si="6"/>
        <v>3.9999999999999994E-2</v>
      </c>
      <c r="T9" s="114"/>
      <c r="U9" s="138">
        <v>4.9999999999999996E-2</v>
      </c>
      <c r="V9" s="114"/>
      <c r="W9" s="78">
        <v>4.9999999999999996E-2</v>
      </c>
      <c r="X9" s="137" t="e">
        <f ca="1">_xll.cfyql_SimpleQuoteSetValue(F9,W9/100,Trigger)</f>
        <v>#NAME?</v>
      </c>
      <c r="Y9" s="129"/>
    </row>
    <row r="10" spans="1:30" x14ac:dyDescent="0.2">
      <c r="A10" s="134"/>
      <c r="B10" s="142" t="str">
        <f t="shared" si="0"/>
        <v>3Y</v>
      </c>
      <c r="C10" s="141" t="str">
        <f t="shared" si="1"/>
        <v>AB</v>
      </c>
      <c r="D10" s="45" t="str">
        <f t="shared" si="2"/>
        <v>6E</v>
      </c>
      <c r="E10" s="43" t="str">
        <f t="shared" si="3"/>
        <v>EURAB6E3Y_Quote</v>
      </c>
      <c r="F10" s="43" t="e">
        <f ca="1">_xll.cfyql_SimpleQuote(Currency&amp;$C10&amp;$D10&amp;$B10&amp;QuoteSuffix,,RateTickValue,Permanent,Trigger,ObjectOverwrite)</f>
        <v>#NAME?</v>
      </c>
      <c r="G10" s="42" t="e">
        <f ca="1">_xll.ohRangeRetrieveError(F10)</f>
        <v>#NAME?</v>
      </c>
      <c r="H10" s="36"/>
      <c r="J10" s="134"/>
      <c r="K10" s="140" t="s">
        <v>53</v>
      </c>
      <c r="L10" s="140" t="s">
        <v>21</v>
      </c>
      <c r="M10" s="140" t="s">
        <v>66</v>
      </c>
      <c r="N10" s="139" t="str">
        <f t="shared" si="4"/>
        <v>EURAB6E3Y</v>
      </c>
      <c r="O10" s="139" t="str">
        <v>EURAB6E3Y=ICAP</v>
      </c>
      <c r="P10" s="78">
        <v>0.10200000000000001</v>
      </c>
      <c r="Q10" s="78">
        <v>0.14199999999999999</v>
      </c>
      <c r="R10" s="78">
        <f t="shared" si="5"/>
        <v>0.122</v>
      </c>
      <c r="S10" s="78">
        <f t="shared" si="6"/>
        <v>3.999999999999998E-2</v>
      </c>
      <c r="T10" s="114"/>
      <c r="U10" s="138">
        <v>0.122</v>
      </c>
      <c r="V10" s="114"/>
      <c r="W10" s="78">
        <v>0.122</v>
      </c>
      <c r="X10" s="137" t="e">
        <f ca="1">_xll.cfyql_SimpleQuoteSetValue(F10,W10/100,Trigger)</f>
        <v>#NAME?</v>
      </c>
      <c r="Y10" s="129"/>
    </row>
    <row r="11" spans="1:30" x14ac:dyDescent="0.2">
      <c r="A11" s="134"/>
      <c r="B11" s="142" t="str">
        <f t="shared" si="0"/>
        <v>4Y</v>
      </c>
      <c r="C11" s="141" t="str">
        <f t="shared" si="1"/>
        <v>AB</v>
      </c>
      <c r="D11" s="45" t="str">
        <f t="shared" si="2"/>
        <v>6E</v>
      </c>
      <c r="E11" s="43" t="str">
        <f t="shared" si="3"/>
        <v>EURAB6E4Y_Quote</v>
      </c>
      <c r="F11" s="43" t="e">
        <f ca="1">_xll.cfyql_SimpleQuote(Currency&amp;$C11&amp;$D11&amp;$B11&amp;QuoteSuffix,,RateTickValue,Permanent,Trigger,ObjectOverwrite)</f>
        <v>#NAME?</v>
      </c>
      <c r="G11" s="42" t="e">
        <f ca="1">_xll.ohRangeRetrieveError(F11)</f>
        <v>#NAME?</v>
      </c>
      <c r="H11" s="36"/>
      <c r="J11" s="134"/>
      <c r="K11" s="140" t="s">
        <v>52</v>
      </c>
      <c r="L11" s="140" t="s">
        <v>21</v>
      </c>
      <c r="M11" s="140" t="s">
        <v>66</v>
      </c>
      <c r="N11" s="139" t="str">
        <f t="shared" si="4"/>
        <v>EURAB6E4Y</v>
      </c>
      <c r="O11" s="139" t="str">
        <v>EURAB6E4Y=ICAP</v>
      </c>
      <c r="P11" s="78">
        <v>0.20899999999999999</v>
      </c>
      <c r="Q11" s="78">
        <v>0.24900000000000003</v>
      </c>
      <c r="R11" s="78">
        <f t="shared" si="5"/>
        <v>0.22900000000000001</v>
      </c>
      <c r="S11" s="78">
        <f t="shared" si="6"/>
        <v>4.0000000000000036E-2</v>
      </c>
      <c r="T11" s="114"/>
      <c r="U11" s="138">
        <v>0.22900000000000001</v>
      </c>
      <c r="V11" s="114"/>
      <c r="W11" s="78">
        <v>0.22900000000000001</v>
      </c>
      <c r="X11" s="137" t="e">
        <f ca="1">_xll.cfyql_SimpleQuoteSetValue(F11,W11/100,Trigger)</f>
        <v>#NAME?</v>
      </c>
      <c r="Y11" s="129"/>
    </row>
    <row r="12" spans="1:30" x14ac:dyDescent="0.2">
      <c r="A12" s="134"/>
      <c r="B12" s="142" t="str">
        <f t="shared" si="0"/>
        <v>5Y</v>
      </c>
      <c r="C12" s="141" t="str">
        <f t="shared" si="1"/>
        <v>AB</v>
      </c>
      <c r="D12" s="45" t="str">
        <f t="shared" si="2"/>
        <v>6E</v>
      </c>
      <c r="E12" s="43" t="str">
        <f t="shared" si="3"/>
        <v>EURAB6E5Y_Quote</v>
      </c>
      <c r="F12" s="43" t="e">
        <f ca="1">_xll.cfyql_SimpleQuote(Currency&amp;$C12&amp;$D12&amp;$B12&amp;QuoteSuffix,,RateTickValue,Permanent,Trigger,ObjectOverwrite)</f>
        <v>#NAME?</v>
      </c>
      <c r="G12" s="42" t="e">
        <f ca="1">_xll.ohRangeRetrieveError(F12)</f>
        <v>#NAME?</v>
      </c>
      <c r="H12" s="36"/>
      <c r="J12" s="134"/>
      <c r="K12" s="140" t="s">
        <v>51</v>
      </c>
      <c r="L12" s="140" t="s">
        <v>21</v>
      </c>
      <c r="M12" s="140" t="s">
        <v>66</v>
      </c>
      <c r="N12" s="139" t="str">
        <f t="shared" si="4"/>
        <v>EURAB6E5Y</v>
      </c>
      <c r="O12" s="139" t="str">
        <v>EURAB6E5Y=ICAP</v>
      </c>
      <c r="P12" s="78">
        <v>0.33300000000000002</v>
      </c>
      <c r="Q12" s="78">
        <v>0.373</v>
      </c>
      <c r="R12" s="78">
        <f t="shared" si="5"/>
        <v>0.35299999999999998</v>
      </c>
      <c r="S12" s="78">
        <f t="shared" si="6"/>
        <v>3.9999999999999925E-2</v>
      </c>
      <c r="T12" s="114"/>
      <c r="U12" s="138">
        <v>0.35299999999999998</v>
      </c>
      <c r="V12" s="114"/>
      <c r="W12" s="78">
        <v>0.35299999999999998</v>
      </c>
      <c r="X12" s="137" t="e">
        <f ca="1">_xll.cfyql_SimpleQuoteSetValue(F12,W12/100,Trigger)</f>
        <v>#NAME?</v>
      </c>
      <c r="Y12" s="129"/>
    </row>
    <row r="13" spans="1:30" x14ac:dyDescent="0.2">
      <c r="A13" s="134"/>
      <c r="B13" s="142" t="str">
        <f t="shared" si="0"/>
        <v>6Y</v>
      </c>
      <c r="C13" s="141" t="str">
        <f t="shared" si="1"/>
        <v>AB</v>
      </c>
      <c r="D13" s="45" t="str">
        <f t="shared" si="2"/>
        <v>6E</v>
      </c>
      <c r="E13" s="43" t="str">
        <f t="shared" si="3"/>
        <v>EURAB6E6Y_Quote</v>
      </c>
      <c r="F13" s="43" t="e">
        <f ca="1">_xll.cfyql_SimpleQuote(Currency&amp;$C13&amp;$D13&amp;$B13&amp;QuoteSuffix,,RateTickValue,Permanent,Trigger,ObjectOverwrite)</f>
        <v>#NAME?</v>
      </c>
      <c r="G13" s="42" t="e">
        <f ca="1">_xll.ohRangeRetrieveError(F13)</f>
        <v>#NAME?</v>
      </c>
      <c r="H13" s="36"/>
      <c r="J13" s="134"/>
      <c r="K13" s="140" t="s">
        <v>50</v>
      </c>
      <c r="L13" s="140" t="s">
        <v>21</v>
      </c>
      <c r="M13" s="140" t="s">
        <v>66</v>
      </c>
      <c r="N13" s="139" t="str">
        <f t="shared" si="4"/>
        <v>EURAB6E6Y</v>
      </c>
      <c r="O13" s="139" t="str">
        <v>EURAB6E6Y=ICAP</v>
      </c>
      <c r="P13" s="78">
        <v>0.46399999999999997</v>
      </c>
      <c r="Q13" s="78">
        <v>0.504</v>
      </c>
      <c r="R13" s="78">
        <f t="shared" si="5"/>
        <v>0.48399999999999999</v>
      </c>
      <c r="S13" s="78">
        <f t="shared" si="6"/>
        <v>4.0000000000000036E-2</v>
      </c>
      <c r="T13" s="114"/>
      <c r="U13" s="138">
        <v>0.48399999999999999</v>
      </c>
      <c r="V13" s="114"/>
      <c r="W13" s="78">
        <v>0.48399999999999999</v>
      </c>
      <c r="X13" s="137" t="e">
        <f ca="1">_xll.cfyql_SimpleQuoteSetValue(F13,W13/100,Trigger)</f>
        <v>#NAME?</v>
      </c>
      <c r="Y13" s="129"/>
    </row>
    <row r="14" spans="1:30" x14ac:dyDescent="0.2">
      <c r="A14" s="134"/>
      <c r="B14" s="142" t="str">
        <f t="shared" si="0"/>
        <v>7Y</v>
      </c>
      <c r="C14" s="141" t="str">
        <f t="shared" si="1"/>
        <v>AB</v>
      </c>
      <c r="D14" s="45" t="str">
        <f t="shared" si="2"/>
        <v>6E</v>
      </c>
      <c r="E14" s="43" t="str">
        <f t="shared" si="3"/>
        <v>EURAB6E7Y_Quote</v>
      </c>
      <c r="F14" s="43" t="e">
        <f ca="1">_xll.cfyql_SimpleQuote(Currency&amp;$C14&amp;$D14&amp;$B14&amp;QuoteSuffix,,RateTickValue,Permanent,Trigger,ObjectOverwrite)</f>
        <v>#NAME?</v>
      </c>
      <c r="G14" s="42" t="e">
        <f ca="1">_xll.ohRangeRetrieveError(F14)</f>
        <v>#NAME?</v>
      </c>
      <c r="H14" s="36"/>
      <c r="J14" s="134"/>
      <c r="K14" s="140" t="s">
        <v>49</v>
      </c>
      <c r="L14" s="140" t="s">
        <v>21</v>
      </c>
      <c r="M14" s="140" t="s">
        <v>66</v>
      </c>
      <c r="N14" s="139" t="str">
        <f t="shared" si="4"/>
        <v>EURAB6E7Y</v>
      </c>
      <c r="O14" s="139" t="str">
        <v>EURAB6E7Y=ICAP</v>
      </c>
      <c r="P14" s="78">
        <v>0.59699999999999998</v>
      </c>
      <c r="Q14" s="78">
        <v>0.63700000000000001</v>
      </c>
      <c r="R14" s="78">
        <f t="shared" si="5"/>
        <v>0.61699999999999999</v>
      </c>
      <c r="S14" s="78">
        <f t="shared" si="6"/>
        <v>4.0000000000000036E-2</v>
      </c>
      <c r="T14" s="114"/>
      <c r="U14" s="138">
        <v>0.61699999999999999</v>
      </c>
      <c r="V14" s="114"/>
      <c r="W14" s="78">
        <v>0.61699999999999999</v>
      </c>
      <c r="X14" s="137" t="e">
        <f ca="1">_xll.cfyql_SimpleQuoteSetValue(F14,W14/100,Trigger)</f>
        <v>#NAME?</v>
      </c>
      <c r="Y14" s="129"/>
    </row>
    <row r="15" spans="1:30" x14ac:dyDescent="0.2">
      <c r="A15" s="134"/>
      <c r="B15" s="142" t="str">
        <f t="shared" si="0"/>
        <v>8Y</v>
      </c>
      <c r="C15" s="141" t="str">
        <f t="shared" si="1"/>
        <v>AB</v>
      </c>
      <c r="D15" s="45" t="str">
        <f t="shared" si="2"/>
        <v>6E</v>
      </c>
      <c r="E15" s="43" t="str">
        <f t="shared" si="3"/>
        <v>EURAB6E8Y_Quote</v>
      </c>
      <c r="F15" s="43" t="e">
        <f ca="1">_xll.cfyql_SimpleQuote(Currency&amp;$C15&amp;$D15&amp;$B15&amp;QuoteSuffix,,RateTickValue,Permanent,Trigger,ObjectOverwrite)</f>
        <v>#NAME?</v>
      </c>
      <c r="G15" s="42" t="e">
        <f ca="1">_xll.ohRangeRetrieveError(F15)</f>
        <v>#NAME?</v>
      </c>
      <c r="H15" s="36"/>
      <c r="J15" s="134"/>
      <c r="K15" s="140" t="s">
        <v>48</v>
      </c>
      <c r="L15" s="140" t="s">
        <v>21</v>
      </c>
      <c r="M15" s="140" t="s">
        <v>66</v>
      </c>
      <c r="N15" s="139" t="str">
        <f t="shared" si="4"/>
        <v>EURAB6E8Y</v>
      </c>
      <c r="O15" s="139" t="str">
        <v>EURAB6E8Y=ICAP</v>
      </c>
      <c r="P15" s="78">
        <v>0.72399999999999998</v>
      </c>
      <c r="Q15" s="78">
        <v>0.76400000000000001</v>
      </c>
      <c r="R15" s="78">
        <f t="shared" si="5"/>
        <v>0.74399999999999999</v>
      </c>
      <c r="S15" s="78">
        <f t="shared" si="6"/>
        <v>4.0000000000000036E-2</v>
      </c>
      <c r="T15" s="114"/>
      <c r="U15" s="138">
        <v>0.74399999999999999</v>
      </c>
      <c r="V15" s="114"/>
      <c r="W15" s="78">
        <v>0.74399999999999999</v>
      </c>
      <c r="X15" s="137" t="e">
        <f ca="1">_xll.cfyql_SimpleQuoteSetValue(F15,W15/100,Trigger)</f>
        <v>#NAME?</v>
      </c>
      <c r="Y15" s="129"/>
    </row>
    <row r="16" spans="1:30" x14ac:dyDescent="0.2">
      <c r="A16" s="134"/>
      <c r="B16" s="142" t="str">
        <f t="shared" si="0"/>
        <v>9Y</v>
      </c>
      <c r="C16" s="141" t="str">
        <f t="shared" si="1"/>
        <v>AB</v>
      </c>
      <c r="D16" s="45" t="str">
        <f t="shared" si="2"/>
        <v>6E</v>
      </c>
      <c r="E16" s="43" t="str">
        <f t="shared" si="3"/>
        <v>EURAB6E9Y_Quote</v>
      </c>
      <c r="F16" s="43" t="e">
        <f ca="1">_xll.cfyql_SimpleQuote(Currency&amp;$C16&amp;$D16&amp;$B16&amp;QuoteSuffix,,RateTickValue,Permanent,Trigger,ObjectOverwrite)</f>
        <v>#NAME?</v>
      </c>
      <c r="G16" s="42" t="e">
        <f ca="1">_xll.ohRangeRetrieveError(F16)</f>
        <v>#NAME?</v>
      </c>
      <c r="H16" s="36"/>
      <c r="J16" s="134"/>
      <c r="K16" s="140" t="s">
        <v>47</v>
      </c>
      <c r="L16" s="140" t="s">
        <v>21</v>
      </c>
      <c r="M16" s="140" t="s">
        <v>66</v>
      </c>
      <c r="N16" s="139" t="str">
        <f t="shared" si="4"/>
        <v>EURAB6E9Y</v>
      </c>
      <c r="O16" s="139" t="str">
        <v>EURAB6E9Y=ICAP</v>
      </c>
      <c r="P16" s="78">
        <v>0.84099999999999997</v>
      </c>
      <c r="Q16" s="78">
        <v>0.88100000000000001</v>
      </c>
      <c r="R16" s="78">
        <f t="shared" si="5"/>
        <v>0.86099999999999999</v>
      </c>
      <c r="S16" s="78">
        <f t="shared" si="6"/>
        <v>4.0000000000000036E-2</v>
      </c>
      <c r="T16" s="114"/>
      <c r="U16" s="138">
        <v>0.86099999999999999</v>
      </c>
      <c r="V16" s="114"/>
      <c r="W16" s="78">
        <v>0.86099999999999999</v>
      </c>
      <c r="X16" s="137" t="e">
        <f ca="1">_xll.cfyql_SimpleQuoteSetValue(F16,W16/100,Trigger)</f>
        <v>#NAME?</v>
      </c>
      <c r="Y16" s="129"/>
    </row>
    <row r="17" spans="1:25" x14ac:dyDescent="0.2">
      <c r="A17" s="134"/>
      <c r="B17" s="142" t="str">
        <f t="shared" si="0"/>
        <v>10Y</v>
      </c>
      <c r="C17" s="141" t="str">
        <f t="shared" si="1"/>
        <v>AB</v>
      </c>
      <c r="D17" s="45" t="str">
        <f t="shared" si="2"/>
        <v>6E</v>
      </c>
      <c r="E17" s="43" t="str">
        <f t="shared" si="3"/>
        <v>EURAB6E10Y_Quote</v>
      </c>
      <c r="F17" s="43" t="e">
        <f ca="1">_xll.cfyql_SimpleQuote(Currency&amp;$C17&amp;$D17&amp;$B17&amp;QuoteSuffix,,RateTickValue,Permanent,Trigger,ObjectOverwrite)</f>
        <v>#NAME?</v>
      </c>
      <c r="G17" s="42" t="e">
        <f ca="1">_xll.ohRangeRetrieveError(F17)</f>
        <v>#NAME?</v>
      </c>
      <c r="H17" s="36"/>
      <c r="J17" s="134"/>
      <c r="K17" s="140" t="s">
        <v>46</v>
      </c>
      <c r="L17" s="140" t="s">
        <v>21</v>
      </c>
      <c r="M17" s="140" t="s">
        <v>66</v>
      </c>
      <c r="N17" s="139" t="str">
        <f t="shared" si="4"/>
        <v>EURAB6E10Y</v>
      </c>
      <c r="O17" s="139" t="str">
        <v>EURAB6E10Y=ICAP</v>
      </c>
      <c r="P17" s="78">
        <v>0.94499999999999995</v>
      </c>
      <c r="Q17" s="78">
        <v>0.98499999999999999</v>
      </c>
      <c r="R17" s="78">
        <f t="shared" si="5"/>
        <v>0.96499999999999997</v>
      </c>
      <c r="S17" s="78">
        <f t="shared" si="6"/>
        <v>4.0000000000000036E-2</v>
      </c>
      <c r="T17" s="114"/>
      <c r="U17" s="138">
        <v>0.96499999999999997</v>
      </c>
      <c r="V17" s="114"/>
      <c r="W17" s="78">
        <v>0.96499999999999997</v>
      </c>
      <c r="X17" s="137" t="e">
        <f ca="1">_xll.cfyql_SimpleQuoteSetValue(F17,W17/100,Trigger)</f>
        <v>#NAME?</v>
      </c>
      <c r="Y17" s="129"/>
    </row>
    <row r="18" spans="1:25" x14ac:dyDescent="0.2">
      <c r="A18" s="134"/>
      <c r="B18" s="142" t="str">
        <f t="shared" si="0"/>
        <v>11Y</v>
      </c>
      <c r="C18" s="141" t="str">
        <f t="shared" si="1"/>
        <v>AB</v>
      </c>
      <c r="D18" s="45" t="str">
        <f t="shared" si="2"/>
        <v>6E</v>
      </c>
      <c r="E18" s="43" t="str">
        <f t="shared" si="3"/>
        <v>EURAB6E11Y_Quote</v>
      </c>
      <c r="F18" s="43" t="e">
        <f ca="1">_xll.cfyql_SimpleQuote(Currency&amp;$C18&amp;$D18&amp;$B18&amp;QuoteSuffix,,RateTickValue,Permanent,Trigger,ObjectOverwrite)</f>
        <v>#NAME?</v>
      </c>
      <c r="G18" s="42" t="e">
        <f ca="1">_xll.ohRangeRetrieveError(F18)</f>
        <v>#NAME?</v>
      </c>
      <c r="H18" s="36"/>
      <c r="J18" s="134"/>
      <c r="K18" s="140" t="s">
        <v>45</v>
      </c>
      <c r="L18" s="140" t="s">
        <v>21</v>
      </c>
      <c r="M18" s="140" t="s">
        <v>66</v>
      </c>
      <c r="N18" s="139" t="str">
        <f t="shared" si="4"/>
        <v>EURAB6E11Y</v>
      </c>
      <c r="O18" s="139" t="str">
        <v>EURAB6E11Y=ICAP</v>
      </c>
      <c r="P18" s="78">
        <v>1.0389999999999999</v>
      </c>
      <c r="Q18" s="78">
        <v>1.079</v>
      </c>
      <c r="R18" s="78">
        <f t="shared" si="5"/>
        <v>1.0589999999999999</v>
      </c>
      <c r="S18" s="78">
        <f t="shared" si="6"/>
        <v>4.0000000000000036E-2</v>
      </c>
      <c r="T18" s="114"/>
      <c r="U18" s="138">
        <v>1.0589999999999999</v>
      </c>
      <c r="V18" s="114"/>
      <c r="W18" s="78">
        <v>1.0589999999999999</v>
      </c>
      <c r="X18" s="137" t="e">
        <f ca="1">_xll.cfyql_SimpleQuoteSetValue(F18,W18/100,Trigger)</f>
        <v>#NAME?</v>
      </c>
      <c r="Y18" s="129"/>
    </row>
    <row r="19" spans="1:25" x14ac:dyDescent="0.2">
      <c r="A19" s="134"/>
      <c r="B19" s="142" t="str">
        <f t="shared" si="0"/>
        <v>12Y</v>
      </c>
      <c r="C19" s="141" t="str">
        <f t="shared" si="1"/>
        <v>AB</v>
      </c>
      <c r="D19" s="45" t="str">
        <f t="shared" si="2"/>
        <v>6E</v>
      </c>
      <c r="E19" s="43" t="str">
        <f t="shared" si="3"/>
        <v>EURAB6E12Y_Quote</v>
      </c>
      <c r="F19" s="43" t="e">
        <f ca="1">_xll.cfyql_SimpleQuote(Currency&amp;$C19&amp;$D19&amp;$B19&amp;QuoteSuffix,,RateTickValue,Permanent,Trigger,ObjectOverwrite)</f>
        <v>#NAME?</v>
      </c>
      <c r="G19" s="42" t="e">
        <f ca="1">_xll.ohRangeRetrieveError(F19)</f>
        <v>#NAME?</v>
      </c>
      <c r="H19" s="36"/>
      <c r="J19" s="134"/>
      <c r="K19" s="140" t="s">
        <v>44</v>
      </c>
      <c r="L19" s="140" t="s">
        <v>21</v>
      </c>
      <c r="M19" s="140" t="s">
        <v>66</v>
      </c>
      <c r="N19" s="139" t="str">
        <f t="shared" si="4"/>
        <v>EURAB6E12Y</v>
      </c>
      <c r="O19" s="139" t="str">
        <v>EURAB6E12Y=ICAP</v>
      </c>
      <c r="P19" s="78">
        <v>1.123</v>
      </c>
      <c r="Q19" s="78">
        <v>1.163</v>
      </c>
      <c r="R19" s="78">
        <f t="shared" si="5"/>
        <v>1.143</v>
      </c>
      <c r="S19" s="78">
        <f t="shared" si="6"/>
        <v>4.0000000000000036E-2</v>
      </c>
      <c r="T19" s="114"/>
      <c r="U19" s="138">
        <v>1.143</v>
      </c>
      <c r="V19" s="114"/>
      <c r="W19" s="78">
        <v>1.143</v>
      </c>
      <c r="X19" s="137" t="e">
        <f ca="1">_xll.cfyql_SimpleQuoteSetValue(F19,W19/100,Trigger)</f>
        <v>#NAME?</v>
      </c>
      <c r="Y19" s="129"/>
    </row>
    <row r="20" spans="1:25" x14ac:dyDescent="0.2">
      <c r="A20" s="134"/>
      <c r="B20" s="142" t="str">
        <f t="shared" si="0"/>
        <v>13Y</v>
      </c>
      <c r="C20" s="141" t="str">
        <f t="shared" si="1"/>
        <v>AB</v>
      </c>
      <c r="D20" s="45" t="str">
        <f t="shared" si="2"/>
        <v>6E</v>
      </c>
      <c r="E20" s="43" t="str">
        <f t="shared" si="3"/>
        <v>EURAB6E13Y_Quote</v>
      </c>
      <c r="F20" s="43" t="e">
        <f ca="1">_xll.cfyql_SimpleQuote(Currency&amp;$C20&amp;$D20&amp;$B20&amp;QuoteSuffix,,RateTickValue,Permanent,Trigger,ObjectOverwrite)</f>
        <v>#NAME?</v>
      </c>
      <c r="G20" s="42" t="e">
        <f ca="1">_xll.ohRangeRetrieveError(F20)</f>
        <v>#NAME?</v>
      </c>
      <c r="H20" s="36"/>
      <c r="J20" s="134"/>
      <c r="K20" s="140" t="s">
        <v>43</v>
      </c>
      <c r="L20" s="140" t="s">
        <v>21</v>
      </c>
      <c r="M20" s="140" t="s">
        <v>66</v>
      </c>
      <c r="N20" s="139" t="str">
        <f t="shared" si="4"/>
        <v>EURAB6E13Y</v>
      </c>
      <c r="O20" s="139" t="str">
        <v>EURAB6E13Y=ICAP</v>
      </c>
      <c r="P20" s="78">
        <v>1.196</v>
      </c>
      <c r="Q20" s="78">
        <v>1.236</v>
      </c>
      <c r="R20" s="78">
        <f t="shared" si="5"/>
        <v>1.216</v>
      </c>
      <c r="S20" s="78">
        <f t="shared" si="6"/>
        <v>4.0000000000000036E-2</v>
      </c>
      <c r="T20" s="114"/>
      <c r="U20" s="138">
        <v>1.216</v>
      </c>
      <c r="V20" s="114"/>
      <c r="W20" s="78">
        <v>1.216</v>
      </c>
      <c r="X20" s="137" t="e">
        <f ca="1">_xll.cfyql_SimpleQuoteSetValue(F20,W20/100,Trigger)</f>
        <v>#NAME?</v>
      </c>
      <c r="Y20" s="129"/>
    </row>
    <row r="21" spans="1:25" x14ac:dyDescent="0.2">
      <c r="A21" s="134"/>
      <c r="B21" s="142" t="str">
        <f t="shared" si="0"/>
        <v>14Y</v>
      </c>
      <c r="C21" s="141" t="str">
        <f t="shared" si="1"/>
        <v>AB</v>
      </c>
      <c r="D21" s="45" t="str">
        <f t="shared" si="2"/>
        <v>6E</v>
      </c>
      <c r="E21" s="43" t="str">
        <f t="shared" si="3"/>
        <v>EURAB6E14Y_Quote</v>
      </c>
      <c r="F21" s="43" t="e">
        <f ca="1">_xll.cfyql_SimpleQuote(Currency&amp;$C21&amp;$D21&amp;$B21&amp;QuoteSuffix,,RateTickValue,Permanent,Trigger,ObjectOverwrite)</f>
        <v>#NAME?</v>
      </c>
      <c r="G21" s="42" t="e">
        <f ca="1">_xll.ohRangeRetrieveError(F21)</f>
        <v>#NAME?</v>
      </c>
      <c r="H21" s="36"/>
      <c r="J21" s="134"/>
      <c r="K21" s="140" t="s">
        <v>42</v>
      </c>
      <c r="L21" s="140" t="s">
        <v>21</v>
      </c>
      <c r="M21" s="140" t="s">
        <v>66</v>
      </c>
      <c r="N21" s="139" t="str">
        <f t="shared" si="4"/>
        <v>EURAB6E14Y</v>
      </c>
      <c r="O21" s="139" t="str">
        <v>EURAB6E14Y=ICAP</v>
      </c>
      <c r="P21" s="78">
        <v>1.2589999999999999</v>
      </c>
      <c r="Q21" s="78">
        <v>1.2989999999999999</v>
      </c>
      <c r="R21" s="78">
        <f t="shared" si="5"/>
        <v>1.2789999999999999</v>
      </c>
      <c r="S21" s="78">
        <f t="shared" si="6"/>
        <v>4.0000000000000036E-2</v>
      </c>
      <c r="T21" s="114"/>
      <c r="U21" s="138">
        <v>1.2789999999999999</v>
      </c>
      <c r="V21" s="114"/>
      <c r="W21" s="78">
        <v>1.2789999999999999</v>
      </c>
      <c r="X21" s="137" t="e">
        <f ca="1">_xll.cfyql_SimpleQuoteSetValue(F21,W21/100,Trigger)</f>
        <v>#NAME?</v>
      </c>
      <c r="Y21" s="129"/>
    </row>
    <row r="22" spans="1:25" x14ac:dyDescent="0.2">
      <c r="A22" s="134"/>
      <c r="B22" s="142" t="str">
        <f t="shared" si="0"/>
        <v>15Y</v>
      </c>
      <c r="C22" s="141" t="str">
        <f t="shared" si="1"/>
        <v>AB</v>
      </c>
      <c r="D22" s="45" t="str">
        <f t="shared" si="2"/>
        <v>6E</v>
      </c>
      <c r="E22" s="43" t="str">
        <f t="shared" si="3"/>
        <v>EURAB6E15Y_Quote</v>
      </c>
      <c r="F22" s="43" t="e">
        <f ca="1">_xll.cfyql_SimpleQuote(Currency&amp;$C22&amp;$D22&amp;$B22&amp;QuoteSuffix,,RateTickValue,Permanent,Trigger,ObjectOverwrite)</f>
        <v>#NAME?</v>
      </c>
      <c r="G22" s="42" t="e">
        <f ca="1">_xll.ohRangeRetrieveError(F22)</f>
        <v>#NAME?</v>
      </c>
      <c r="H22" s="36"/>
      <c r="J22" s="134"/>
      <c r="K22" s="140" t="s">
        <v>41</v>
      </c>
      <c r="L22" s="140" t="s">
        <v>21</v>
      </c>
      <c r="M22" s="140" t="s">
        <v>66</v>
      </c>
      <c r="N22" s="139" t="str">
        <f t="shared" si="4"/>
        <v>EURAB6E15Y</v>
      </c>
      <c r="O22" s="139" t="str">
        <v>EURAB6E15Y=ICAP</v>
      </c>
      <c r="P22" s="78">
        <v>1.3129999999999999</v>
      </c>
      <c r="Q22" s="78">
        <v>1.353</v>
      </c>
      <c r="R22" s="78">
        <f t="shared" si="5"/>
        <v>1.333</v>
      </c>
      <c r="S22" s="78">
        <f t="shared" si="6"/>
        <v>4.0000000000000036E-2</v>
      </c>
      <c r="T22" s="114"/>
      <c r="U22" s="138">
        <v>1.333</v>
      </c>
      <c r="V22" s="114"/>
      <c r="W22" s="78">
        <v>1.333</v>
      </c>
      <c r="X22" s="137" t="e">
        <f ca="1">_xll.cfyql_SimpleQuoteSetValue(F22,W22/100,Trigger)</f>
        <v>#NAME?</v>
      </c>
      <c r="Y22" s="129"/>
    </row>
    <row r="23" spans="1:25" x14ac:dyDescent="0.2">
      <c r="A23" s="134"/>
      <c r="B23" s="142" t="str">
        <f t="shared" si="0"/>
        <v>16Y</v>
      </c>
      <c r="C23" s="141" t="str">
        <f t="shared" si="1"/>
        <v>AB</v>
      </c>
      <c r="D23" s="45" t="str">
        <f t="shared" si="2"/>
        <v>6E</v>
      </c>
      <c r="E23" s="43" t="str">
        <f t="shared" si="3"/>
        <v>EURAB6E16Y_Quote</v>
      </c>
      <c r="F23" s="43" t="e">
        <f ca="1">_xll.cfyql_SimpleQuote(Currency&amp;$C23&amp;$D23&amp;$B23&amp;QuoteSuffix,,RateTickValue,Permanent,Trigger,ObjectOverwrite)</f>
        <v>#NAME?</v>
      </c>
      <c r="G23" s="42" t="e">
        <f ca="1">_xll.ohRangeRetrieveError(F23)</f>
        <v>#NAME?</v>
      </c>
      <c r="H23" s="36"/>
      <c r="J23" s="134"/>
      <c r="K23" s="140" t="s">
        <v>40</v>
      </c>
      <c r="L23" s="140" t="s">
        <v>21</v>
      </c>
      <c r="M23" s="140" t="s">
        <v>66</v>
      </c>
      <c r="N23" s="139" t="str">
        <f t="shared" si="4"/>
        <v>EURAB6E16Y</v>
      </c>
      <c r="O23" s="139" t="str">
        <v>EURAB6E16Y=ICAP</v>
      </c>
      <c r="P23" s="78">
        <v>1.3580000000000001</v>
      </c>
      <c r="Q23" s="78">
        <v>1.3980000000000001</v>
      </c>
      <c r="R23" s="78">
        <f t="shared" si="5"/>
        <v>1.3780000000000001</v>
      </c>
      <c r="S23" s="78">
        <f t="shared" si="6"/>
        <v>4.0000000000000036E-2</v>
      </c>
      <c r="T23" s="114"/>
      <c r="U23" s="138">
        <v>1.3780000000000001</v>
      </c>
      <c r="V23" s="114"/>
      <c r="W23" s="78">
        <v>1.3780000000000001</v>
      </c>
      <c r="X23" s="137" t="e">
        <f ca="1">_xll.cfyql_SimpleQuoteSetValue(F23,W23/100,Trigger)</f>
        <v>#NAME?</v>
      </c>
      <c r="Y23" s="129"/>
    </row>
    <row r="24" spans="1:25" x14ac:dyDescent="0.2">
      <c r="A24" s="134"/>
      <c r="B24" s="142" t="str">
        <f t="shared" si="0"/>
        <v>17Y</v>
      </c>
      <c r="C24" s="141" t="str">
        <f t="shared" si="1"/>
        <v>AB</v>
      </c>
      <c r="D24" s="45" t="str">
        <f t="shared" si="2"/>
        <v>6E</v>
      </c>
      <c r="E24" s="43" t="str">
        <f t="shared" si="3"/>
        <v>EURAB6E17Y_Quote</v>
      </c>
      <c r="F24" s="43" t="e">
        <f ca="1">_xll.cfyql_SimpleQuote(Currency&amp;$C24&amp;$D24&amp;$B24&amp;QuoteSuffix,,RateTickValue,Permanent,Trigger,ObjectOverwrite)</f>
        <v>#NAME?</v>
      </c>
      <c r="G24" s="42" t="e">
        <f ca="1">_xll.ohRangeRetrieveError(F24)</f>
        <v>#NAME?</v>
      </c>
      <c r="H24" s="36"/>
      <c r="J24" s="134"/>
      <c r="K24" s="140" t="s">
        <v>39</v>
      </c>
      <c r="L24" s="140" t="s">
        <v>21</v>
      </c>
      <c r="M24" s="140" t="s">
        <v>66</v>
      </c>
      <c r="N24" s="139" t="str">
        <f t="shared" si="4"/>
        <v>EURAB6E17Y</v>
      </c>
      <c r="O24" s="139" t="str">
        <v>EURAB6E17Y=ICAP</v>
      </c>
      <c r="P24" s="78">
        <v>1.397</v>
      </c>
      <c r="Q24" s="78">
        <v>1.4370000000000001</v>
      </c>
      <c r="R24" s="78">
        <f t="shared" si="5"/>
        <v>1.417</v>
      </c>
      <c r="S24" s="78">
        <f t="shared" si="6"/>
        <v>4.0000000000000036E-2</v>
      </c>
      <c r="T24" s="114"/>
      <c r="U24" s="138">
        <v>1.417</v>
      </c>
      <c r="V24" s="114"/>
      <c r="W24" s="78">
        <v>1.417</v>
      </c>
      <c r="X24" s="137" t="e">
        <f ca="1">_xll.cfyql_SimpleQuoteSetValue(F24,W24/100,Trigger)</f>
        <v>#NAME?</v>
      </c>
      <c r="Y24" s="129"/>
    </row>
    <row r="25" spans="1:25" x14ac:dyDescent="0.2">
      <c r="A25" s="134"/>
      <c r="B25" s="142" t="str">
        <f t="shared" si="0"/>
        <v>18Y</v>
      </c>
      <c r="C25" s="141" t="str">
        <f t="shared" si="1"/>
        <v>AB</v>
      </c>
      <c r="D25" s="45" t="str">
        <f t="shared" si="2"/>
        <v>6E</v>
      </c>
      <c r="E25" s="43" t="str">
        <f t="shared" si="3"/>
        <v>EURAB6E18Y_Quote</v>
      </c>
      <c r="F25" s="43" t="e">
        <f ca="1">_xll.cfyql_SimpleQuote(Currency&amp;$C25&amp;$D25&amp;$B25&amp;QuoteSuffix,,RateTickValue,Permanent,Trigger,ObjectOverwrite)</f>
        <v>#NAME?</v>
      </c>
      <c r="G25" s="42" t="e">
        <f ca="1">_xll.ohRangeRetrieveError(F25)</f>
        <v>#NAME?</v>
      </c>
      <c r="H25" s="36"/>
      <c r="J25" s="134"/>
      <c r="K25" s="140" t="s">
        <v>38</v>
      </c>
      <c r="L25" s="140" t="s">
        <v>21</v>
      </c>
      <c r="M25" s="140" t="s">
        <v>66</v>
      </c>
      <c r="N25" s="139" t="str">
        <f t="shared" si="4"/>
        <v>EURAB6E18Y</v>
      </c>
      <c r="O25" s="139" t="str">
        <v>EURAB6E18Y=ICAP</v>
      </c>
      <c r="P25" s="78">
        <v>1.427</v>
      </c>
      <c r="Q25" s="78">
        <v>1.4670000000000001</v>
      </c>
      <c r="R25" s="78">
        <f t="shared" si="5"/>
        <v>1.4470000000000001</v>
      </c>
      <c r="S25" s="78">
        <f t="shared" si="6"/>
        <v>4.0000000000000036E-2</v>
      </c>
      <c r="T25" s="114"/>
      <c r="U25" s="138">
        <v>1.4470000000000001</v>
      </c>
      <c r="V25" s="114"/>
      <c r="W25" s="78">
        <v>1.4470000000000001</v>
      </c>
      <c r="X25" s="137" t="e">
        <f ca="1">_xll.cfyql_SimpleQuoteSetValue(F25,W25/100,Trigger)</f>
        <v>#NAME?</v>
      </c>
      <c r="Y25" s="129"/>
    </row>
    <row r="26" spans="1:25" x14ac:dyDescent="0.2">
      <c r="A26" s="134"/>
      <c r="B26" s="142" t="str">
        <f t="shared" si="0"/>
        <v>19Y</v>
      </c>
      <c r="C26" s="141" t="str">
        <f t="shared" si="1"/>
        <v>AB</v>
      </c>
      <c r="D26" s="45" t="str">
        <f t="shared" si="2"/>
        <v>6E</v>
      </c>
      <c r="E26" s="43" t="str">
        <f t="shared" si="3"/>
        <v>EURAB6E19Y_Quote</v>
      </c>
      <c r="F26" s="43" t="e">
        <f ca="1">_xll.cfyql_SimpleQuote(Currency&amp;$C26&amp;$D26&amp;$B26&amp;QuoteSuffix,,RateTickValue,Permanent,Trigger,ObjectOverwrite)</f>
        <v>#NAME?</v>
      </c>
      <c r="G26" s="42" t="e">
        <f ca="1">_xll.ohRangeRetrieveError(F26)</f>
        <v>#NAME?</v>
      </c>
      <c r="H26" s="36"/>
      <c r="J26" s="134"/>
      <c r="K26" s="140" t="s">
        <v>37</v>
      </c>
      <c r="L26" s="140" t="s">
        <v>21</v>
      </c>
      <c r="M26" s="140" t="s">
        <v>66</v>
      </c>
      <c r="N26" s="139" t="str">
        <f t="shared" si="4"/>
        <v>EURAB6E19Y</v>
      </c>
      <c r="O26" s="139" t="str">
        <v>EURAB6E19Y=ICAP</v>
      </c>
      <c r="P26" s="78">
        <v>1.4510000000000001</v>
      </c>
      <c r="Q26" s="78">
        <v>1.4910000000000001</v>
      </c>
      <c r="R26" s="78">
        <f t="shared" si="5"/>
        <v>1.4710000000000001</v>
      </c>
      <c r="S26" s="78">
        <f t="shared" si="6"/>
        <v>4.0000000000000036E-2</v>
      </c>
      <c r="T26" s="114"/>
      <c r="U26" s="138">
        <v>1.4710000000000001</v>
      </c>
      <c r="V26" s="114"/>
      <c r="W26" s="78">
        <v>1.4710000000000001</v>
      </c>
      <c r="X26" s="137" t="e">
        <f ca="1">_xll.cfyql_SimpleQuoteSetValue(F26,W26/100,Trigger)</f>
        <v>#NAME?</v>
      </c>
      <c r="Y26" s="129"/>
    </row>
    <row r="27" spans="1:25" x14ac:dyDescent="0.2">
      <c r="A27" s="134"/>
      <c r="B27" s="142" t="str">
        <f t="shared" si="0"/>
        <v>20Y</v>
      </c>
      <c r="C27" s="141" t="str">
        <f t="shared" si="1"/>
        <v>AB</v>
      </c>
      <c r="D27" s="45" t="str">
        <f t="shared" si="2"/>
        <v>6E</v>
      </c>
      <c r="E27" s="43" t="str">
        <f t="shared" si="3"/>
        <v>EURAB6E20Y_Quote</v>
      </c>
      <c r="F27" s="43" t="e">
        <f ca="1">_xll.cfyql_SimpleQuote(Currency&amp;$C27&amp;$D27&amp;$B27&amp;QuoteSuffix,,RateTickValue,Permanent,Trigger,ObjectOverwrite)</f>
        <v>#NAME?</v>
      </c>
      <c r="G27" s="42" t="e">
        <f ca="1">_xll.ohRangeRetrieveError(F27)</f>
        <v>#NAME?</v>
      </c>
      <c r="H27" s="36"/>
      <c r="J27" s="134"/>
      <c r="K27" s="140" t="s">
        <v>36</v>
      </c>
      <c r="L27" s="140" t="s">
        <v>21</v>
      </c>
      <c r="M27" s="140" t="s">
        <v>66</v>
      </c>
      <c r="N27" s="139" t="str">
        <f t="shared" si="4"/>
        <v>EURAB6E20Y</v>
      </c>
      <c r="O27" s="139" t="str">
        <v>EURAB6E20Y=ICAP</v>
      </c>
      <c r="P27" s="78">
        <v>1.4690000000000001</v>
      </c>
      <c r="Q27" s="78">
        <v>1.5089999999999999</v>
      </c>
      <c r="R27" s="78">
        <f t="shared" si="5"/>
        <v>1.4889999999999999</v>
      </c>
      <c r="S27" s="78">
        <f t="shared" si="6"/>
        <v>3.9999999999999591E-2</v>
      </c>
      <c r="T27" s="114"/>
      <c r="U27" s="138">
        <v>1.4889999999999999</v>
      </c>
      <c r="V27" s="114"/>
      <c r="W27" s="78">
        <v>1.4889999999999999</v>
      </c>
      <c r="X27" s="137" t="e">
        <f ca="1">_xll.cfyql_SimpleQuoteSetValue(F27,W27/100,Trigger)</f>
        <v>#NAME?</v>
      </c>
      <c r="Y27" s="129"/>
    </row>
    <row r="28" spans="1:25" x14ac:dyDescent="0.2">
      <c r="A28" s="134"/>
      <c r="B28" s="142" t="str">
        <f t="shared" si="0"/>
        <v>21Y</v>
      </c>
      <c r="C28" s="141" t="str">
        <f t="shared" si="1"/>
        <v>AB</v>
      </c>
      <c r="D28" s="45" t="str">
        <f t="shared" si="2"/>
        <v>6E</v>
      </c>
      <c r="E28" s="43" t="str">
        <f t="shared" si="3"/>
        <v>EURAB6E21Y_Quote</v>
      </c>
      <c r="F28" s="43" t="e">
        <f ca="1">_xll.cfyql_SimpleQuote(Currency&amp;$C28&amp;$D28&amp;$B28&amp;QuoteSuffix,,RateTickValue,Permanent,Trigger,ObjectOverwrite)</f>
        <v>#NAME?</v>
      </c>
      <c r="G28" s="42" t="e">
        <f ca="1">_xll.ohRangeRetrieveError(F28)</f>
        <v>#NAME?</v>
      </c>
      <c r="H28" s="36"/>
      <c r="J28" s="134"/>
      <c r="K28" s="140" t="s">
        <v>35</v>
      </c>
      <c r="L28" s="140" t="s">
        <v>21</v>
      </c>
      <c r="M28" s="140" t="s">
        <v>66</v>
      </c>
      <c r="N28" s="139" t="str">
        <f t="shared" si="4"/>
        <v>EURAB6E21Y</v>
      </c>
      <c r="O28" s="139" t="str">
        <v>EURAB6E21Y=ICAP</v>
      </c>
      <c r="P28" s="78">
        <v>1.482</v>
      </c>
      <c r="Q28" s="78">
        <v>1.522</v>
      </c>
      <c r="R28" s="78">
        <f t="shared" si="5"/>
        <v>1.502</v>
      </c>
      <c r="S28" s="78">
        <f t="shared" si="6"/>
        <v>4.0000000000000036E-2</v>
      </c>
      <c r="T28" s="114"/>
      <c r="U28" s="138">
        <v>1.502</v>
      </c>
      <c r="V28" s="114"/>
      <c r="W28" s="78">
        <v>1.502</v>
      </c>
      <c r="X28" s="137" t="e">
        <f ca="1">_xll.cfyql_SimpleQuoteSetValue(F28,W28/100,Trigger)</f>
        <v>#NAME?</v>
      </c>
      <c r="Y28" s="129"/>
    </row>
    <row r="29" spans="1:25" x14ac:dyDescent="0.2">
      <c r="A29" s="134"/>
      <c r="B29" s="142" t="str">
        <f t="shared" si="0"/>
        <v>22Y</v>
      </c>
      <c r="C29" s="141" t="str">
        <f t="shared" si="1"/>
        <v>AB</v>
      </c>
      <c r="D29" s="45" t="str">
        <f t="shared" si="2"/>
        <v>6E</v>
      </c>
      <c r="E29" s="43" t="str">
        <f t="shared" si="3"/>
        <v>EURAB6E22Y_Quote</v>
      </c>
      <c r="F29" s="43" t="e">
        <f ca="1">_xll.cfyql_SimpleQuote(Currency&amp;$C29&amp;$D29&amp;$B29&amp;QuoteSuffix,,RateTickValue,Permanent,Trigger,ObjectOverwrite)</f>
        <v>#NAME?</v>
      </c>
      <c r="G29" s="42" t="e">
        <f ca="1">_xll.ohRangeRetrieveError(F29)</f>
        <v>#NAME?</v>
      </c>
      <c r="H29" s="36"/>
      <c r="J29" s="134"/>
      <c r="K29" s="140" t="s">
        <v>34</v>
      </c>
      <c r="L29" s="140" t="s">
        <v>21</v>
      </c>
      <c r="M29" s="140" t="s">
        <v>66</v>
      </c>
      <c r="N29" s="139" t="str">
        <f t="shared" si="4"/>
        <v>EURAB6E22Y</v>
      </c>
      <c r="O29" s="139" t="str">
        <v>EURAB6E22Y=ICAP</v>
      </c>
      <c r="P29" s="78">
        <v>1.492</v>
      </c>
      <c r="Q29" s="78">
        <v>1.532</v>
      </c>
      <c r="R29" s="78">
        <f t="shared" si="5"/>
        <v>1.512</v>
      </c>
      <c r="S29" s="78">
        <f t="shared" si="6"/>
        <v>4.0000000000000036E-2</v>
      </c>
      <c r="T29" s="114"/>
      <c r="U29" s="138">
        <v>1.512</v>
      </c>
      <c r="V29" s="114"/>
      <c r="W29" s="78">
        <v>1.512</v>
      </c>
      <c r="X29" s="137" t="e">
        <f ca="1">_xll.cfyql_SimpleQuoteSetValue(F29,W29/100,Trigger)</f>
        <v>#NAME?</v>
      </c>
      <c r="Y29" s="129"/>
    </row>
    <row r="30" spans="1:25" x14ac:dyDescent="0.2">
      <c r="A30" s="134"/>
      <c r="B30" s="142" t="str">
        <f t="shared" si="0"/>
        <v>23Y</v>
      </c>
      <c r="C30" s="141" t="str">
        <f t="shared" si="1"/>
        <v>AB</v>
      </c>
      <c r="D30" s="45" t="str">
        <f t="shared" si="2"/>
        <v>6E</v>
      </c>
      <c r="E30" s="43" t="str">
        <f t="shared" si="3"/>
        <v>EURAB6E23Y_Quote</v>
      </c>
      <c r="F30" s="43" t="e">
        <f ca="1">_xll.cfyql_SimpleQuote(Currency&amp;$C30&amp;$D30&amp;$B30&amp;QuoteSuffix,,RateTickValue,Permanent,Trigger,ObjectOverwrite)</f>
        <v>#NAME?</v>
      </c>
      <c r="G30" s="42" t="e">
        <f ca="1">_xll.ohRangeRetrieveError(F30)</f>
        <v>#NAME?</v>
      </c>
      <c r="H30" s="36"/>
      <c r="J30" s="134"/>
      <c r="K30" s="140" t="s">
        <v>33</v>
      </c>
      <c r="L30" s="140" t="s">
        <v>21</v>
      </c>
      <c r="M30" s="140" t="s">
        <v>66</v>
      </c>
      <c r="N30" s="139" t="str">
        <f t="shared" si="4"/>
        <v>EURAB6E23Y</v>
      </c>
      <c r="O30" s="139" t="str">
        <v>EURAB6E23Y=ICAP</v>
      </c>
      <c r="P30" s="78">
        <v>1.4969999999999999</v>
      </c>
      <c r="Q30" s="78">
        <v>1.5369999999999999</v>
      </c>
      <c r="R30" s="78">
        <f t="shared" si="5"/>
        <v>1.5169999999999999</v>
      </c>
      <c r="S30" s="78">
        <f t="shared" si="6"/>
        <v>4.0000000000000036E-2</v>
      </c>
      <c r="T30" s="114"/>
      <c r="U30" s="138">
        <v>1.5169999999999999</v>
      </c>
      <c r="V30" s="114"/>
      <c r="W30" s="78">
        <v>1.5169999999999999</v>
      </c>
      <c r="X30" s="137" t="e">
        <f ca="1">_xll.cfyql_SimpleQuoteSetValue(F30,W30/100,Trigger)</f>
        <v>#NAME?</v>
      </c>
      <c r="Y30" s="129"/>
    </row>
    <row r="31" spans="1:25" x14ac:dyDescent="0.2">
      <c r="A31" s="134"/>
      <c r="B31" s="142" t="str">
        <f t="shared" si="0"/>
        <v>24Y</v>
      </c>
      <c r="C31" s="141" t="str">
        <f t="shared" si="1"/>
        <v>AB</v>
      </c>
      <c r="D31" s="45" t="str">
        <f t="shared" si="2"/>
        <v>6E</v>
      </c>
      <c r="E31" s="43" t="str">
        <f t="shared" si="3"/>
        <v>EURAB6E24Y_Quote</v>
      </c>
      <c r="F31" s="43" t="e">
        <f ca="1">_xll.cfyql_SimpleQuote(Currency&amp;$C31&amp;$D31&amp;$B31&amp;QuoteSuffix,,RateTickValue,Permanent,Trigger,ObjectOverwrite)</f>
        <v>#NAME?</v>
      </c>
      <c r="G31" s="42" t="e">
        <f ca="1">_xll.ohRangeRetrieveError(F31)</f>
        <v>#NAME?</v>
      </c>
      <c r="H31" s="36"/>
      <c r="J31" s="134"/>
      <c r="K31" s="140" t="s">
        <v>32</v>
      </c>
      <c r="L31" s="140" t="s">
        <v>21</v>
      </c>
      <c r="M31" s="140" t="s">
        <v>66</v>
      </c>
      <c r="N31" s="139" t="str">
        <f t="shared" si="4"/>
        <v>EURAB6E24Y</v>
      </c>
      <c r="O31" s="139" t="str">
        <v>EURAB6E24Y=ICAP</v>
      </c>
      <c r="P31" s="78">
        <v>1.5009999999999999</v>
      </c>
      <c r="Q31" s="78">
        <v>1.5409999999999999</v>
      </c>
      <c r="R31" s="78">
        <f t="shared" si="5"/>
        <v>1.5209999999999999</v>
      </c>
      <c r="S31" s="78">
        <f t="shared" si="6"/>
        <v>4.0000000000000036E-2</v>
      </c>
      <c r="T31" s="114"/>
      <c r="U31" s="138">
        <v>1.5209999999999999</v>
      </c>
      <c r="V31" s="114"/>
      <c r="W31" s="78">
        <v>1.5209999999999999</v>
      </c>
      <c r="X31" s="137" t="e">
        <f ca="1">_xll.cfyql_SimpleQuoteSetValue(F31,W31/100,Trigger)</f>
        <v>#NAME?</v>
      </c>
      <c r="Y31" s="129"/>
    </row>
    <row r="32" spans="1:25" x14ac:dyDescent="0.2">
      <c r="A32" s="134"/>
      <c r="B32" s="142" t="str">
        <f t="shared" si="0"/>
        <v>25Y</v>
      </c>
      <c r="C32" s="141" t="str">
        <f t="shared" si="1"/>
        <v>AB</v>
      </c>
      <c r="D32" s="45" t="str">
        <f t="shared" si="2"/>
        <v>6E</v>
      </c>
      <c r="E32" s="43" t="str">
        <f t="shared" si="3"/>
        <v>EURAB6E25Y_Quote</v>
      </c>
      <c r="F32" s="43" t="e">
        <f ca="1">_xll.cfyql_SimpleQuote(Currency&amp;$C32&amp;$D32&amp;$B32&amp;QuoteSuffix,,RateTickValue,Permanent,Trigger,ObjectOverwrite)</f>
        <v>#NAME?</v>
      </c>
      <c r="G32" s="42" t="e">
        <f ca="1">_xll.ohRangeRetrieveError(F32)</f>
        <v>#NAME?</v>
      </c>
      <c r="H32" s="36"/>
      <c r="J32" s="134"/>
      <c r="K32" s="140" t="s">
        <v>31</v>
      </c>
      <c r="L32" s="140" t="s">
        <v>21</v>
      </c>
      <c r="M32" s="140" t="s">
        <v>66</v>
      </c>
      <c r="N32" s="139" t="str">
        <f t="shared" si="4"/>
        <v>EURAB6E25Y</v>
      </c>
      <c r="O32" s="139" t="str">
        <v>EURAB6E25Y=ICAP</v>
      </c>
      <c r="P32" s="78">
        <v>1.5030000000000001</v>
      </c>
      <c r="Q32" s="78">
        <v>1.5429999999999999</v>
      </c>
      <c r="R32" s="78">
        <f t="shared" si="5"/>
        <v>1.5230000000000001</v>
      </c>
      <c r="S32" s="78">
        <f t="shared" si="6"/>
        <v>4.0000000000000036E-2</v>
      </c>
      <c r="T32" s="114"/>
      <c r="U32" s="138">
        <v>1.5230000000000001</v>
      </c>
      <c r="V32" s="114"/>
      <c r="W32" s="78">
        <v>1.5230000000000001</v>
      </c>
      <c r="X32" s="137" t="e">
        <f ca="1">_xll.cfyql_SimpleQuoteSetValue(F32,W32/100,Trigger)</f>
        <v>#NAME?</v>
      </c>
      <c r="Y32" s="129"/>
    </row>
    <row r="33" spans="1:25" x14ac:dyDescent="0.2">
      <c r="A33" s="134"/>
      <c r="B33" s="142" t="str">
        <f t="shared" si="0"/>
        <v>26Y</v>
      </c>
      <c r="C33" s="141" t="str">
        <f t="shared" si="1"/>
        <v>AB</v>
      </c>
      <c r="D33" s="45" t="str">
        <f t="shared" si="2"/>
        <v>6E</v>
      </c>
      <c r="E33" s="43" t="str">
        <f t="shared" si="3"/>
        <v>EURAB6E26Y_Quote</v>
      </c>
      <c r="F33" s="43" t="e">
        <f ca="1">_xll.cfyql_SimpleQuote(Currency&amp;$C33&amp;$D33&amp;$B33&amp;QuoteSuffix,,RateTickValue,Permanent,Trigger,ObjectOverwrite)</f>
        <v>#NAME?</v>
      </c>
      <c r="G33" s="42" t="e">
        <f ca="1">_xll.ohRangeRetrieveError(F33)</f>
        <v>#NAME?</v>
      </c>
      <c r="H33" s="36"/>
      <c r="J33" s="134"/>
      <c r="K33" s="140" t="s">
        <v>30</v>
      </c>
      <c r="L33" s="140" t="s">
        <v>21</v>
      </c>
      <c r="M33" s="140" t="s">
        <v>66</v>
      </c>
      <c r="N33" s="139" t="str">
        <f t="shared" si="4"/>
        <v>EURAB6E26Y</v>
      </c>
      <c r="O33" s="139" t="str">
        <v>EURAB6E26Y=ICAP</v>
      </c>
      <c r="P33" s="78">
        <v>1.504</v>
      </c>
      <c r="Q33" s="78">
        <v>1.544</v>
      </c>
      <c r="R33" s="78">
        <f t="shared" si="5"/>
        <v>1.524</v>
      </c>
      <c r="S33" s="78">
        <f t="shared" si="6"/>
        <v>4.0000000000000036E-2</v>
      </c>
      <c r="T33" s="114"/>
      <c r="U33" s="138">
        <v>1.524</v>
      </c>
      <c r="V33" s="114"/>
      <c r="W33" s="78">
        <v>1.524</v>
      </c>
      <c r="X33" s="137" t="e">
        <f ca="1">_xll.cfyql_SimpleQuoteSetValue(F33,W33/100,Trigger)</f>
        <v>#NAME?</v>
      </c>
      <c r="Y33" s="129"/>
    </row>
    <row r="34" spans="1:25" x14ac:dyDescent="0.2">
      <c r="A34" s="134"/>
      <c r="B34" s="142" t="str">
        <f t="shared" si="0"/>
        <v>27Y</v>
      </c>
      <c r="C34" s="141" t="str">
        <f t="shared" si="1"/>
        <v>AB</v>
      </c>
      <c r="D34" s="45" t="str">
        <f t="shared" si="2"/>
        <v>6E</v>
      </c>
      <c r="E34" s="43" t="str">
        <f t="shared" si="3"/>
        <v>EURAB6E27Y_Quote</v>
      </c>
      <c r="F34" s="43" t="e">
        <f ca="1">_xll.cfyql_SimpleQuote(Currency&amp;$C34&amp;$D34&amp;$B34&amp;QuoteSuffix,,RateTickValue,Permanent,Trigger,ObjectOverwrite)</f>
        <v>#NAME?</v>
      </c>
      <c r="G34" s="42" t="e">
        <f ca="1">_xll.ohRangeRetrieveError(F34)</f>
        <v>#NAME?</v>
      </c>
      <c r="H34" s="36"/>
      <c r="J34" s="134"/>
      <c r="K34" s="140" t="s">
        <v>29</v>
      </c>
      <c r="L34" s="140" t="s">
        <v>21</v>
      </c>
      <c r="M34" s="140" t="s">
        <v>66</v>
      </c>
      <c r="N34" s="139" t="str">
        <f t="shared" si="4"/>
        <v>EURAB6E27Y</v>
      </c>
      <c r="O34" s="139" t="str">
        <v>EURAB6E27Y=ICAP</v>
      </c>
      <c r="P34" s="78">
        <v>1.5049999999999999</v>
      </c>
      <c r="Q34" s="78">
        <v>1.5449999999999999</v>
      </c>
      <c r="R34" s="78">
        <f t="shared" si="5"/>
        <v>1.5249999999999999</v>
      </c>
      <c r="S34" s="78">
        <f t="shared" si="6"/>
        <v>4.0000000000000036E-2</v>
      </c>
      <c r="T34" s="114"/>
      <c r="U34" s="138">
        <v>1.5249999999999999</v>
      </c>
      <c r="V34" s="114"/>
      <c r="W34" s="78">
        <v>1.5249999999999999</v>
      </c>
      <c r="X34" s="137" t="e">
        <f ca="1">_xll.cfyql_SimpleQuoteSetValue(F34,W34/100,Trigger)</f>
        <v>#NAME?</v>
      </c>
      <c r="Y34" s="129"/>
    </row>
    <row r="35" spans="1:25" x14ac:dyDescent="0.2">
      <c r="A35" s="134"/>
      <c r="B35" s="142" t="str">
        <f t="shared" si="0"/>
        <v>28Y</v>
      </c>
      <c r="C35" s="141" t="str">
        <f t="shared" si="1"/>
        <v>AB</v>
      </c>
      <c r="D35" s="45" t="str">
        <f t="shared" si="2"/>
        <v>6E</v>
      </c>
      <c r="E35" s="43" t="str">
        <f t="shared" si="3"/>
        <v>EURAB6E28Y_Quote</v>
      </c>
      <c r="F35" s="43" t="e">
        <f ca="1">_xll.cfyql_SimpleQuote(Currency&amp;$C35&amp;$D35&amp;$B35&amp;QuoteSuffix,,RateTickValue,Permanent,Trigger,ObjectOverwrite)</f>
        <v>#NAME?</v>
      </c>
      <c r="G35" s="42" t="e">
        <f ca="1">_xll.ohRangeRetrieveError(F35)</f>
        <v>#NAME?</v>
      </c>
      <c r="H35" s="36"/>
      <c r="J35" s="134"/>
      <c r="K35" s="140" t="s">
        <v>28</v>
      </c>
      <c r="L35" s="140" t="s">
        <v>21</v>
      </c>
      <c r="M35" s="140" t="s">
        <v>66</v>
      </c>
      <c r="N35" s="139" t="str">
        <f t="shared" si="4"/>
        <v>EURAB6E28Y</v>
      </c>
      <c r="O35" s="139" t="str">
        <v>EURAB6E28Y=ICAP</v>
      </c>
      <c r="P35" s="78">
        <v>1.506</v>
      </c>
      <c r="Q35" s="78">
        <v>1.546</v>
      </c>
      <c r="R35" s="78">
        <f t="shared" si="5"/>
        <v>1.526</v>
      </c>
      <c r="S35" s="78">
        <f t="shared" si="6"/>
        <v>4.0000000000000036E-2</v>
      </c>
      <c r="T35" s="114"/>
      <c r="U35" s="138">
        <v>1.526</v>
      </c>
      <c r="V35" s="114"/>
      <c r="W35" s="78">
        <v>1.526</v>
      </c>
      <c r="X35" s="137" t="e">
        <f ca="1">_xll.cfyql_SimpleQuoteSetValue(F35,W35/100,Trigger)</f>
        <v>#NAME?</v>
      </c>
      <c r="Y35" s="129"/>
    </row>
    <row r="36" spans="1:25" x14ac:dyDescent="0.2">
      <c r="A36" s="134"/>
      <c r="B36" s="142" t="str">
        <f t="shared" si="0"/>
        <v>29Y</v>
      </c>
      <c r="C36" s="141" t="str">
        <f t="shared" si="1"/>
        <v>AB</v>
      </c>
      <c r="D36" s="45" t="str">
        <f t="shared" si="2"/>
        <v>6E</v>
      </c>
      <c r="E36" s="43" t="str">
        <f t="shared" si="3"/>
        <v>EURAB6E29Y_Quote</v>
      </c>
      <c r="F36" s="43" t="e">
        <f ca="1">_xll.cfyql_SimpleQuote(Currency&amp;$C36&amp;$D36&amp;$B36&amp;QuoteSuffix,,RateTickValue,Permanent,Trigger,ObjectOverwrite)</f>
        <v>#NAME?</v>
      </c>
      <c r="G36" s="42" t="e">
        <f ca="1">_xll.ohRangeRetrieveError(F36)</f>
        <v>#NAME?</v>
      </c>
      <c r="H36" s="36"/>
      <c r="J36" s="134"/>
      <c r="K36" s="140" t="s">
        <v>27</v>
      </c>
      <c r="L36" s="140" t="s">
        <v>21</v>
      </c>
      <c r="M36" s="140" t="s">
        <v>66</v>
      </c>
      <c r="N36" s="139" t="str">
        <f t="shared" si="4"/>
        <v>EURAB6E29Y</v>
      </c>
      <c r="O36" s="139" t="str">
        <v>EURAB6E29Y=ICAP</v>
      </c>
      <c r="P36" s="78">
        <v>1.506</v>
      </c>
      <c r="Q36" s="78">
        <v>1.546</v>
      </c>
      <c r="R36" s="78">
        <f t="shared" si="5"/>
        <v>1.526</v>
      </c>
      <c r="S36" s="78">
        <f t="shared" si="6"/>
        <v>4.0000000000000036E-2</v>
      </c>
      <c r="T36" s="114"/>
      <c r="U36" s="138">
        <v>1.526</v>
      </c>
      <c r="V36" s="114"/>
      <c r="W36" s="78">
        <v>1.526</v>
      </c>
      <c r="X36" s="137" t="e">
        <f ca="1">_xll.cfyql_SimpleQuoteSetValue(F36,W36/100,Trigger)</f>
        <v>#NAME?</v>
      </c>
      <c r="Y36" s="129"/>
    </row>
    <row r="37" spans="1:25" x14ac:dyDescent="0.2">
      <c r="A37" s="134"/>
      <c r="B37" s="142" t="str">
        <f t="shared" si="0"/>
        <v>30Y</v>
      </c>
      <c r="C37" s="141" t="str">
        <f t="shared" si="1"/>
        <v>AB</v>
      </c>
      <c r="D37" s="45" t="str">
        <f t="shared" si="2"/>
        <v>6E</v>
      </c>
      <c r="E37" s="43" t="str">
        <f t="shared" si="3"/>
        <v>EURAB6E30Y_Quote</v>
      </c>
      <c r="F37" s="43" t="e">
        <f ca="1">_xll.cfyql_SimpleQuote(Currency&amp;$C37&amp;$D37&amp;$B37&amp;QuoteSuffix,,RateTickValue,Permanent,Trigger,ObjectOverwrite)</f>
        <v>#NAME?</v>
      </c>
      <c r="G37" s="42" t="e">
        <f ca="1">_xll.ohRangeRetrieveError(F37)</f>
        <v>#NAME?</v>
      </c>
      <c r="H37" s="36"/>
      <c r="J37" s="134"/>
      <c r="K37" s="140" t="s">
        <v>26</v>
      </c>
      <c r="L37" s="140" t="s">
        <v>21</v>
      </c>
      <c r="M37" s="140" t="s">
        <v>66</v>
      </c>
      <c r="N37" s="139" t="str">
        <f t="shared" si="4"/>
        <v>EURAB6E30Y</v>
      </c>
      <c r="O37" s="139" t="str">
        <v>EURAB6E30Y=ICAP</v>
      </c>
      <c r="P37" s="78">
        <v>1.5070000000000001</v>
      </c>
      <c r="Q37" s="78">
        <v>1.5469999999999999</v>
      </c>
      <c r="R37" s="78">
        <f t="shared" si="5"/>
        <v>1.5270000000000001</v>
      </c>
      <c r="S37" s="78">
        <f t="shared" si="6"/>
        <v>4.0000000000000036E-2</v>
      </c>
      <c r="T37" s="114"/>
      <c r="U37" s="138">
        <v>1.5270000000000001</v>
      </c>
      <c r="V37" s="114"/>
      <c r="W37" s="78">
        <v>1.5270000000000001</v>
      </c>
      <c r="X37" s="137" t="e">
        <f ca="1">_xll.cfyql_SimpleQuoteSetValue(F37,W37/100,Trigger)</f>
        <v>#NAME?</v>
      </c>
      <c r="Y37" s="129"/>
    </row>
    <row r="38" spans="1:25" x14ac:dyDescent="0.2">
      <c r="A38" s="134"/>
      <c r="B38" s="142" t="str">
        <f t="shared" si="0"/>
        <v>35Y</v>
      </c>
      <c r="C38" s="141" t="str">
        <f t="shared" si="1"/>
        <v>AB</v>
      </c>
      <c r="D38" s="45" t="str">
        <f t="shared" si="2"/>
        <v>6E</v>
      </c>
      <c r="E38" s="43" t="str">
        <f t="shared" si="3"/>
        <v>EURAB6E35Y_Quote</v>
      </c>
      <c r="F38" s="43" t="e">
        <f ca="1">_xll.cfyql_SimpleQuote(Currency&amp;$C38&amp;$D38&amp;$B38&amp;QuoteSuffix,,RateTickValue,Permanent,Trigger,ObjectOverwrite)</f>
        <v>#NAME?</v>
      </c>
      <c r="G38" s="42" t="e">
        <f ca="1">_xll.ohRangeRetrieveError(F38)</f>
        <v>#NAME?</v>
      </c>
      <c r="H38" s="36"/>
      <c r="J38" s="134"/>
      <c r="K38" s="140" t="s">
        <v>25</v>
      </c>
      <c r="L38" s="140" t="s">
        <v>21</v>
      </c>
      <c r="M38" s="140" t="s">
        <v>66</v>
      </c>
      <c r="N38" s="139" t="str">
        <f t="shared" si="4"/>
        <v>EURAB6E35Y</v>
      </c>
      <c r="O38" s="139" t="str">
        <v>EURAB6E35Y=ICAP</v>
      </c>
      <c r="P38" s="78">
        <v>1.5129999999999999</v>
      </c>
      <c r="Q38" s="78">
        <v>1.5529999999999999</v>
      </c>
      <c r="R38" s="78">
        <f t="shared" si="5"/>
        <v>1.5329999999999999</v>
      </c>
      <c r="S38" s="78">
        <f t="shared" si="6"/>
        <v>4.0000000000000036E-2</v>
      </c>
      <c r="T38" s="114"/>
      <c r="U38" s="138">
        <v>1.5329999999999999</v>
      </c>
      <c r="V38" s="114"/>
      <c r="W38" s="78">
        <v>1.5329999999999999</v>
      </c>
      <c r="X38" s="137" t="e">
        <f ca="1">_xll.cfyql_SimpleQuoteSetValue(F38,W38/100,Trigger)</f>
        <v>#NAME?</v>
      </c>
      <c r="Y38" s="129"/>
    </row>
    <row r="39" spans="1:25" x14ac:dyDescent="0.2">
      <c r="A39" s="134"/>
      <c r="B39" s="142" t="str">
        <f t="shared" si="0"/>
        <v>40Y</v>
      </c>
      <c r="C39" s="141" t="str">
        <f t="shared" si="1"/>
        <v>AB</v>
      </c>
      <c r="D39" s="45" t="str">
        <f t="shared" si="2"/>
        <v>6E</v>
      </c>
      <c r="E39" s="43" t="str">
        <f t="shared" si="3"/>
        <v>EURAB6E40Y_Quote</v>
      </c>
      <c r="F39" s="43" t="e">
        <f ca="1">_xll.cfyql_SimpleQuote(Currency&amp;$C39&amp;$D39&amp;$B39&amp;QuoteSuffix,,RateTickValue,Permanent,Trigger,ObjectOverwrite)</f>
        <v>#NAME?</v>
      </c>
      <c r="G39" s="42" t="e">
        <f ca="1">_xll.ohRangeRetrieveError(F39)</f>
        <v>#NAME?</v>
      </c>
      <c r="H39" s="36"/>
      <c r="J39" s="134"/>
      <c r="K39" s="140" t="s">
        <v>24</v>
      </c>
      <c r="L39" s="140" t="s">
        <v>21</v>
      </c>
      <c r="M39" s="140" t="s">
        <v>66</v>
      </c>
      <c r="N39" s="139" t="str">
        <f t="shared" si="4"/>
        <v>EURAB6E40Y</v>
      </c>
      <c r="O39" s="139" t="str">
        <v>EURAB6E40Y=ICAP</v>
      </c>
      <c r="P39" s="78">
        <v>1.51</v>
      </c>
      <c r="Q39" s="78">
        <v>1.55</v>
      </c>
      <c r="R39" s="78">
        <f t="shared" si="5"/>
        <v>1.53</v>
      </c>
      <c r="S39" s="78">
        <f t="shared" si="6"/>
        <v>4.0000000000000036E-2</v>
      </c>
      <c r="T39" s="114"/>
      <c r="U39" s="138">
        <v>1.53</v>
      </c>
      <c r="V39" s="114"/>
      <c r="W39" s="78">
        <v>1.53</v>
      </c>
      <c r="X39" s="137" t="e">
        <f ca="1">_xll.cfyql_SimpleQuoteSetValue(F39,W39/100,Trigger)</f>
        <v>#NAME?</v>
      </c>
      <c r="Y39" s="129"/>
    </row>
    <row r="40" spans="1:25" x14ac:dyDescent="0.2">
      <c r="A40" s="134"/>
      <c r="B40" s="142" t="str">
        <f t="shared" si="0"/>
        <v>50Y</v>
      </c>
      <c r="C40" s="141" t="str">
        <f t="shared" si="1"/>
        <v>AB</v>
      </c>
      <c r="D40" s="45" t="str">
        <f t="shared" si="2"/>
        <v>6E</v>
      </c>
      <c r="E40" s="43" t="str">
        <f t="shared" si="3"/>
        <v>EURAB6E50Y_Quote</v>
      </c>
      <c r="F40" s="43" t="e">
        <f ca="1">_xll.cfyql_SimpleQuote(Currency&amp;$C40&amp;$D40&amp;$B40&amp;QuoteSuffix,,RateTickValue,Permanent,Trigger,ObjectOverwrite)</f>
        <v>#NAME?</v>
      </c>
      <c r="G40" s="42" t="e">
        <f ca="1">_xll.ohRangeRetrieveError(F40)</f>
        <v>#NAME?</v>
      </c>
      <c r="H40" s="36"/>
      <c r="J40" s="134"/>
      <c r="K40" s="140" t="s">
        <v>23</v>
      </c>
      <c r="L40" s="140" t="s">
        <v>21</v>
      </c>
      <c r="M40" s="140" t="s">
        <v>66</v>
      </c>
      <c r="N40" s="139" t="str">
        <f t="shared" si="4"/>
        <v>EURAB6E50Y</v>
      </c>
      <c r="O40" s="139" t="str">
        <v>EURAB6E50Y=ICAP</v>
      </c>
      <c r="P40" s="78">
        <v>1.464</v>
      </c>
      <c r="Q40" s="78">
        <v>1.504</v>
      </c>
      <c r="R40" s="78">
        <f t="shared" si="5"/>
        <v>1.484</v>
      </c>
      <c r="S40" s="78">
        <f t="shared" si="6"/>
        <v>4.0000000000000036E-2</v>
      </c>
      <c r="T40" s="114"/>
      <c r="U40" s="138">
        <v>1.484</v>
      </c>
      <c r="V40" s="114"/>
      <c r="W40" s="78">
        <v>1.484</v>
      </c>
      <c r="X40" s="137" t="e">
        <f ca="1">_xll.cfyql_SimpleQuoteSetValue(F40,W40/100,Trigger)</f>
        <v>#NAME?</v>
      </c>
      <c r="Y40" s="129"/>
    </row>
    <row r="41" spans="1:25" x14ac:dyDescent="0.2">
      <c r="A41" s="134"/>
      <c r="B41" s="136" t="str">
        <f t="shared" si="0"/>
        <v>60Y</v>
      </c>
      <c r="C41" s="135" t="str">
        <f t="shared" si="1"/>
        <v>AB</v>
      </c>
      <c r="D41" s="40" t="str">
        <f t="shared" si="2"/>
        <v>6E</v>
      </c>
      <c r="E41" s="38" t="str">
        <f t="shared" si="3"/>
        <v>EURAB6E60Y_Quote</v>
      </c>
      <c r="F41" s="38" t="e">
        <f ca="1">_xll.cfyql_SimpleQuote(Currency&amp;$C41&amp;$D41&amp;$B41&amp;QuoteSuffix,,RateTickValue,Permanent,Trigger,ObjectOverwrite)</f>
        <v>#NAME?</v>
      </c>
      <c r="G41" s="37" t="e">
        <f ca="1">_xll.ohRangeRetrieveError(F41)</f>
        <v>#NAME?</v>
      </c>
      <c r="H41" s="36"/>
      <c r="J41" s="134"/>
      <c r="K41" s="140" t="s">
        <v>22</v>
      </c>
      <c r="L41" s="140" t="s">
        <v>21</v>
      </c>
      <c r="M41" s="140" t="s">
        <v>66</v>
      </c>
      <c r="N41" s="139" t="str">
        <f t="shared" si="4"/>
        <v>EURAB6E60Y</v>
      </c>
      <c r="O41" s="139" t="str">
        <v>EURAB6E60Y=ICAP</v>
      </c>
      <c r="P41" s="78">
        <v>1.4490000000000001</v>
      </c>
      <c r="Q41" s="78">
        <v>1.4889999999999999</v>
      </c>
      <c r="R41" s="78">
        <f t="shared" si="5"/>
        <v>1.4689999999999999</v>
      </c>
      <c r="S41" s="65">
        <f t="shared" si="6"/>
        <v>3.9999999999999591E-2</v>
      </c>
      <c r="T41" s="114"/>
      <c r="U41" s="131">
        <v>1.4689999999999999</v>
      </c>
      <c r="V41" s="114"/>
      <c r="W41" s="65">
        <v>1.4689999999999999</v>
      </c>
      <c r="X41" s="130" t="e">
        <f ca="1">_xll.cfyql_SimpleQuoteSetValue(F41,W41/100,Trigger)</f>
        <v>#NAME?</v>
      </c>
      <c r="Y41" s="129"/>
    </row>
    <row r="42" spans="1:25" x14ac:dyDescent="0.2">
      <c r="A42" s="173"/>
      <c r="B42" s="172"/>
      <c r="C42" s="172"/>
      <c r="D42" s="172"/>
      <c r="E42" s="172"/>
      <c r="F42" s="172"/>
      <c r="G42" s="172"/>
      <c r="H42" s="32"/>
      <c r="J42" s="35"/>
      <c r="K42" s="171"/>
      <c r="L42" s="171"/>
      <c r="M42" s="171"/>
      <c r="N42" s="171"/>
      <c r="O42" s="171"/>
      <c r="P42" s="171"/>
      <c r="Q42" s="171"/>
      <c r="R42" s="171"/>
      <c r="S42" s="34"/>
      <c r="T42" s="34"/>
      <c r="U42" s="34"/>
      <c r="V42" s="34"/>
      <c r="W42" s="34"/>
      <c r="X42" s="34"/>
      <c r="Y42" s="128"/>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workbookViewId="0"/>
  </sheetViews>
  <sheetFormatPr defaultRowHeight="11.25" outlineLevelCol="1" x14ac:dyDescent="0.2"/>
  <cols>
    <col min="1" max="1" width="2.7109375" style="153" customWidth="1" outlineLevel="1"/>
    <col min="2" max="2" width="7" style="153" customWidth="1" outlineLevel="1"/>
    <col min="3" max="3" width="9" style="153" customWidth="1" outlineLevel="1"/>
    <col min="4" max="4" width="16.140625" style="153" customWidth="1" outlineLevel="1"/>
    <col min="5" max="5" width="25.7109375" style="154" customWidth="1" outlineLevel="1"/>
    <col min="6" max="6" width="25.7109375" style="153" customWidth="1" outlineLevel="1"/>
    <col min="7" max="7" width="2.7109375" style="153" customWidth="1" outlineLevel="1"/>
    <col min="8" max="8" width="3" style="153" customWidth="1"/>
    <col min="9" max="9" width="2.7109375" style="153" customWidth="1"/>
    <col min="10" max="10" width="3.85546875" style="153" bestFit="1" customWidth="1"/>
    <col min="11" max="11" width="3.5703125" style="153" bestFit="1" customWidth="1"/>
    <col min="12" max="12" width="14.7109375" style="153" customWidth="1"/>
    <col min="13" max="13" width="18.7109375" style="153" customWidth="1"/>
    <col min="14" max="14" width="10.7109375" style="153" customWidth="1"/>
    <col min="15" max="15" width="2.7109375" style="153" customWidth="1"/>
    <col min="16" max="16" width="10.7109375" style="153" customWidth="1"/>
    <col min="17" max="17" width="2.7109375" style="153" customWidth="1"/>
    <col min="18" max="19" width="10.7109375" style="153" customWidth="1"/>
    <col min="20" max="20" width="2.7109375" style="153" customWidth="1"/>
    <col min="21" max="16384" width="9.140625" style="153"/>
  </cols>
  <sheetData>
    <row r="1" spans="1:23" ht="12" thickBot="1" x14ac:dyDescent="0.25">
      <c r="A1" s="127"/>
      <c r="B1" s="54"/>
      <c r="C1" s="54"/>
      <c r="D1" s="54"/>
      <c r="E1" s="55"/>
      <c r="F1" s="54"/>
      <c r="G1" s="53"/>
      <c r="I1" s="127" t="s">
        <v>105</v>
      </c>
      <c r="J1" s="122"/>
      <c r="K1" s="122"/>
      <c r="L1" s="122"/>
      <c r="M1" s="122"/>
      <c r="N1" s="122"/>
      <c r="O1" s="122"/>
      <c r="P1" s="122"/>
      <c r="Q1" s="122"/>
      <c r="R1" s="122"/>
      <c r="S1" s="122"/>
      <c r="T1" s="170"/>
    </row>
    <row r="2" spans="1:23" ht="15" x14ac:dyDescent="0.25">
      <c r="A2" s="116"/>
      <c r="B2" s="109"/>
      <c r="C2" s="109"/>
      <c r="D2" s="109"/>
      <c r="E2" s="150"/>
      <c r="F2" s="109"/>
      <c r="G2" s="119"/>
      <c r="I2" s="116"/>
      <c r="J2" s="110"/>
      <c r="K2" s="169"/>
      <c r="L2" s="169"/>
      <c r="M2" s="118" t="str">
        <f>VLOOKUP(I1,AreaTable,2,FALSE)</f>
        <v>ICAP</v>
      </c>
      <c r="N2" s="111"/>
      <c r="O2" s="111"/>
      <c r="P2" s="111"/>
      <c r="Q2" s="111"/>
      <c r="R2" s="111"/>
      <c r="S2" s="117" t="e">
        <f ca="1">_xll.ohTrigger(S5:S328)</f>
        <v>#NAME?</v>
      </c>
      <c r="T2" s="36"/>
      <c r="V2" s="1360" t="s">
        <v>529</v>
      </c>
      <c r="W2" s="1363" t="e">
        <f ca="1">_xll.cfyql_Trigger('General Settings'!Trigger)</f>
        <v>#NAME?</v>
      </c>
    </row>
    <row r="3" spans="1:23" ht="15.75" thickBot="1" x14ac:dyDescent="0.3">
      <c r="A3" s="168"/>
      <c r="B3" s="109"/>
      <c r="C3" s="109"/>
      <c r="D3" s="109"/>
      <c r="E3" s="150"/>
      <c r="F3" s="109"/>
      <c r="G3" s="119"/>
      <c r="I3" s="112"/>
      <c r="J3" s="110"/>
      <c r="K3" s="167"/>
      <c r="L3" s="167"/>
      <c r="M3" s="167"/>
      <c r="N3" s="167"/>
      <c r="O3" s="167"/>
      <c r="P3" s="167"/>
      <c r="Q3" s="167"/>
      <c r="R3" s="167"/>
      <c r="S3" s="167"/>
      <c r="T3" s="166"/>
      <c r="V3" s="1361" t="s">
        <v>530</v>
      </c>
      <c r="W3" s="1364" t="e">
        <f ca="1">_xll.cfyql_Trigger(S5:S328)</f>
        <v>#NAME?</v>
      </c>
    </row>
    <row r="4" spans="1:23" x14ac:dyDescent="0.2">
      <c r="A4" s="134"/>
      <c r="B4" s="149" t="s">
        <v>65</v>
      </c>
      <c r="C4" s="149" t="s">
        <v>104</v>
      </c>
      <c r="D4" s="51" t="s">
        <v>103</v>
      </c>
      <c r="E4" s="51" t="s">
        <v>102</v>
      </c>
      <c r="F4" s="50" t="s">
        <v>59</v>
      </c>
      <c r="G4" s="36"/>
      <c r="H4" s="165"/>
      <c r="I4" s="112"/>
      <c r="J4" s="145"/>
      <c r="K4" s="145"/>
      <c r="L4" s="145" t="s">
        <v>101</v>
      </c>
      <c r="M4" s="147" t="e">
        <f ca="1">_xll.RData(M5:M328,N4,,ReutersRtMode,,N5)</f>
        <v>#NAME?</v>
      </c>
      <c r="N4" s="146" t="s">
        <v>100</v>
      </c>
      <c r="O4" s="111"/>
      <c r="P4" s="146" t="s">
        <v>78</v>
      </c>
      <c r="Q4" s="111"/>
      <c r="R4" s="146" t="s">
        <v>77</v>
      </c>
      <c r="S4" s="146" t="s">
        <v>76</v>
      </c>
      <c r="T4" s="129"/>
    </row>
    <row r="5" spans="1:23" x14ac:dyDescent="0.2">
      <c r="A5" s="134"/>
      <c r="B5" s="164" t="str">
        <f t="shared" ref="B5:B68" si="0">J5</f>
        <v>1Y</v>
      </c>
      <c r="C5" s="164" t="str">
        <f t="shared" ref="C5:C68" si="1">K5</f>
        <v>1F</v>
      </c>
      <c r="D5" s="47" t="str">
        <f t="shared" ref="D5:D68" si="2">Currency&amp;$C5&amp;B5&amp;QuoteSuffix</f>
        <v>EUR1F1Y_Quote</v>
      </c>
      <c r="E5" s="47" t="e">
        <f ca="1">_xll.cfyql_SimpleQuote(D5,,RateTickValue,Permanent,Trigger,ObjectOverwrite)</f>
        <v>#NAME?</v>
      </c>
      <c r="F5" s="46" t="e">
        <f ca="1">_xll.ohRangeRetrieveError(E5)</f>
        <v>#NAME?</v>
      </c>
      <c r="G5" s="36"/>
      <c r="H5" s="161"/>
      <c r="I5" s="134">
        <v>1</v>
      </c>
      <c r="J5" s="137" t="s">
        <v>58</v>
      </c>
      <c r="K5" s="137" t="str">
        <f t="shared" ref="K5:K22" si="3">$I$5&amp;"F"</f>
        <v>1F</v>
      </c>
      <c r="L5" s="139" t="str">
        <f t="shared" ref="L5:L68" si="4">Currency&amp;$K5&amp;$J5</f>
        <v>EUR1F1Y</v>
      </c>
      <c r="M5" s="139" t="str">
        <f t="array" ref="M5:M328">Instruments&amp;"="&amp;VLOOKUP(Contributor,ContributorTable,2,FALSE)</f>
        <v>EUR1F1Y=ICAP</v>
      </c>
      <c r="N5" s="78">
        <v>0.10100000000000001</v>
      </c>
      <c r="O5" s="111"/>
      <c r="P5" s="78">
        <v>0.10100000000000001</v>
      </c>
      <c r="Q5" s="111"/>
      <c r="R5" s="78">
        <f t="array" ref="R5:R328">QuoteStatic</f>
        <v>0.10100000000000001</v>
      </c>
      <c r="S5" s="78" t="e">
        <f ca="1">_xll.cfyql_SimpleQuoteSetValue(E5,R5/100,Trigger)</f>
        <v>#NAME?</v>
      </c>
      <c r="T5" s="129"/>
      <c r="V5" s="160"/>
    </row>
    <row r="6" spans="1:23" x14ac:dyDescent="0.2">
      <c r="A6" s="134"/>
      <c r="B6" s="45" t="str">
        <f t="shared" si="0"/>
        <v>2Y</v>
      </c>
      <c r="C6" s="45" t="str">
        <f t="shared" si="1"/>
        <v>1F</v>
      </c>
      <c r="D6" s="43" t="str">
        <f t="shared" si="2"/>
        <v>EUR1F2Y_Quote</v>
      </c>
      <c r="E6" s="43" t="e">
        <f ca="1">_xll.cfyql_SimpleQuote(D6,,RateTickValue,Permanent,Trigger,ObjectOverwrite)</f>
        <v>#NAME?</v>
      </c>
      <c r="F6" s="42" t="e">
        <f ca="1">_xll.ohRangeRetrieveError(E6)</f>
        <v>#NAME?</v>
      </c>
      <c r="G6" s="36"/>
      <c r="H6" s="161"/>
      <c r="I6" s="112"/>
      <c r="J6" s="137" t="s">
        <v>54</v>
      </c>
      <c r="K6" s="137" t="str">
        <f t="shared" si="3"/>
        <v>1F</v>
      </c>
      <c r="L6" s="139" t="str">
        <f t="shared" si="4"/>
        <v>EUR1F2Y</v>
      </c>
      <c r="M6" s="139" t="str">
        <v>EUR1F2Y=ICAP</v>
      </c>
      <c r="N6" s="78">
        <v>0.16999999999999998</v>
      </c>
      <c r="O6" s="111"/>
      <c r="P6" s="78">
        <v>0.16999999999999998</v>
      </c>
      <c r="Q6" s="111"/>
      <c r="R6" s="78">
        <v>0.16999999999999998</v>
      </c>
      <c r="S6" s="78" t="e">
        <f ca="1">_xll.cfyql_SimpleQuoteSetValue(E6,R6/100,Trigger)</f>
        <v>#NAME?</v>
      </c>
      <c r="T6" s="129"/>
      <c r="V6" s="160"/>
    </row>
    <row r="7" spans="1:23" x14ac:dyDescent="0.2">
      <c r="A7" s="134"/>
      <c r="B7" s="45" t="str">
        <f t="shared" si="0"/>
        <v>3Y</v>
      </c>
      <c r="C7" s="45" t="str">
        <f t="shared" si="1"/>
        <v>1F</v>
      </c>
      <c r="D7" s="43" t="str">
        <f t="shared" si="2"/>
        <v>EUR1F3Y_Quote</v>
      </c>
      <c r="E7" s="43" t="e">
        <f ca="1">_xll.cfyql_SimpleQuote(D7,,RateTickValue,Permanent,Trigger,ObjectOverwrite)</f>
        <v>#NAME?</v>
      </c>
      <c r="F7" s="42" t="e">
        <f ca="1">_xll.ohRangeRetrieveError(E7)</f>
        <v>#NAME?</v>
      </c>
      <c r="G7" s="36"/>
      <c r="H7" s="161"/>
      <c r="I7" s="112"/>
      <c r="J7" s="137" t="s">
        <v>53</v>
      </c>
      <c r="K7" s="137" t="str">
        <f t="shared" si="3"/>
        <v>1F</v>
      </c>
      <c r="L7" s="139" t="str">
        <f t="shared" si="4"/>
        <v>EUR1F3Y</v>
      </c>
      <c r="M7" s="139" t="str">
        <v>EUR1F3Y=ICAP</v>
      </c>
      <c r="N7" s="78">
        <v>0.29599999999999999</v>
      </c>
      <c r="O7" s="111"/>
      <c r="P7" s="78">
        <v>0.29599999999999999</v>
      </c>
      <c r="Q7" s="111"/>
      <c r="R7" s="78">
        <v>0.29599999999999999</v>
      </c>
      <c r="S7" s="78" t="e">
        <f ca="1">_xll.cfyql_SimpleQuoteSetValue(E7,R7/100,Trigger)</f>
        <v>#NAME?</v>
      </c>
      <c r="T7" s="129"/>
      <c r="V7" s="160"/>
    </row>
    <row r="8" spans="1:23" x14ac:dyDescent="0.2">
      <c r="A8" s="134"/>
      <c r="B8" s="45" t="str">
        <f t="shared" si="0"/>
        <v>4Y</v>
      </c>
      <c r="C8" s="45" t="str">
        <f t="shared" si="1"/>
        <v>1F</v>
      </c>
      <c r="D8" s="43" t="str">
        <f t="shared" si="2"/>
        <v>EUR1F4Y_Quote</v>
      </c>
      <c r="E8" s="43" t="e">
        <f ca="1">_xll.cfyql_SimpleQuote(D8,,RateTickValue,Permanent,Trigger,ObjectOverwrite)</f>
        <v>#NAME?</v>
      </c>
      <c r="F8" s="42" t="e">
        <f ca="1">_xll.ohRangeRetrieveError(E8)</f>
        <v>#NAME?</v>
      </c>
      <c r="G8" s="36"/>
      <c r="H8" s="161"/>
      <c r="I8" s="112"/>
      <c r="J8" s="137" t="s">
        <v>52</v>
      </c>
      <c r="K8" s="137" t="str">
        <f t="shared" si="3"/>
        <v>1F</v>
      </c>
      <c r="L8" s="139" t="str">
        <f t="shared" si="4"/>
        <v>EUR1F4Y</v>
      </c>
      <c r="M8" s="139" t="str">
        <v>EUR1F4Y=ICAP</v>
      </c>
      <c r="N8" s="78">
        <v>0.433</v>
      </c>
      <c r="O8" s="111"/>
      <c r="P8" s="78">
        <v>0.433</v>
      </c>
      <c r="Q8" s="111"/>
      <c r="R8" s="78">
        <v>0.433</v>
      </c>
      <c r="S8" s="78" t="e">
        <f ca="1">_xll.cfyql_SimpleQuoteSetValue(E8,R8/100,Trigger)</f>
        <v>#NAME?</v>
      </c>
      <c r="T8" s="129"/>
      <c r="V8" s="160"/>
    </row>
    <row r="9" spans="1:23" x14ac:dyDescent="0.2">
      <c r="A9" s="134"/>
      <c r="B9" s="45" t="str">
        <f t="shared" si="0"/>
        <v>5Y</v>
      </c>
      <c r="C9" s="45" t="str">
        <f t="shared" si="1"/>
        <v>1F</v>
      </c>
      <c r="D9" s="43" t="str">
        <f t="shared" si="2"/>
        <v>EUR1F5Y_Quote</v>
      </c>
      <c r="E9" s="43" t="e">
        <f ca="1">_xll.cfyql_SimpleQuote(D9,,RateTickValue,Permanent,Trigger,ObjectOverwrite)</f>
        <v>#NAME?</v>
      </c>
      <c r="F9" s="42" t="e">
        <f ca="1">_xll.ohRangeRetrieveError(E9)</f>
        <v>#NAME?</v>
      </c>
      <c r="G9" s="36"/>
      <c r="H9" s="161"/>
      <c r="I9" s="112"/>
      <c r="J9" s="137" t="s">
        <v>51</v>
      </c>
      <c r="K9" s="137" t="str">
        <f t="shared" si="3"/>
        <v>1F</v>
      </c>
      <c r="L9" s="139" t="str">
        <f t="shared" si="4"/>
        <v>EUR1F5Y</v>
      </c>
      <c r="M9" s="139" t="str">
        <v>EUR1F5Y=ICAP</v>
      </c>
      <c r="N9" s="78">
        <v>0.57400000000000007</v>
      </c>
      <c r="O9" s="111"/>
      <c r="P9" s="78">
        <v>0.57400000000000007</v>
      </c>
      <c r="Q9" s="111"/>
      <c r="R9" s="78">
        <v>0.57400000000000007</v>
      </c>
      <c r="S9" s="78" t="e">
        <f ca="1">_xll.cfyql_SimpleQuoteSetValue(E9,R9/100,Trigger)</f>
        <v>#NAME?</v>
      </c>
      <c r="T9" s="129"/>
      <c r="V9" s="160"/>
    </row>
    <row r="10" spans="1:23" x14ac:dyDescent="0.2">
      <c r="A10" s="134"/>
      <c r="B10" s="45" t="str">
        <f t="shared" si="0"/>
        <v>6Y</v>
      </c>
      <c r="C10" s="45" t="str">
        <f t="shared" si="1"/>
        <v>1F</v>
      </c>
      <c r="D10" s="43" t="str">
        <f t="shared" si="2"/>
        <v>EUR1F6Y_Quote</v>
      </c>
      <c r="E10" s="43" t="e">
        <f ca="1">_xll.cfyql_SimpleQuote(D10,,RateTickValue,Permanent,Trigger,ObjectOverwrite)</f>
        <v>#NAME?</v>
      </c>
      <c r="F10" s="42" t="e">
        <f ca="1">_xll.ohRangeRetrieveError(E10)</f>
        <v>#NAME?</v>
      </c>
      <c r="G10" s="36"/>
      <c r="H10" s="161"/>
      <c r="I10" s="112"/>
      <c r="J10" s="137" t="s">
        <v>50</v>
      </c>
      <c r="K10" s="137" t="str">
        <f t="shared" si="3"/>
        <v>1F</v>
      </c>
      <c r="L10" s="139" t="str">
        <f t="shared" si="4"/>
        <v>EUR1F6Y</v>
      </c>
      <c r="M10" s="139" t="str">
        <v>EUR1F6Y=ICAP</v>
      </c>
      <c r="N10" s="78">
        <v>0.71399999999999997</v>
      </c>
      <c r="O10" s="111"/>
      <c r="P10" s="78">
        <v>0.71399999999999997</v>
      </c>
      <c r="Q10" s="111"/>
      <c r="R10" s="78">
        <v>0.71399999999999997</v>
      </c>
      <c r="S10" s="78" t="e">
        <f ca="1">_xll.cfyql_SimpleQuoteSetValue(E10,R10/100,Trigger)</f>
        <v>#NAME?</v>
      </c>
      <c r="T10" s="129"/>
      <c r="V10" s="160"/>
    </row>
    <row r="11" spans="1:23" x14ac:dyDescent="0.2">
      <c r="A11" s="134"/>
      <c r="B11" s="45" t="str">
        <f t="shared" si="0"/>
        <v>7Y</v>
      </c>
      <c r="C11" s="45" t="str">
        <f t="shared" si="1"/>
        <v>1F</v>
      </c>
      <c r="D11" s="43" t="str">
        <f t="shared" si="2"/>
        <v>EUR1F7Y_Quote</v>
      </c>
      <c r="E11" s="43" t="e">
        <f ca="1">_xll.cfyql_SimpleQuote(D11,,RateTickValue,Permanent,Trigger,ObjectOverwrite)</f>
        <v>#NAME?</v>
      </c>
      <c r="F11" s="42" t="e">
        <f ca="1">_xll.ohRangeRetrieveError(E11)</f>
        <v>#NAME?</v>
      </c>
      <c r="G11" s="36"/>
      <c r="H11" s="161"/>
      <c r="I11" s="112"/>
      <c r="J11" s="137" t="s">
        <v>49</v>
      </c>
      <c r="K11" s="137" t="str">
        <f t="shared" si="3"/>
        <v>1F</v>
      </c>
      <c r="L11" s="139" t="str">
        <f t="shared" si="4"/>
        <v>EUR1F7Y</v>
      </c>
      <c r="M11" s="139" t="str">
        <v>EUR1F7Y=ICAP</v>
      </c>
      <c r="N11" s="78">
        <v>0.84600000000000009</v>
      </c>
      <c r="O11" s="111"/>
      <c r="P11" s="78">
        <v>0.84600000000000009</v>
      </c>
      <c r="Q11" s="111"/>
      <c r="R11" s="78">
        <v>0.84600000000000009</v>
      </c>
      <c r="S11" s="78" t="e">
        <f ca="1">_xll.cfyql_SimpleQuoteSetValue(E11,R11/100,Trigger)</f>
        <v>#NAME?</v>
      </c>
      <c r="T11" s="129"/>
      <c r="V11" s="160"/>
    </row>
    <row r="12" spans="1:23" x14ac:dyDescent="0.2">
      <c r="A12" s="134"/>
      <c r="B12" s="45" t="str">
        <f t="shared" si="0"/>
        <v>8Y</v>
      </c>
      <c r="C12" s="45" t="str">
        <f t="shared" si="1"/>
        <v>1F</v>
      </c>
      <c r="D12" s="43" t="str">
        <f t="shared" si="2"/>
        <v>EUR1F8Y_Quote</v>
      </c>
      <c r="E12" s="43" t="e">
        <f ca="1">_xll.cfyql_SimpleQuote(D12,,RateTickValue,Permanent,Trigger,ObjectOverwrite)</f>
        <v>#NAME?</v>
      </c>
      <c r="F12" s="42" t="e">
        <f ca="1">_xll.ohRangeRetrieveError(E12)</f>
        <v>#NAME?</v>
      </c>
      <c r="G12" s="36"/>
      <c r="H12" s="161"/>
      <c r="I12" s="112"/>
      <c r="J12" s="137" t="s">
        <v>48</v>
      </c>
      <c r="K12" s="137" t="str">
        <f t="shared" si="3"/>
        <v>1F</v>
      </c>
      <c r="L12" s="139" t="str">
        <f t="shared" si="4"/>
        <v>EUR1F8Y</v>
      </c>
      <c r="M12" s="139" t="str">
        <v>EUR1F8Y=ICAP</v>
      </c>
      <c r="N12" s="78">
        <v>0.96699999999999997</v>
      </c>
      <c r="O12" s="111"/>
      <c r="P12" s="78">
        <v>0.96699999999999997</v>
      </c>
      <c r="Q12" s="111"/>
      <c r="R12" s="78">
        <v>0.96699999999999997</v>
      </c>
      <c r="S12" s="78" t="e">
        <f ca="1">_xll.cfyql_SimpleQuoteSetValue(E12,R12/100,Trigger)</f>
        <v>#NAME?</v>
      </c>
      <c r="T12" s="129"/>
      <c r="V12" s="160"/>
    </row>
    <row r="13" spans="1:23" x14ac:dyDescent="0.2">
      <c r="A13" s="134"/>
      <c r="B13" s="45" t="str">
        <f t="shared" si="0"/>
        <v>9Y</v>
      </c>
      <c r="C13" s="45" t="str">
        <f t="shared" si="1"/>
        <v>1F</v>
      </c>
      <c r="D13" s="43" t="str">
        <f t="shared" si="2"/>
        <v>EUR1F9Y_Quote</v>
      </c>
      <c r="E13" s="43" t="e">
        <f ca="1">_xll.cfyql_SimpleQuote(D13,,RateTickValue,Permanent,Trigger,ObjectOverwrite)</f>
        <v>#NAME?</v>
      </c>
      <c r="F13" s="42" t="e">
        <f ca="1">_xll.ohRangeRetrieveError(E13)</f>
        <v>#NAME?</v>
      </c>
      <c r="G13" s="36"/>
      <c r="H13" s="161"/>
      <c r="I13" s="112"/>
      <c r="J13" s="137" t="s">
        <v>47</v>
      </c>
      <c r="K13" s="137" t="str">
        <f t="shared" si="3"/>
        <v>1F</v>
      </c>
      <c r="L13" s="139" t="str">
        <f t="shared" si="4"/>
        <v>EUR1F9Y</v>
      </c>
      <c r="M13" s="139" t="str">
        <v>EUR1F9Y=ICAP</v>
      </c>
      <c r="N13" s="78">
        <v>1.071</v>
      </c>
      <c r="O13" s="111"/>
      <c r="P13" s="78">
        <v>1.071</v>
      </c>
      <c r="Q13" s="111"/>
      <c r="R13" s="78">
        <v>1.071</v>
      </c>
      <c r="S13" s="78" t="e">
        <f ca="1">_xll.cfyql_SimpleQuoteSetValue(E13,R13/100,Trigger)</f>
        <v>#NAME?</v>
      </c>
      <c r="T13" s="129"/>
      <c r="V13" s="160"/>
    </row>
    <row r="14" spans="1:23" x14ac:dyDescent="0.2">
      <c r="A14" s="134"/>
      <c r="B14" s="45" t="str">
        <f t="shared" si="0"/>
        <v>10Y</v>
      </c>
      <c r="C14" s="45" t="str">
        <f t="shared" si="1"/>
        <v>1F</v>
      </c>
      <c r="D14" s="43" t="str">
        <f t="shared" si="2"/>
        <v>EUR1F10Y_Quote</v>
      </c>
      <c r="E14" s="43" t="e">
        <f ca="1">_xll.cfyql_SimpleQuote(D14,,RateTickValue,Permanent,Trigger,ObjectOverwrite)</f>
        <v>#NAME?</v>
      </c>
      <c r="F14" s="42" t="e">
        <f ca="1">_xll.ohRangeRetrieveError(E14)</f>
        <v>#NAME?</v>
      </c>
      <c r="G14" s="36"/>
      <c r="H14" s="161"/>
      <c r="I14" s="112"/>
      <c r="J14" s="137" t="s">
        <v>46</v>
      </c>
      <c r="K14" s="137" t="str">
        <f t="shared" si="3"/>
        <v>1F</v>
      </c>
      <c r="L14" s="139" t="str">
        <f t="shared" si="4"/>
        <v>EUR1F10Y</v>
      </c>
      <c r="M14" s="139" t="str">
        <v>EUR1F10Y=ICAP</v>
      </c>
      <c r="N14" s="78">
        <v>1.165</v>
      </c>
      <c r="O14" s="111"/>
      <c r="P14" s="78">
        <v>1.165</v>
      </c>
      <c r="Q14" s="111"/>
      <c r="R14" s="78">
        <v>1.165</v>
      </c>
      <c r="S14" s="78" t="e">
        <f ca="1">_xll.cfyql_SimpleQuoteSetValue(E14,R14/100,Trigger)</f>
        <v>#NAME?</v>
      </c>
      <c r="T14" s="129"/>
      <c r="V14" s="160"/>
    </row>
    <row r="15" spans="1:23" x14ac:dyDescent="0.2">
      <c r="A15" s="134"/>
      <c r="B15" s="45" t="str">
        <f t="shared" si="0"/>
        <v>11Y</v>
      </c>
      <c r="C15" s="45" t="str">
        <f t="shared" si="1"/>
        <v>1F</v>
      </c>
      <c r="D15" s="43" t="str">
        <f t="shared" si="2"/>
        <v>EUR1F11Y_Quote</v>
      </c>
      <c r="E15" s="43" t="e">
        <f ca="1">_xll.cfyql_SimpleQuote(D15,,RateTickValue,Permanent,Trigger,ObjectOverwrite)</f>
        <v>#NAME?</v>
      </c>
      <c r="F15" s="42" t="e">
        <f ca="1">_xll.ohRangeRetrieveError(E15)</f>
        <v>#NAME?</v>
      </c>
      <c r="G15" s="36"/>
      <c r="H15" s="161"/>
      <c r="I15" s="112"/>
      <c r="J15" s="137" t="s">
        <v>45</v>
      </c>
      <c r="K15" s="137" t="str">
        <f t="shared" si="3"/>
        <v>1F</v>
      </c>
      <c r="L15" s="139" t="str">
        <f t="shared" si="4"/>
        <v>EUR1F11Y</v>
      </c>
      <c r="M15" s="139" t="str">
        <v>EUR1F11Y=ICAP</v>
      </c>
      <c r="N15" s="78">
        <v>1.248</v>
      </c>
      <c r="O15" s="111"/>
      <c r="P15" s="78">
        <v>1.248</v>
      </c>
      <c r="Q15" s="111"/>
      <c r="R15" s="78">
        <v>1.248</v>
      </c>
      <c r="S15" s="78" t="e">
        <f ca="1">_xll.cfyql_SimpleQuoteSetValue(E15,R15/100,Trigger)</f>
        <v>#NAME?</v>
      </c>
      <c r="T15" s="129"/>
      <c r="V15" s="160"/>
    </row>
    <row r="16" spans="1:23" x14ac:dyDescent="0.2">
      <c r="A16" s="134"/>
      <c r="B16" s="45" t="str">
        <f t="shared" si="0"/>
        <v>12Y</v>
      </c>
      <c r="C16" s="45" t="str">
        <f t="shared" si="1"/>
        <v>1F</v>
      </c>
      <c r="D16" s="43" t="str">
        <f t="shared" si="2"/>
        <v>EUR1F12Y_Quote</v>
      </c>
      <c r="E16" s="43" t="e">
        <f ca="1">_xll.cfyql_SimpleQuote(D16,,RateTickValue,Permanent,Trigger,ObjectOverwrite)</f>
        <v>#NAME?</v>
      </c>
      <c r="F16" s="42" t="e">
        <f ca="1">_xll.ohRangeRetrieveError(E16)</f>
        <v>#NAME?</v>
      </c>
      <c r="G16" s="36"/>
      <c r="H16" s="161"/>
      <c r="I16" s="112"/>
      <c r="J16" s="137" t="s">
        <v>44</v>
      </c>
      <c r="K16" s="137" t="str">
        <f t="shared" si="3"/>
        <v>1F</v>
      </c>
      <c r="L16" s="139" t="str">
        <f t="shared" si="4"/>
        <v>EUR1F12Y</v>
      </c>
      <c r="M16" s="139" t="str">
        <v>EUR1F12Y=ICAP</v>
      </c>
      <c r="N16" s="78">
        <v>1.319</v>
      </c>
      <c r="O16" s="111"/>
      <c r="P16" s="78">
        <v>1.319</v>
      </c>
      <c r="Q16" s="111"/>
      <c r="R16" s="78">
        <v>1.319</v>
      </c>
      <c r="S16" s="78" t="e">
        <f ca="1">_xll.cfyql_SimpleQuoteSetValue(E16,R16/100,Trigger)</f>
        <v>#NAME?</v>
      </c>
      <c r="T16" s="129"/>
      <c r="V16" s="160"/>
    </row>
    <row r="17" spans="1:22" x14ac:dyDescent="0.2">
      <c r="A17" s="134"/>
      <c r="B17" s="45" t="str">
        <f t="shared" si="0"/>
        <v>13Y</v>
      </c>
      <c r="C17" s="45" t="str">
        <f t="shared" si="1"/>
        <v>1F</v>
      </c>
      <c r="D17" s="43" t="str">
        <f t="shared" si="2"/>
        <v>EUR1F13Y_Quote</v>
      </c>
      <c r="E17" s="43" t="e">
        <f ca="1">_xll.cfyql_SimpleQuote(D17,,RateTickValue,Permanent,Trigger,ObjectOverwrite)</f>
        <v>#NAME?</v>
      </c>
      <c r="F17" s="42" t="e">
        <f ca="1">_xll.ohRangeRetrieveError(E17)</f>
        <v>#NAME?</v>
      </c>
      <c r="G17" s="36"/>
      <c r="H17" s="161"/>
      <c r="I17" s="112"/>
      <c r="J17" s="137" t="s">
        <v>43</v>
      </c>
      <c r="K17" s="137" t="str">
        <f t="shared" si="3"/>
        <v>1F</v>
      </c>
      <c r="L17" s="139" t="str">
        <f t="shared" si="4"/>
        <v>EUR1F13Y</v>
      </c>
      <c r="M17" s="139" t="str">
        <v>EUR1F13Y=ICAP</v>
      </c>
      <c r="N17" s="78">
        <v>1.38</v>
      </c>
      <c r="O17" s="111"/>
      <c r="P17" s="78">
        <v>1.38</v>
      </c>
      <c r="Q17" s="111"/>
      <c r="R17" s="78">
        <v>1.38</v>
      </c>
      <c r="S17" s="78" t="e">
        <f ca="1">_xll.cfyql_SimpleQuoteSetValue(E17,R17/100,Trigger)</f>
        <v>#NAME?</v>
      </c>
      <c r="T17" s="129"/>
      <c r="V17" s="160"/>
    </row>
    <row r="18" spans="1:22" x14ac:dyDescent="0.2">
      <c r="A18" s="134"/>
      <c r="B18" s="45" t="str">
        <f t="shared" si="0"/>
        <v>14Y</v>
      </c>
      <c r="C18" s="45" t="str">
        <f t="shared" si="1"/>
        <v>1F</v>
      </c>
      <c r="D18" s="43" t="str">
        <f t="shared" si="2"/>
        <v>EUR1F14Y_Quote</v>
      </c>
      <c r="E18" s="43" t="e">
        <f ca="1">_xll.cfyql_SimpleQuote(D18,,RateTickValue,Permanent,Trigger,ObjectOverwrite)</f>
        <v>#NAME?</v>
      </c>
      <c r="F18" s="42" t="e">
        <f ca="1">_xll.ohRangeRetrieveError(E18)</f>
        <v>#NAME?</v>
      </c>
      <c r="G18" s="36"/>
      <c r="H18" s="161"/>
      <c r="I18" s="112"/>
      <c r="J18" s="137" t="s">
        <v>42</v>
      </c>
      <c r="K18" s="137" t="str">
        <f t="shared" si="3"/>
        <v>1F</v>
      </c>
      <c r="L18" s="139" t="str">
        <f t="shared" si="4"/>
        <v>EUR1F14Y</v>
      </c>
      <c r="M18" s="139" t="str">
        <v>EUR1F14Y=ICAP</v>
      </c>
      <c r="N18" s="78">
        <v>1.4319999999999999</v>
      </c>
      <c r="O18" s="111"/>
      <c r="P18" s="78">
        <v>1.4319999999999999</v>
      </c>
      <c r="Q18" s="111"/>
      <c r="R18" s="78">
        <v>1.4319999999999999</v>
      </c>
      <c r="S18" s="78" t="e">
        <f ca="1">_xll.cfyql_SimpleQuoteSetValue(E18,R18/100,Trigger)</f>
        <v>#NAME?</v>
      </c>
      <c r="T18" s="129"/>
      <c r="V18" s="160"/>
    </row>
    <row r="19" spans="1:22" x14ac:dyDescent="0.2">
      <c r="A19" s="134"/>
      <c r="B19" s="45" t="str">
        <f t="shared" si="0"/>
        <v>15Y</v>
      </c>
      <c r="C19" s="45" t="str">
        <f t="shared" si="1"/>
        <v>1F</v>
      </c>
      <c r="D19" s="43" t="str">
        <f t="shared" si="2"/>
        <v>EUR1F15Y_Quote</v>
      </c>
      <c r="E19" s="43" t="e">
        <f ca="1">_xll.cfyql_SimpleQuote(D19,,RateTickValue,Permanent,Trigger,ObjectOverwrite)</f>
        <v>#NAME?</v>
      </c>
      <c r="F19" s="42" t="e">
        <f ca="1">_xll.ohRangeRetrieveError(E19)</f>
        <v>#NAME?</v>
      </c>
      <c r="G19" s="36"/>
      <c r="H19" s="161"/>
      <c r="I19" s="112"/>
      <c r="J19" s="137" t="s">
        <v>41</v>
      </c>
      <c r="K19" s="137" t="str">
        <f t="shared" si="3"/>
        <v>1F</v>
      </c>
      <c r="L19" s="139" t="str">
        <f t="shared" si="4"/>
        <v>EUR1F15Y</v>
      </c>
      <c r="M19" s="139" t="str">
        <v>EUR1F15Y=ICAP</v>
      </c>
      <c r="N19" s="78">
        <v>1.474</v>
      </c>
      <c r="O19" s="111"/>
      <c r="P19" s="78">
        <v>1.474</v>
      </c>
      <c r="Q19" s="111"/>
      <c r="R19" s="78">
        <v>1.474</v>
      </c>
      <c r="S19" s="78" t="e">
        <f ca="1">_xll.cfyql_SimpleQuoteSetValue(E19,R19/100,Trigger)</f>
        <v>#NAME?</v>
      </c>
      <c r="T19" s="129"/>
      <c r="V19" s="160"/>
    </row>
    <row r="20" spans="1:22" x14ac:dyDescent="0.2">
      <c r="A20" s="134"/>
      <c r="B20" s="45" t="str">
        <f t="shared" si="0"/>
        <v>20Y</v>
      </c>
      <c r="C20" s="45" t="str">
        <f t="shared" si="1"/>
        <v>1F</v>
      </c>
      <c r="D20" s="43" t="str">
        <f t="shared" si="2"/>
        <v>EUR1F20Y_Quote</v>
      </c>
      <c r="E20" s="43" t="e">
        <f ca="1">_xll.cfyql_SimpleQuote(D20,,RateTickValue,Permanent,Trigger,ObjectOverwrite)</f>
        <v>#NAME?</v>
      </c>
      <c r="F20" s="42" t="e">
        <f ca="1">_xll.ohRangeRetrieveError(E20)</f>
        <v>#NAME?</v>
      </c>
      <c r="G20" s="36"/>
      <c r="H20" s="161"/>
      <c r="I20" s="112"/>
      <c r="J20" s="137" t="s">
        <v>36</v>
      </c>
      <c r="K20" s="137" t="str">
        <f t="shared" si="3"/>
        <v>1F</v>
      </c>
      <c r="L20" s="139" t="str">
        <f t="shared" si="4"/>
        <v>EUR1F20Y</v>
      </c>
      <c r="M20" s="139" t="str">
        <v>EUR1F20Y=ICAP</v>
      </c>
      <c r="N20" s="78">
        <v>1.5840000000000001</v>
      </c>
      <c r="O20" s="111"/>
      <c r="P20" s="78">
        <v>1.5840000000000001</v>
      </c>
      <c r="Q20" s="111"/>
      <c r="R20" s="78">
        <v>1.5840000000000001</v>
      </c>
      <c r="S20" s="78" t="e">
        <f ca="1">_xll.cfyql_SimpleQuoteSetValue(E20,R20/100,Trigger)</f>
        <v>#NAME?</v>
      </c>
      <c r="T20" s="129"/>
      <c r="V20" s="160"/>
    </row>
    <row r="21" spans="1:22" x14ac:dyDescent="0.2">
      <c r="A21" s="134"/>
      <c r="B21" s="45" t="str">
        <f t="shared" si="0"/>
        <v>25Y</v>
      </c>
      <c r="C21" s="45" t="str">
        <f t="shared" si="1"/>
        <v>1F</v>
      </c>
      <c r="D21" s="43" t="str">
        <f t="shared" si="2"/>
        <v>EUR1F25Y_Quote</v>
      </c>
      <c r="E21" s="43" t="e">
        <f ca="1">_xll.cfyql_SimpleQuote(D21,,RateTickValue,Permanent,Trigger,ObjectOverwrite)</f>
        <v>#NAME?</v>
      </c>
      <c r="F21" s="42" t="e">
        <f ca="1">_xll.ohRangeRetrieveError(E21)</f>
        <v>#NAME?</v>
      </c>
      <c r="G21" s="36"/>
      <c r="H21" s="161"/>
      <c r="I21" s="112"/>
      <c r="J21" s="137" t="s">
        <v>31</v>
      </c>
      <c r="K21" s="137" t="str">
        <f t="shared" si="3"/>
        <v>1F</v>
      </c>
      <c r="L21" s="139" t="str">
        <f t="shared" si="4"/>
        <v>EUR1F25Y</v>
      </c>
      <c r="M21" s="139" t="str">
        <v>EUR1F25Y=ICAP</v>
      </c>
      <c r="N21" s="78">
        <v>1.593</v>
      </c>
      <c r="O21" s="111"/>
      <c r="P21" s="78">
        <v>1.593</v>
      </c>
      <c r="Q21" s="111"/>
      <c r="R21" s="78">
        <v>1.593</v>
      </c>
      <c r="S21" s="78" t="e">
        <f ca="1">_xll.cfyql_SimpleQuoteSetValue(E21,R21/100,Trigger)</f>
        <v>#NAME?</v>
      </c>
      <c r="T21" s="129"/>
      <c r="V21" s="160"/>
    </row>
    <row r="22" spans="1:22" x14ac:dyDescent="0.2">
      <c r="A22" s="134"/>
      <c r="B22" s="45" t="str">
        <f t="shared" si="0"/>
        <v>30Y</v>
      </c>
      <c r="C22" s="45" t="str">
        <f t="shared" si="1"/>
        <v>1F</v>
      </c>
      <c r="D22" s="43" t="str">
        <f t="shared" si="2"/>
        <v>EUR1F30Y_Quote</v>
      </c>
      <c r="E22" s="43" t="e">
        <f ca="1">_xll.cfyql_SimpleQuote(D22,,RateTickValue,Permanent,Trigger,ObjectOverwrite)</f>
        <v>#NAME?</v>
      </c>
      <c r="F22" s="42" t="e">
        <f ca="1">_xll.ohRangeRetrieveError(E22)</f>
        <v>#NAME?</v>
      </c>
      <c r="G22" s="36"/>
      <c r="H22" s="161"/>
      <c r="I22" s="112"/>
      <c r="J22" s="130" t="s">
        <v>26</v>
      </c>
      <c r="K22" s="130" t="str">
        <f t="shared" si="3"/>
        <v>1F</v>
      </c>
      <c r="L22" s="132" t="str">
        <f t="shared" si="4"/>
        <v>EUR1F30Y</v>
      </c>
      <c r="M22" s="132" t="str">
        <v>EUR1F30Y=ICAP</v>
      </c>
      <c r="N22" s="65">
        <v>1.5880000000000001</v>
      </c>
      <c r="O22" s="111"/>
      <c r="P22" s="65">
        <v>1.5880000000000001</v>
      </c>
      <c r="Q22" s="111"/>
      <c r="R22" s="65">
        <v>1.5880000000000001</v>
      </c>
      <c r="S22" s="65" t="e">
        <f ca="1">_xll.cfyql_SimpleQuoteSetValue(E22,R22/100,Trigger)</f>
        <v>#NAME?</v>
      </c>
      <c r="T22" s="129"/>
      <c r="V22" s="160"/>
    </row>
    <row r="23" spans="1:22" x14ac:dyDescent="0.2">
      <c r="A23" s="134"/>
      <c r="B23" s="45" t="str">
        <f t="shared" si="0"/>
        <v>1Y</v>
      </c>
      <c r="C23" s="45" t="str">
        <f t="shared" si="1"/>
        <v>2F</v>
      </c>
      <c r="D23" s="43" t="str">
        <f t="shared" si="2"/>
        <v>EUR2F1Y_Quote</v>
      </c>
      <c r="E23" s="43" t="e">
        <f ca="1">_xll.cfyql_SimpleQuote(D23,,RateTickValue,Permanent,Trigger,ObjectOverwrite)</f>
        <v>#NAME?</v>
      </c>
      <c r="F23" s="42" t="e">
        <f ca="1">_xll.ohRangeRetrieveError(E23)</f>
        <v>#NAME?</v>
      </c>
      <c r="G23" s="36"/>
      <c r="H23" s="161"/>
      <c r="I23" s="134">
        <v>2</v>
      </c>
      <c r="J23" s="163" t="s">
        <v>58</v>
      </c>
      <c r="K23" s="163" t="str">
        <f t="shared" ref="K23:K40" si="5">$I$23&amp;"F"</f>
        <v>2F</v>
      </c>
      <c r="L23" s="162" t="str">
        <f t="shared" si="4"/>
        <v>EUR2F1Y</v>
      </c>
      <c r="M23" s="162" t="str">
        <v>EUR2F1Y=ICAP</v>
      </c>
      <c r="N23" s="89">
        <v>0.26600000000000001</v>
      </c>
      <c r="O23" s="111"/>
      <c r="P23" s="89">
        <v>0.26600000000000001</v>
      </c>
      <c r="Q23" s="111"/>
      <c r="R23" s="89">
        <v>0.26600000000000001</v>
      </c>
      <c r="S23" s="89" t="e">
        <f ca="1">_xll.cfyql_SimpleQuoteSetValue(E23,R23/100,Trigger)</f>
        <v>#NAME?</v>
      </c>
      <c r="T23" s="129"/>
      <c r="V23" s="160"/>
    </row>
    <row r="24" spans="1:22" x14ac:dyDescent="0.2">
      <c r="A24" s="134"/>
      <c r="B24" s="45" t="str">
        <f t="shared" si="0"/>
        <v>2Y</v>
      </c>
      <c r="C24" s="45" t="str">
        <f t="shared" si="1"/>
        <v>2F</v>
      </c>
      <c r="D24" s="43" t="str">
        <f t="shared" si="2"/>
        <v>EUR2F2Y_Quote</v>
      </c>
      <c r="E24" s="43" t="e">
        <f ca="1">_xll.cfyql_SimpleQuote(D24,,RateTickValue,Permanent,Trigger,ObjectOverwrite)</f>
        <v>#NAME?</v>
      </c>
      <c r="F24" s="42" t="e">
        <f ca="1">_xll.ohRangeRetrieveError(E24)</f>
        <v>#NAME?</v>
      </c>
      <c r="G24" s="36"/>
      <c r="H24" s="161"/>
      <c r="I24" s="112"/>
      <c r="J24" s="137" t="s">
        <v>54</v>
      </c>
      <c r="K24" s="137" t="str">
        <f t="shared" si="5"/>
        <v>2F</v>
      </c>
      <c r="L24" s="139" t="str">
        <f t="shared" si="4"/>
        <v>EUR2F2Y</v>
      </c>
      <c r="M24" s="139" t="str">
        <v>EUR2F2Y=ICAP</v>
      </c>
      <c r="N24" s="78">
        <v>0.40599999999999997</v>
      </c>
      <c r="O24" s="111"/>
      <c r="P24" s="78">
        <v>0.40599999999999997</v>
      </c>
      <c r="Q24" s="111"/>
      <c r="R24" s="78">
        <v>0.40599999999999997</v>
      </c>
      <c r="S24" s="78" t="e">
        <f ca="1">_xll.cfyql_SimpleQuoteSetValue(E24,R24/100,Trigger)</f>
        <v>#NAME?</v>
      </c>
      <c r="T24" s="129"/>
      <c r="V24" s="160"/>
    </row>
    <row r="25" spans="1:22" x14ac:dyDescent="0.2">
      <c r="A25" s="134"/>
      <c r="B25" s="45" t="str">
        <f t="shared" si="0"/>
        <v>3Y</v>
      </c>
      <c r="C25" s="45" t="str">
        <f t="shared" si="1"/>
        <v>2F</v>
      </c>
      <c r="D25" s="43" t="str">
        <f t="shared" si="2"/>
        <v>EUR2F3Y_Quote</v>
      </c>
      <c r="E25" s="43" t="e">
        <f ca="1">_xll.cfyql_SimpleQuote(D25,,RateTickValue,Permanent,Trigger,ObjectOverwrite)</f>
        <v>#NAME?</v>
      </c>
      <c r="F25" s="42" t="e">
        <f ca="1">_xll.ohRangeRetrieveError(E25)</f>
        <v>#NAME?</v>
      </c>
      <c r="G25" s="36"/>
      <c r="H25" s="161"/>
      <c r="I25" s="112"/>
      <c r="J25" s="137" t="s">
        <v>53</v>
      </c>
      <c r="K25" s="137" t="str">
        <f t="shared" si="5"/>
        <v>2F</v>
      </c>
      <c r="L25" s="139" t="str">
        <f t="shared" si="4"/>
        <v>EUR2F3Y</v>
      </c>
      <c r="M25" s="139" t="str">
        <v>EUR2F3Y=ICAP</v>
      </c>
      <c r="N25" s="78">
        <v>0.55199999999999994</v>
      </c>
      <c r="O25" s="111"/>
      <c r="P25" s="78">
        <v>0.55199999999999994</v>
      </c>
      <c r="Q25" s="111"/>
      <c r="R25" s="78">
        <v>0.55199999999999994</v>
      </c>
      <c r="S25" s="78" t="e">
        <f ca="1">_xll.cfyql_SimpleQuoteSetValue(E25,R25/100,Trigger)</f>
        <v>#NAME?</v>
      </c>
      <c r="T25" s="129"/>
      <c r="V25" s="160"/>
    </row>
    <row r="26" spans="1:22" x14ac:dyDescent="0.2">
      <c r="A26" s="134"/>
      <c r="B26" s="45" t="str">
        <f t="shared" si="0"/>
        <v>4Y</v>
      </c>
      <c r="C26" s="45" t="str">
        <f t="shared" si="1"/>
        <v>2F</v>
      </c>
      <c r="D26" s="43" t="str">
        <f t="shared" si="2"/>
        <v>EUR2F4Y_Quote</v>
      </c>
      <c r="E26" s="43" t="e">
        <f ca="1">_xll.cfyql_SimpleQuote(D26,,RateTickValue,Permanent,Trigger,ObjectOverwrite)</f>
        <v>#NAME?</v>
      </c>
      <c r="F26" s="42" t="e">
        <f ca="1">_xll.ohRangeRetrieveError(E26)</f>
        <v>#NAME?</v>
      </c>
      <c r="G26" s="36"/>
      <c r="H26" s="161"/>
      <c r="I26" s="112"/>
      <c r="J26" s="137" t="s">
        <v>52</v>
      </c>
      <c r="K26" s="137" t="str">
        <f t="shared" si="5"/>
        <v>2F</v>
      </c>
      <c r="L26" s="139" t="str">
        <f t="shared" si="4"/>
        <v>EUR2F4Y</v>
      </c>
      <c r="M26" s="139" t="str">
        <v>EUR2F4Y=ICAP</v>
      </c>
      <c r="N26" s="78">
        <v>0.69900000000000007</v>
      </c>
      <c r="O26" s="111"/>
      <c r="P26" s="78">
        <v>0.69900000000000007</v>
      </c>
      <c r="Q26" s="111"/>
      <c r="R26" s="78">
        <v>0.69900000000000007</v>
      </c>
      <c r="S26" s="78" t="e">
        <f ca="1">_xll.cfyql_SimpleQuoteSetValue(E26,R26/100,Trigger)</f>
        <v>#NAME?</v>
      </c>
      <c r="T26" s="129"/>
      <c r="V26" s="160"/>
    </row>
    <row r="27" spans="1:22" x14ac:dyDescent="0.2">
      <c r="A27" s="134"/>
      <c r="B27" s="45" t="str">
        <f t="shared" si="0"/>
        <v>5Y</v>
      </c>
      <c r="C27" s="45" t="str">
        <f t="shared" si="1"/>
        <v>2F</v>
      </c>
      <c r="D27" s="43" t="str">
        <f t="shared" si="2"/>
        <v>EUR2F5Y_Quote</v>
      </c>
      <c r="E27" s="43" t="e">
        <f ca="1">_xll.cfyql_SimpleQuote(D27,,RateTickValue,Permanent,Trigger,ObjectOverwrite)</f>
        <v>#NAME?</v>
      </c>
      <c r="F27" s="42" t="e">
        <f ca="1">_xll.ohRangeRetrieveError(E27)</f>
        <v>#NAME?</v>
      </c>
      <c r="G27" s="36"/>
      <c r="H27" s="161"/>
      <c r="I27" s="112"/>
      <c r="J27" s="137" t="s">
        <v>51</v>
      </c>
      <c r="K27" s="137" t="str">
        <f t="shared" si="5"/>
        <v>2F</v>
      </c>
      <c r="L27" s="139" t="str">
        <f t="shared" si="4"/>
        <v>EUR2F5Y</v>
      </c>
      <c r="M27" s="139" t="str">
        <v>EUR2F5Y=ICAP</v>
      </c>
      <c r="N27" s="78">
        <v>0.84299999999999997</v>
      </c>
      <c r="O27" s="111"/>
      <c r="P27" s="78">
        <v>0.84299999999999997</v>
      </c>
      <c r="Q27" s="111"/>
      <c r="R27" s="78">
        <v>0.84299999999999997</v>
      </c>
      <c r="S27" s="78" t="e">
        <f ca="1">_xll.cfyql_SimpleQuoteSetValue(E27,R27/100,Trigger)</f>
        <v>#NAME?</v>
      </c>
      <c r="T27" s="129"/>
      <c r="V27" s="160"/>
    </row>
    <row r="28" spans="1:22" x14ac:dyDescent="0.2">
      <c r="A28" s="134"/>
      <c r="B28" s="45" t="str">
        <f t="shared" si="0"/>
        <v>6Y</v>
      </c>
      <c r="C28" s="45" t="str">
        <f t="shared" si="1"/>
        <v>2F</v>
      </c>
      <c r="D28" s="43" t="str">
        <f t="shared" si="2"/>
        <v>EUR2F6Y_Quote</v>
      </c>
      <c r="E28" s="43" t="e">
        <f ca="1">_xll.cfyql_SimpleQuote(D28,,RateTickValue,Permanent,Trigger,ObjectOverwrite)</f>
        <v>#NAME?</v>
      </c>
      <c r="F28" s="42" t="e">
        <f ca="1">_xll.ohRangeRetrieveError(E28)</f>
        <v>#NAME?</v>
      </c>
      <c r="G28" s="36"/>
      <c r="H28" s="161"/>
      <c r="I28" s="112"/>
      <c r="J28" s="137" t="s">
        <v>50</v>
      </c>
      <c r="K28" s="137" t="str">
        <f t="shared" si="5"/>
        <v>2F</v>
      </c>
      <c r="L28" s="139" t="str">
        <f t="shared" si="4"/>
        <v>EUR2F6Y</v>
      </c>
      <c r="M28" s="139" t="str">
        <v>EUR2F6Y=ICAP</v>
      </c>
      <c r="N28" s="78">
        <v>0.97599999999999998</v>
      </c>
      <c r="O28" s="111"/>
      <c r="P28" s="78">
        <v>0.97599999999999998</v>
      </c>
      <c r="Q28" s="111"/>
      <c r="R28" s="78">
        <v>0.97599999999999998</v>
      </c>
      <c r="S28" s="78" t="e">
        <f ca="1">_xll.cfyql_SimpleQuoteSetValue(E28,R28/100,Trigger)</f>
        <v>#NAME?</v>
      </c>
      <c r="T28" s="129"/>
      <c r="V28" s="160"/>
    </row>
    <row r="29" spans="1:22" x14ac:dyDescent="0.2">
      <c r="A29" s="134"/>
      <c r="B29" s="45" t="str">
        <f t="shared" si="0"/>
        <v>7Y</v>
      </c>
      <c r="C29" s="45" t="str">
        <f t="shared" si="1"/>
        <v>2F</v>
      </c>
      <c r="D29" s="43" t="str">
        <f t="shared" si="2"/>
        <v>EUR2F7Y_Quote</v>
      </c>
      <c r="E29" s="43" t="e">
        <f ca="1">_xll.cfyql_SimpleQuote(D29,,RateTickValue,Permanent,Trigger,ObjectOverwrite)</f>
        <v>#NAME?</v>
      </c>
      <c r="F29" s="42" t="e">
        <f ca="1">_xll.ohRangeRetrieveError(E29)</f>
        <v>#NAME?</v>
      </c>
      <c r="G29" s="36"/>
      <c r="H29" s="161"/>
      <c r="I29" s="112"/>
      <c r="J29" s="137" t="s">
        <v>49</v>
      </c>
      <c r="K29" s="137" t="str">
        <f t="shared" si="5"/>
        <v>2F</v>
      </c>
      <c r="L29" s="139" t="str">
        <f t="shared" si="4"/>
        <v>EUR2F7Y</v>
      </c>
      <c r="M29" s="139" t="str">
        <v>EUR2F7Y=ICAP</v>
      </c>
      <c r="N29" s="78">
        <v>1.0960000000000001</v>
      </c>
      <c r="O29" s="111"/>
      <c r="P29" s="78">
        <v>1.0960000000000001</v>
      </c>
      <c r="Q29" s="111"/>
      <c r="R29" s="78">
        <v>1.0960000000000001</v>
      </c>
      <c r="S29" s="78" t="e">
        <f ca="1">_xll.cfyql_SimpleQuoteSetValue(E29,R29/100,Trigger)</f>
        <v>#NAME?</v>
      </c>
      <c r="T29" s="129"/>
      <c r="V29" s="160"/>
    </row>
    <row r="30" spans="1:22" x14ac:dyDescent="0.2">
      <c r="A30" s="134"/>
      <c r="B30" s="45" t="str">
        <f t="shared" si="0"/>
        <v>8Y</v>
      </c>
      <c r="C30" s="45" t="str">
        <f t="shared" si="1"/>
        <v>2F</v>
      </c>
      <c r="D30" s="43" t="str">
        <f t="shared" si="2"/>
        <v>EUR2F8Y_Quote</v>
      </c>
      <c r="E30" s="43" t="e">
        <f ca="1">_xll.cfyql_SimpleQuote(D30,,RateTickValue,Permanent,Trigger,ObjectOverwrite)</f>
        <v>#NAME?</v>
      </c>
      <c r="F30" s="42" t="e">
        <f ca="1">_xll.ohRangeRetrieveError(E30)</f>
        <v>#NAME?</v>
      </c>
      <c r="G30" s="36"/>
      <c r="H30" s="161"/>
      <c r="I30" s="112"/>
      <c r="J30" s="137" t="s">
        <v>48</v>
      </c>
      <c r="K30" s="137" t="str">
        <f t="shared" si="5"/>
        <v>2F</v>
      </c>
      <c r="L30" s="139" t="str">
        <f t="shared" si="4"/>
        <v>EUR2F8Y</v>
      </c>
      <c r="M30" s="139" t="str">
        <v>EUR2F8Y=ICAP</v>
      </c>
      <c r="N30" s="78">
        <v>1.1990000000000001</v>
      </c>
      <c r="O30" s="111"/>
      <c r="P30" s="78">
        <v>1.1990000000000001</v>
      </c>
      <c r="Q30" s="111"/>
      <c r="R30" s="78">
        <v>1.1990000000000001</v>
      </c>
      <c r="S30" s="78" t="e">
        <f ca="1">_xll.cfyql_SimpleQuoteSetValue(E30,R30/100,Trigger)</f>
        <v>#NAME?</v>
      </c>
      <c r="T30" s="129"/>
      <c r="V30" s="160"/>
    </row>
    <row r="31" spans="1:22" x14ac:dyDescent="0.2">
      <c r="A31" s="134"/>
      <c r="B31" s="45" t="str">
        <f t="shared" si="0"/>
        <v>9Y</v>
      </c>
      <c r="C31" s="45" t="str">
        <f t="shared" si="1"/>
        <v>2F</v>
      </c>
      <c r="D31" s="43" t="str">
        <f t="shared" si="2"/>
        <v>EUR2F9Y_Quote</v>
      </c>
      <c r="E31" s="43" t="e">
        <f ca="1">_xll.cfyql_SimpleQuote(D31,,RateTickValue,Permanent,Trigger,ObjectOverwrite)</f>
        <v>#NAME?</v>
      </c>
      <c r="F31" s="42" t="e">
        <f ca="1">_xll.ohRangeRetrieveError(E31)</f>
        <v>#NAME?</v>
      </c>
      <c r="G31" s="36"/>
      <c r="H31" s="161"/>
      <c r="I31" s="112"/>
      <c r="J31" s="137" t="s">
        <v>47</v>
      </c>
      <c r="K31" s="137" t="str">
        <f t="shared" si="5"/>
        <v>2F</v>
      </c>
      <c r="L31" s="139" t="str">
        <f t="shared" si="4"/>
        <v>EUR2F9Y</v>
      </c>
      <c r="M31" s="139" t="str">
        <v>EUR2F9Y=ICAP</v>
      </c>
      <c r="N31" s="78">
        <v>1.29</v>
      </c>
      <c r="O31" s="111"/>
      <c r="P31" s="78">
        <v>1.29</v>
      </c>
      <c r="Q31" s="111"/>
      <c r="R31" s="78">
        <v>1.29</v>
      </c>
      <c r="S31" s="78" t="e">
        <f ca="1">_xll.cfyql_SimpleQuoteSetValue(E31,R31/100,Trigger)</f>
        <v>#NAME?</v>
      </c>
      <c r="T31" s="129"/>
      <c r="V31" s="160"/>
    </row>
    <row r="32" spans="1:22" x14ac:dyDescent="0.2">
      <c r="A32" s="134"/>
      <c r="B32" s="45" t="str">
        <f t="shared" si="0"/>
        <v>10Y</v>
      </c>
      <c r="C32" s="45" t="str">
        <f t="shared" si="1"/>
        <v>2F</v>
      </c>
      <c r="D32" s="43" t="str">
        <f t="shared" si="2"/>
        <v>EUR2F10Y_Quote</v>
      </c>
      <c r="E32" s="43" t="e">
        <f ca="1">_xll.cfyql_SimpleQuote(D32,,RateTickValue,Permanent,Trigger,ObjectOverwrite)</f>
        <v>#NAME?</v>
      </c>
      <c r="F32" s="42" t="e">
        <f ca="1">_xll.ohRangeRetrieveError(E32)</f>
        <v>#NAME?</v>
      </c>
      <c r="G32" s="36"/>
      <c r="H32" s="161"/>
      <c r="I32" s="112"/>
      <c r="J32" s="137" t="s">
        <v>46</v>
      </c>
      <c r="K32" s="137" t="str">
        <f t="shared" si="5"/>
        <v>2F</v>
      </c>
      <c r="L32" s="139" t="str">
        <f t="shared" si="4"/>
        <v>EUR2F10Y</v>
      </c>
      <c r="M32" s="139" t="str">
        <v>EUR2F10Y=ICAP</v>
      </c>
      <c r="N32" s="78">
        <v>1.37</v>
      </c>
      <c r="O32" s="111"/>
      <c r="P32" s="78">
        <v>1.37</v>
      </c>
      <c r="Q32" s="111"/>
      <c r="R32" s="78">
        <v>1.37</v>
      </c>
      <c r="S32" s="78" t="e">
        <f ca="1">_xll.cfyql_SimpleQuoteSetValue(E32,R32/100,Trigger)</f>
        <v>#NAME?</v>
      </c>
      <c r="T32" s="129"/>
      <c r="V32" s="160"/>
    </row>
    <row r="33" spans="1:22" x14ac:dyDescent="0.2">
      <c r="A33" s="134"/>
      <c r="B33" s="45" t="str">
        <f t="shared" si="0"/>
        <v>11Y</v>
      </c>
      <c r="C33" s="45" t="str">
        <f t="shared" si="1"/>
        <v>2F</v>
      </c>
      <c r="D33" s="43" t="str">
        <f t="shared" si="2"/>
        <v>EUR2F11Y_Quote</v>
      </c>
      <c r="E33" s="43" t="e">
        <f ca="1">_xll.cfyql_SimpleQuote(D33,,RateTickValue,Permanent,Trigger,ObjectOverwrite)</f>
        <v>#NAME?</v>
      </c>
      <c r="F33" s="42" t="e">
        <f ca="1">_xll.ohRangeRetrieveError(E33)</f>
        <v>#NAME?</v>
      </c>
      <c r="G33" s="36"/>
      <c r="H33" s="161"/>
      <c r="I33" s="112"/>
      <c r="J33" s="137" t="s">
        <v>45</v>
      </c>
      <c r="K33" s="137" t="str">
        <f t="shared" si="5"/>
        <v>2F</v>
      </c>
      <c r="L33" s="139" t="str">
        <f t="shared" si="4"/>
        <v>EUR2F11Y</v>
      </c>
      <c r="M33" s="139" t="str">
        <v>EUR2F11Y=ICAP</v>
      </c>
      <c r="N33" s="78">
        <v>1.4379999999999999</v>
      </c>
      <c r="O33" s="111"/>
      <c r="P33" s="78">
        <v>1.4379999999999999</v>
      </c>
      <c r="Q33" s="111"/>
      <c r="R33" s="78">
        <v>1.4379999999999999</v>
      </c>
      <c r="S33" s="78" t="e">
        <f ca="1">_xll.cfyql_SimpleQuoteSetValue(E33,R33/100,Trigger)</f>
        <v>#NAME?</v>
      </c>
      <c r="T33" s="129"/>
      <c r="V33" s="160"/>
    </row>
    <row r="34" spans="1:22" x14ac:dyDescent="0.2">
      <c r="A34" s="134"/>
      <c r="B34" s="45" t="str">
        <f t="shared" si="0"/>
        <v>12Y</v>
      </c>
      <c r="C34" s="45" t="str">
        <f t="shared" si="1"/>
        <v>2F</v>
      </c>
      <c r="D34" s="43" t="str">
        <f t="shared" si="2"/>
        <v>EUR2F12Y_Quote</v>
      </c>
      <c r="E34" s="43" t="e">
        <f ca="1">_xll.cfyql_SimpleQuote(D34,,RateTickValue,Permanent,Trigger,ObjectOverwrite)</f>
        <v>#NAME?</v>
      </c>
      <c r="F34" s="42" t="e">
        <f ca="1">_xll.ohRangeRetrieveError(E34)</f>
        <v>#NAME?</v>
      </c>
      <c r="G34" s="36"/>
      <c r="H34" s="161"/>
      <c r="I34" s="112"/>
      <c r="J34" s="137" t="s">
        <v>44</v>
      </c>
      <c r="K34" s="137" t="str">
        <f t="shared" si="5"/>
        <v>2F</v>
      </c>
      <c r="L34" s="139" t="str">
        <f t="shared" si="4"/>
        <v>EUR2F12Y</v>
      </c>
      <c r="M34" s="139" t="str">
        <v>EUR2F12Y=ICAP</v>
      </c>
      <c r="N34" s="78">
        <v>1.4950000000000001</v>
      </c>
      <c r="O34" s="111"/>
      <c r="P34" s="78">
        <v>1.4950000000000001</v>
      </c>
      <c r="Q34" s="111"/>
      <c r="R34" s="78">
        <v>1.4950000000000001</v>
      </c>
      <c r="S34" s="78" t="e">
        <f ca="1">_xll.cfyql_SimpleQuoteSetValue(E34,R34/100,Trigger)</f>
        <v>#NAME?</v>
      </c>
      <c r="T34" s="129"/>
      <c r="V34" s="160"/>
    </row>
    <row r="35" spans="1:22" x14ac:dyDescent="0.2">
      <c r="A35" s="134"/>
      <c r="B35" s="45" t="str">
        <f t="shared" si="0"/>
        <v>13Y</v>
      </c>
      <c r="C35" s="45" t="str">
        <f t="shared" si="1"/>
        <v>2F</v>
      </c>
      <c r="D35" s="43" t="str">
        <f t="shared" si="2"/>
        <v>EUR2F13Y_Quote</v>
      </c>
      <c r="E35" s="43" t="e">
        <f ca="1">_xll.cfyql_SimpleQuote(D35,,RateTickValue,Permanent,Trigger,ObjectOverwrite)</f>
        <v>#NAME?</v>
      </c>
      <c r="F35" s="42" t="e">
        <f ca="1">_xll.ohRangeRetrieveError(E35)</f>
        <v>#NAME?</v>
      </c>
      <c r="G35" s="36"/>
      <c r="H35" s="161"/>
      <c r="I35" s="112"/>
      <c r="J35" s="137" t="s">
        <v>43</v>
      </c>
      <c r="K35" s="137" t="str">
        <f t="shared" si="5"/>
        <v>2F</v>
      </c>
      <c r="L35" s="139" t="str">
        <f t="shared" si="4"/>
        <v>EUR2F13Y</v>
      </c>
      <c r="M35" s="139" t="str">
        <v>EUR2F13Y=ICAP</v>
      </c>
      <c r="N35" s="78">
        <v>1.5429999999999999</v>
      </c>
      <c r="O35" s="111"/>
      <c r="P35" s="78">
        <v>1.5429999999999999</v>
      </c>
      <c r="Q35" s="111"/>
      <c r="R35" s="78">
        <v>1.5429999999999999</v>
      </c>
      <c r="S35" s="78" t="e">
        <f ca="1">_xll.cfyql_SimpleQuoteSetValue(E35,R35/100,Trigger)</f>
        <v>#NAME?</v>
      </c>
      <c r="T35" s="129"/>
      <c r="V35" s="160"/>
    </row>
    <row r="36" spans="1:22" x14ac:dyDescent="0.2">
      <c r="A36" s="134"/>
      <c r="B36" s="45" t="str">
        <f t="shared" si="0"/>
        <v>14Y</v>
      </c>
      <c r="C36" s="45" t="str">
        <f t="shared" si="1"/>
        <v>2F</v>
      </c>
      <c r="D36" s="43" t="str">
        <f t="shared" si="2"/>
        <v>EUR2F14Y_Quote</v>
      </c>
      <c r="E36" s="43" t="e">
        <f ca="1">_xll.cfyql_SimpleQuote(D36,,RateTickValue,Permanent,Trigger,ObjectOverwrite)</f>
        <v>#NAME?</v>
      </c>
      <c r="F36" s="42" t="e">
        <f ca="1">_xll.ohRangeRetrieveError(E36)</f>
        <v>#NAME?</v>
      </c>
      <c r="G36" s="36"/>
      <c r="H36" s="161"/>
      <c r="I36" s="112"/>
      <c r="J36" s="137" t="s">
        <v>42</v>
      </c>
      <c r="K36" s="137" t="str">
        <f t="shared" si="5"/>
        <v>2F</v>
      </c>
      <c r="L36" s="139" t="str">
        <f t="shared" si="4"/>
        <v>EUR2F14Y</v>
      </c>
      <c r="M36" s="139" t="str">
        <v>EUR2F14Y=ICAP</v>
      </c>
      <c r="N36" s="78">
        <v>1.581</v>
      </c>
      <c r="O36" s="111"/>
      <c r="P36" s="78">
        <v>1.581</v>
      </c>
      <c r="Q36" s="111"/>
      <c r="R36" s="78">
        <v>1.581</v>
      </c>
      <c r="S36" s="78" t="e">
        <f ca="1">_xll.cfyql_SimpleQuoteSetValue(E36,R36/100,Trigger)</f>
        <v>#NAME?</v>
      </c>
      <c r="T36" s="129"/>
      <c r="V36" s="160"/>
    </row>
    <row r="37" spans="1:22" x14ac:dyDescent="0.2">
      <c r="A37" s="134"/>
      <c r="B37" s="45" t="str">
        <f t="shared" si="0"/>
        <v>15Y</v>
      </c>
      <c r="C37" s="45" t="str">
        <f t="shared" si="1"/>
        <v>2F</v>
      </c>
      <c r="D37" s="43" t="str">
        <f t="shared" si="2"/>
        <v>EUR2F15Y_Quote</v>
      </c>
      <c r="E37" s="43" t="e">
        <f ca="1">_xll.cfyql_SimpleQuote(D37,,RateTickValue,Permanent,Trigger,ObjectOverwrite)</f>
        <v>#NAME?</v>
      </c>
      <c r="F37" s="42" t="e">
        <f ca="1">_xll.ohRangeRetrieveError(E37)</f>
        <v>#NAME?</v>
      </c>
      <c r="G37" s="36"/>
      <c r="H37" s="161"/>
      <c r="I37" s="112"/>
      <c r="J37" s="137" t="s">
        <v>41</v>
      </c>
      <c r="K37" s="137" t="str">
        <f t="shared" si="5"/>
        <v>2F</v>
      </c>
      <c r="L37" s="139" t="str">
        <f t="shared" si="4"/>
        <v>EUR2F15Y</v>
      </c>
      <c r="M37" s="139" t="str">
        <v>EUR2F15Y=ICAP</v>
      </c>
      <c r="N37" s="78">
        <v>1.6139999999999999</v>
      </c>
      <c r="O37" s="111"/>
      <c r="P37" s="78">
        <v>1.6139999999999999</v>
      </c>
      <c r="Q37" s="111"/>
      <c r="R37" s="78">
        <v>1.6139999999999999</v>
      </c>
      <c r="S37" s="78" t="e">
        <f ca="1">_xll.cfyql_SimpleQuoteSetValue(E37,R37/100,Trigger)</f>
        <v>#NAME?</v>
      </c>
      <c r="T37" s="129"/>
      <c r="V37" s="160"/>
    </row>
    <row r="38" spans="1:22" x14ac:dyDescent="0.2">
      <c r="A38" s="134"/>
      <c r="B38" s="45" t="str">
        <f t="shared" si="0"/>
        <v>20Y</v>
      </c>
      <c r="C38" s="45" t="str">
        <f t="shared" si="1"/>
        <v>2F</v>
      </c>
      <c r="D38" s="43" t="str">
        <f t="shared" si="2"/>
        <v>EUR2F20Y_Quote</v>
      </c>
      <c r="E38" s="43" t="e">
        <f ca="1">_xll.cfyql_SimpleQuote(D38,,RateTickValue,Permanent,Trigger,ObjectOverwrite)</f>
        <v>#NAME?</v>
      </c>
      <c r="F38" s="42" t="e">
        <f ca="1">_xll.ohRangeRetrieveError(E38)</f>
        <v>#NAME?</v>
      </c>
      <c r="G38" s="36"/>
      <c r="H38" s="161"/>
      <c r="I38" s="112"/>
      <c r="J38" s="137" t="s">
        <v>36</v>
      </c>
      <c r="K38" s="137" t="str">
        <f t="shared" si="5"/>
        <v>2F</v>
      </c>
      <c r="L38" s="139" t="str">
        <f t="shared" si="4"/>
        <v>EUR2F20Y</v>
      </c>
      <c r="M38" s="139" t="str">
        <v>EUR2F20Y=ICAP</v>
      </c>
      <c r="N38" s="78">
        <v>1.677</v>
      </c>
      <c r="O38" s="111"/>
      <c r="P38" s="78">
        <v>1.677</v>
      </c>
      <c r="Q38" s="111"/>
      <c r="R38" s="78">
        <v>1.677</v>
      </c>
      <c r="S38" s="78" t="e">
        <f ca="1">_xll.cfyql_SimpleQuoteSetValue(E38,R38/100,Trigger)</f>
        <v>#NAME?</v>
      </c>
      <c r="T38" s="129"/>
      <c r="V38" s="160"/>
    </row>
    <row r="39" spans="1:22" x14ac:dyDescent="0.2">
      <c r="A39" s="134"/>
      <c r="B39" s="45" t="str">
        <f t="shared" si="0"/>
        <v>25Y</v>
      </c>
      <c r="C39" s="45" t="str">
        <f t="shared" si="1"/>
        <v>2F</v>
      </c>
      <c r="D39" s="43" t="str">
        <f t="shared" si="2"/>
        <v>EUR2F25Y_Quote</v>
      </c>
      <c r="E39" s="43" t="e">
        <f ca="1">_xll.cfyql_SimpleQuote(D39,,RateTickValue,Permanent,Trigger,ObjectOverwrite)</f>
        <v>#NAME?</v>
      </c>
      <c r="F39" s="42" t="e">
        <f ca="1">_xll.ohRangeRetrieveError(E39)</f>
        <v>#NAME?</v>
      </c>
      <c r="G39" s="36"/>
      <c r="H39" s="161"/>
      <c r="I39" s="112"/>
      <c r="J39" s="137" t="s">
        <v>31</v>
      </c>
      <c r="K39" s="137" t="str">
        <f t="shared" si="5"/>
        <v>2F</v>
      </c>
      <c r="L39" s="139" t="str">
        <f t="shared" si="4"/>
        <v>EUR2F25Y</v>
      </c>
      <c r="M39" s="139" t="str">
        <v>EUR2F25Y=ICAP</v>
      </c>
      <c r="N39" s="78">
        <v>1.6639999999999999</v>
      </c>
      <c r="O39" s="111"/>
      <c r="P39" s="78">
        <v>1.6639999999999999</v>
      </c>
      <c r="Q39" s="111"/>
      <c r="R39" s="78">
        <v>1.6639999999999999</v>
      </c>
      <c r="S39" s="78" t="e">
        <f ca="1">_xll.cfyql_SimpleQuoteSetValue(E39,R39/100,Trigger)</f>
        <v>#NAME?</v>
      </c>
      <c r="T39" s="129"/>
      <c r="V39" s="160"/>
    </row>
    <row r="40" spans="1:22" x14ac:dyDescent="0.2">
      <c r="A40" s="134"/>
      <c r="B40" s="45" t="str">
        <f t="shared" si="0"/>
        <v>30Y</v>
      </c>
      <c r="C40" s="45" t="str">
        <f t="shared" si="1"/>
        <v>2F</v>
      </c>
      <c r="D40" s="43" t="str">
        <f t="shared" si="2"/>
        <v>EUR2F30Y_Quote</v>
      </c>
      <c r="E40" s="43" t="e">
        <f ca="1">_xll.cfyql_SimpleQuote(D40,,RateTickValue,Permanent,Trigger,ObjectOverwrite)</f>
        <v>#NAME?</v>
      </c>
      <c r="F40" s="42" t="e">
        <f ca="1">_xll.ohRangeRetrieveError(E40)</f>
        <v>#NAME?</v>
      </c>
      <c r="G40" s="36"/>
      <c r="H40" s="161"/>
      <c r="I40" s="112"/>
      <c r="J40" s="130" t="s">
        <v>26</v>
      </c>
      <c r="K40" s="130" t="str">
        <f t="shared" si="5"/>
        <v>2F</v>
      </c>
      <c r="L40" s="132" t="str">
        <f t="shared" si="4"/>
        <v>EUR2F30Y</v>
      </c>
      <c r="M40" s="132" t="str">
        <v>EUR2F30Y=ICAP</v>
      </c>
      <c r="N40" s="65">
        <v>1.65</v>
      </c>
      <c r="O40" s="111"/>
      <c r="P40" s="65">
        <v>1.65</v>
      </c>
      <c r="Q40" s="111"/>
      <c r="R40" s="65">
        <v>1.65</v>
      </c>
      <c r="S40" s="65" t="e">
        <f ca="1">_xll.cfyql_SimpleQuoteSetValue(E40,R40/100,Trigger)</f>
        <v>#NAME?</v>
      </c>
      <c r="T40" s="129"/>
      <c r="V40" s="160"/>
    </row>
    <row r="41" spans="1:22" x14ac:dyDescent="0.2">
      <c r="A41" s="134"/>
      <c r="B41" s="45" t="str">
        <f t="shared" si="0"/>
        <v>1Y</v>
      </c>
      <c r="C41" s="45" t="str">
        <f t="shared" si="1"/>
        <v>3F</v>
      </c>
      <c r="D41" s="43" t="str">
        <f t="shared" si="2"/>
        <v>EUR3F1Y_Quote</v>
      </c>
      <c r="E41" s="43" t="e">
        <f ca="1">_xll.cfyql_SimpleQuote(D41,,RateTickValue,Permanent,Trigger,ObjectOverwrite)</f>
        <v>#NAME?</v>
      </c>
      <c r="F41" s="42" t="e">
        <f ca="1">_xll.ohRangeRetrieveError(E41)</f>
        <v>#NAME?</v>
      </c>
      <c r="G41" s="36"/>
      <c r="H41" s="161"/>
      <c r="I41" s="134">
        <v>3</v>
      </c>
      <c r="J41" s="163" t="s">
        <v>58</v>
      </c>
      <c r="K41" s="163" t="str">
        <f t="shared" ref="K41:K58" si="6">$I$41&amp;"F"</f>
        <v>3F</v>
      </c>
      <c r="L41" s="162" t="str">
        <f t="shared" si="4"/>
        <v>EUR3F1Y</v>
      </c>
      <c r="M41" s="162" t="str">
        <v>EUR3F1Y=ICAP</v>
      </c>
      <c r="N41" s="89">
        <v>0.54699999999999993</v>
      </c>
      <c r="O41" s="111"/>
      <c r="P41" s="89">
        <v>0.54699999999999993</v>
      </c>
      <c r="Q41" s="111"/>
      <c r="R41" s="89">
        <v>0.54699999999999993</v>
      </c>
      <c r="S41" s="89" t="e">
        <f ca="1">_xll.cfyql_SimpleQuoteSetValue(E41,R41/100,Trigger)</f>
        <v>#NAME?</v>
      </c>
      <c r="T41" s="129"/>
      <c r="V41" s="160"/>
    </row>
    <row r="42" spans="1:22" x14ac:dyDescent="0.2">
      <c r="A42" s="134"/>
      <c r="B42" s="45" t="str">
        <f t="shared" si="0"/>
        <v>2Y</v>
      </c>
      <c r="C42" s="45" t="str">
        <f t="shared" si="1"/>
        <v>3F</v>
      </c>
      <c r="D42" s="43" t="str">
        <f t="shared" si="2"/>
        <v>EUR3F2Y_Quote</v>
      </c>
      <c r="E42" s="43" t="e">
        <f ca="1">_xll.cfyql_SimpleQuote(D42,,RateTickValue,Permanent,Trigger,ObjectOverwrite)</f>
        <v>#NAME?</v>
      </c>
      <c r="F42" s="42" t="e">
        <f ca="1">_xll.ohRangeRetrieveError(E42)</f>
        <v>#NAME?</v>
      </c>
      <c r="G42" s="36"/>
      <c r="H42" s="161"/>
      <c r="I42" s="112"/>
      <c r="J42" s="137" t="s">
        <v>54</v>
      </c>
      <c r="K42" s="137" t="str">
        <f t="shared" si="6"/>
        <v>3F</v>
      </c>
      <c r="L42" s="139" t="str">
        <f t="shared" si="4"/>
        <v>EUR3F2Y</v>
      </c>
      <c r="M42" s="139" t="str">
        <v>EUR3F2Y=ICAP</v>
      </c>
      <c r="N42" s="78">
        <v>0.69599999999999995</v>
      </c>
      <c r="O42" s="111"/>
      <c r="P42" s="78">
        <v>0.69599999999999995</v>
      </c>
      <c r="Q42" s="111"/>
      <c r="R42" s="78">
        <v>0.69599999999999995</v>
      </c>
      <c r="S42" s="78" t="e">
        <f ca="1">_xll.cfyql_SimpleQuoteSetValue(E42,R42/100,Trigger)</f>
        <v>#NAME?</v>
      </c>
      <c r="T42" s="129"/>
      <c r="V42" s="160"/>
    </row>
    <row r="43" spans="1:22" x14ac:dyDescent="0.2">
      <c r="A43" s="134"/>
      <c r="B43" s="45" t="str">
        <f t="shared" si="0"/>
        <v>3Y</v>
      </c>
      <c r="C43" s="45" t="str">
        <f t="shared" si="1"/>
        <v>3F</v>
      </c>
      <c r="D43" s="43" t="str">
        <f t="shared" si="2"/>
        <v>EUR3F3Y_Quote</v>
      </c>
      <c r="E43" s="43" t="e">
        <f ca="1">_xll.cfyql_SimpleQuote(D43,,RateTickValue,Permanent,Trigger,ObjectOverwrite)</f>
        <v>#NAME?</v>
      </c>
      <c r="F43" s="42" t="e">
        <f ca="1">_xll.ohRangeRetrieveError(E43)</f>
        <v>#NAME?</v>
      </c>
      <c r="G43" s="36"/>
      <c r="H43" s="161"/>
      <c r="I43" s="112"/>
      <c r="J43" s="137" t="s">
        <v>53</v>
      </c>
      <c r="K43" s="137" t="str">
        <f t="shared" si="6"/>
        <v>3F</v>
      </c>
      <c r="L43" s="139" t="str">
        <f t="shared" si="4"/>
        <v>EUR3F3Y</v>
      </c>
      <c r="M43" s="139" t="str">
        <v>EUR3F3Y=ICAP</v>
      </c>
      <c r="N43" s="78">
        <v>0.84399999999999997</v>
      </c>
      <c r="O43" s="111"/>
      <c r="P43" s="78">
        <v>0.84399999999999997</v>
      </c>
      <c r="Q43" s="111"/>
      <c r="R43" s="78">
        <v>0.84399999999999997</v>
      </c>
      <c r="S43" s="78" t="e">
        <f ca="1">_xll.cfyql_SimpleQuoteSetValue(E43,R43/100,Trigger)</f>
        <v>#NAME?</v>
      </c>
      <c r="T43" s="129"/>
      <c r="V43" s="160"/>
    </row>
    <row r="44" spans="1:22" x14ac:dyDescent="0.2">
      <c r="A44" s="134"/>
      <c r="B44" s="45" t="str">
        <f t="shared" si="0"/>
        <v>4Y</v>
      </c>
      <c r="C44" s="45" t="str">
        <f t="shared" si="1"/>
        <v>3F</v>
      </c>
      <c r="D44" s="43" t="str">
        <f t="shared" si="2"/>
        <v>EUR3F4Y_Quote</v>
      </c>
      <c r="E44" s="43" t="e">
        <f ca="1">_xll.cfyql_SimpleQuote(D44,,RateTickValue,Permanent,Trigger,ObjectOverwrite)</f>
        <v>#NAME?</v>
      </c>
      <c r="F44" s="42" t="e">
        <f ca="1">_xll.ohRangeRetrieveError(E44)</f>
        <v>#NAME?</v>
      </c>
      <c r="G44" s="36"/>
      <c r="H44" s="161"/>
      <c r="I44" s="112"/>
      <c r="J44" s="137" t="s">
        <v>52</v>
      </c>
      <c r="K44" s="137" t="str">
        <f t="shared" si="6"/>
        <v>3F</v>
      </c>
      <c r="L44" s="139" t="str">
        <f t="shared" si="4"/>
        <v>EUR3F4Y</v>
      </c>
      <c r="M44" s="139" t="str">
        <v>EUR3F4Y=ICAP</v>
      </c>
      <c r="N44" s="78">
        <v>0.9890000000000001</v>
      </c>
      <c r="O44" s="111"/>
      <c r="P44" s="78">
        <v>0.9890000000000001</v>
      </c>
      <c r="Q44" s="111"/>
      <c r="R44" s="78">
        <v>0.9890000000000001</v>
      </c>
      <c r="S44" s="78" t="e">
        <f ca="1">_xll.cfyql_SimpleQuoteSetValue(E44,R44/100,Trigger)</f>
        <v>#NAME?</v>
      </c>
      <c r="T44" s="129"/>
      <c r="V44" s="160"/>
    </row>
    <row r="45" spans="1:22" x14ac:dyDescent="0.2">
      <c r="A45" s="134"/>
      <c r="B45" s="45" t="str">
        <f t="shared" si="0"/>
        <v>5Y</v>
      </c>
      <c r="C45" s="45" t="str">
        <f t="shared" si="1"/>
        <v>3F</v>
      </c>
      <c r="D45" s="43" t="str">
        <f t="shared" si="2"/>
        <v>EUR3F5Y_Quote</v>
      </c>
      <c r="E45" s="43" t="e">
        <f ca="1">_xll.cfyql_SimpleQuote(D45,,RateTickValue,Permanent,Trigger,ObjectOverwrite)</f>
        <v>#NAME?</v>
      </c>
      <c r="F45" s="42" t="e">
        <f ca="1">_xll.ohRangeRetrieveError(E45)</f>
        <v>#NAME?</v>
      </c>
      <c r="G45" s="36"/>
      <c r="H45" s="161"/>
      <c r="I45" s="112"/>
      <c r="J45" s="137" t="s">
        <v>51</v>
      </c>
      <c r="K45" s="137" t="str">
        <f t="shared" si="6"/>
        <v>3F</v>
      </c>
      <c r="L45" s="139" t="str">
        <f t="shared" si="4"/>
        <v>EUR3F5Y</v>
      </c>
      <c r="M45" s="139" t="str">
        <v>EUR3F5Y=ICAP</v>
      </c>
      <c r="N45" s="78">
        <v>1.121</v>
      </c>
      <c r="O45" s="111"/>
      <c r="P45" s="78">
        <v>1.121</v>
      </c>
      <c r="Q45" s="111"/>
      <c r="R45" s="78">
        <v>1.121</v>
      </c>
      <c r="S45" s="78" t="e">
        <f ca="1">_xll.cfyql_SimpleQuoteSetValue(E45,R45/100,Trigger)</f>
        <v>#NAME?</v>
      </c>
      <c r="T45" s="129"/>
      <c r="V45" s="160"/>
    </row>
    <row r="46" spans="1:22" x14ac:dyDescent="0.2">
      <c r="A46" s="134"/>
      <c r="B46" s="45" t="str">
        <f t="shared" si="0"/>
        <v>6Y</v>
      </c>
      <c r="C46" s="45" t="str">
        <f t="shared" si="1"/>
        <v>3F</v>
      </c>
      <c r="D46" s="43" t="str">
        <f t="shared" si="2"/>
        <v>EUR3F6Y_Quote</v>
      </c>
      <c r="E46" s="43" t="e">
        <f ca="1">_xll.cfyql_SimpleQuote(D46,,RateTickValue,Permanent,Trigger,ObjectOverwrite)</f>
        <v>#NAME?</v>
      </c>
      <c r="F46" s="42" t="e">
        <f ca="1">_xll.ohRangeRetrieveError(E46)</f>
        <v>#NAME?</v>
      </c>
      <c r="G46" s="36"/>
      <c r="H46" s="161"/>
      <c r="I46" s="112"/>
      <c r="J46" s="137" t="s">
        <v>50</v>
      </c>
      <c r="K46" s="137" t="str">
        <f t="shared" si="6"/>
        <v>3F</v>
      </c>
      <c r="L46" s="139" t="str">
        <f t="shared" si="4"/>
        <v>EUR3F6Y</v>
      </c>
      <c r="M46" s="139" t="str">
        <v>EUR3F6Y=ICAP</v>
      </c>
      <c r="N46" s="78">
        <v>1.238</v>
      </c>
      <c r="O46" s="111"/>
      <c r="P46" s="78">
        <v>1.238</v>
      </c>
      <c r="Q46" s="111"/>
      <c r="R46" s="78">
        <v>1.238</v>
      </c>
      <c r="S46" s="78" t="e">
        <f ca="1">_xll.cfyql_SimpleQuoteSetValue(E46,R46/100,Trigger)</f>
        <v>#NAME?</v>
      </c>
      <c r="T46" s="129"/>
      <c r="V46" s="160"/>
    </row>
    <row r="47" spans="1:22" x14ac:dyDescent="0.2">
      <c r="A47" s="134"/>
      <c r="B47" s="45" t="str">
        <f t="shared" si="0"/>
        <v>7Y</v>
      </c>
      <c r="C47" s="45" t="str">
        <f t="shared" si="1"/>
        <v>3F</v>
      </c>
      <c r="D47" s="43" t="str">
        <f t="shared" si="2"/>
        <v>EUR3F7Y_Quote</v>
      </c>
      <c r="E47" s="43" t="e">
        <f ca="1">_xll.cfyql_SimpleQuote(D47,,RateTickValue,Permanent,Trigger,ObjectOverwrite)</f>
        <v>#NAME?</v>
      </c>
      <c r="F47" s="42" t="e">
        <f ca="1">_xll.ohRangeRetrieveError(E47)</f>
        <v>#NAME?</v>
      </c>
      <c r="G47" s="36"/>
      <c r="H47" s="161"/>
      <c r="I47" s="112"/>
      <c r="J47" s="137" t="s">
        <v>49</v>
      </c>
      <c r="K47" s="137" t="str">
        <f t="shared" si="6"/>
        <v>3F</v>
      </c>
      <c r="L47" s="139" t="str">
        <f t="shared" si="4"/>
        <v>EUR3F7Y</v>
      </c>
      <c r="M47" s="139" t="str">
        <v>EUR3F7Y=ICAP</v>
      </c>
      <c r="N47" s="78">
        <v>1.337</v>
      </c>
      <c r="O47" s="111"/>
      <c r="P47" s="78">
        <v>1.337</v>
      </c>
      <c r="Q47" s="111"/>
      <c r="R47" s="78">
        <v>1.337</v>
      </c>
      <c r="S47" s="78" t="e">
        <f ca="1">_xll.cfyql_SimpleQuoteSetValue(E47,R47/100,Trigger)</f>
        <v>#NAME?</v>
      </c>
      <c r="T47" s="129"/>
      <c r="V47" s="160"/>
    </row>
    <row r="48" spans="1:22" x14ac:dyDescent="0.2">
      <c r="A48" s="134"/>
      <c r="B48" s="45" t="str">
        <f t="shared" si="0"/>
        <v>8Y</v>
      </c>
      <c r="C48" s="45" t="str">
        <f t="shared" si="1"/>
        <v>3F</v>
      </c>
      <c r="D48" s="43" t="str">
        <f t="shared" si="2"/>
        <v>EUR3F8Y_Quote</v>
      </c>
      <c r="E48" s="43" t="e">
        <f ca="1">_xll.cfyql_SimpleQuote(D48,,RateTickValue,Permanent,Trigger,ObjectOverwrite)</f>
        <v>#NAME?</v>
      </c>
      <c r="F48" s="42" t="e">
        <f ca="1">_xll.ohRangeRetrieveError(E48)</f>
        <v>#NAME?</v>
      </c>
      <c r="G48" s="36"/>
      <c r="H48" s="161"/>
      <c r="I48" s="112"/>
      <c r="J48" s="137" t="s">
        <v>48</v>
      </c>
      <c r="K48" s="137" t="str">
        <f t="shared" si="6"/>
        <v>3F</v>
      </c>
      <c r="L48" s="139" t="str">
        <f t="shared" si="4"/>
        <v>EUR3F8Y</v>
      </c>
      <c r="M48" s="139" t="str">
        <v>EUR3F8Y=ICAP</v>
      </c>
      <c r="N48" s="78">
        <v>1.423</v>
      </c>
      <c r="O48" s="111"/>
      <c r="P48" s="78">
        <v>1.423</v>
      </c>
      <c r="Q48" s="111"/>
      <c r="R48" s="78">
        <v>1.423</v>
      </c>
      <c r="S48" s="78" t="e">
        <f ca="1">_xll.cfyql_SimpleQuoteSetValue(E48,R48/100,Trigger)</f>
        <v>#NAME?</v>
      </c>
      <c r="T48" s="129"/>
      <c r="V48" s="160"/>
    </row>
    <row r="49" spans="1:22" x14ac:dyDescent="0.2">
      <c r="A49" s="134"/>
      <c r="B49" s="45" t="str">
        <f t="shared" si="0"/>
        <v>9Y</v>
      </c>
      <c r="C49" s="45" t="str">
        <f t="shared" si="1"/>
        <v>3F</v>
      </c>
      <c r="D49" s="43" t="str">
        <f t="shared" si="2"/>
        <v>EUR3F9Y_Quote</v>
      </c>
      <c r="E49" s="43" t="e">
        <f ca="1">_xll.cfyql_SimpleQuote(D49,,RateTickValue,Permanent,Trigger,ObjectOverwrite)</f>
        <v>#NAME?</v>
      </c>
      <c r="F49" s="42" t="e">
        <f ca="1">_xll.ohRangeRetrieveError(E49)</f>
        <v>#NAME?</v>
      </c>
      <c r="G49" s="36"/>
      <c r="H49" s="161"/>
      <c r="I49" s="112"/>
      <c r="J49" s="137" t="s">
        <v>47</v>
      </c>
      <c r="K49" s="137" t="str">
        <f t="shared" si="6"/>
        <v>3F</v>
      </c>
      <c r="L49" s="139" t="str">
        <f t="shared" si="4"/>
        <v>EUR3F9Y</v>
      </c>
      <c r="M49" s="139" t="str">
        <v>EUR3F9Y=ICAP</v>
      </c>
      <c r="N49" s="78">
        <v>1.498</v>
      </c>
      <c r="O49" s="111"/>
      <c r="P49" s="78">
        <v>1.498</v>
      </c>
      <c r="Q49" s="111"/>
      <c r="R49" s="78">
        <v>1.498</v>
      </c>
      <c r="S49" s="78" t="e">
        <f ca="1">_xll.cfyql_SimpleQuoteSetValue(E49,R49/100,Trigger)</f>
        <v>#NAME?</v>
      </c>
      <c r="T49" s="129"/>
      <c r="V49" s="160"/>
    </row>
    <row r="50" spans="1:22" x14ac:dyDescent="0.2">
      <c r="A50" s="134"/>
      <c r="B50" s="45" t="str">
        <f t="shared" si="0"/>
        <v>10Y</v>
      </c>
      <c r="C50" s="45" t="str">
        <f t="shared" si="1"/>
        <v>3F</v>
      </c>
      <c r="D50" s="43" t="str">
        <f t="shared" si="2"/>
        <v>EUR3F10Y_Quote</v>
      </c>
      <c r="E50" s="43" t="e">
        <f ca="1">_xll.cfyql_SimpleQuote(D50,,RateTickValue,Permanent,Trigger,ObjectOverwrite)</f>
        <v>#NAME?</v>
      </c>
      <c r="F50" s="42" t="e">
        <f ca="1">_xll.ohRangeRetrieveError(E50)</f>
        <v>#NAME?</v>
      </c>
      <c r="G50" s="36"/>
      <c r="H50" s="161"/>
      <c r="I50" s="112"/>
      <c r="J50" s="137" t="s">
        <v>46</v>
      </c>
      <c r="K50" s="137" t="str">
        <f t="shared" si="6"/>
        <v>3F</v>
      </c>
      <c r="L50" s="139" t="str">
        <f t="shared" si="4"/>
        <v>EUR3F10Y</v>
      </c>
      <c r="M50" s="139" t="str">
        <v>EUR3F10Y=ICAP</v>
      </c>
      <c r="N50" s="78">
        <v>1.5620000000000001</v>
      </c>
      <c r="O50" s="111"/>
      <c r="P50" s="78">
        <v>1.5620000000000001</v>
      </c>
      <c r="Q50" s="111"/>
      <c r="R50" s="78">
        <v>1.5620000000000001</v>
      </c>
      <c r="S50" s="78" t="e">
        <f ca="1">_xll.cfyql_SimpleQuoteSetValue(E50,R50/100,Trigger)</f>
        <v>#NAME?</v>
      </c>
      <c r="T50" s="129"/>
      <c r="V50" s="160"/>
    </row>
    <row r="51" spans="1:22" x14ac:dyDescent="0.2">
      <c r="A51" s="134"/>
      <c r="B51" s="45" t="str">
        <f t="shared" si="0"/>
        <v>11Y</v>
      </c>
      <c r="C51" s="45" t="str">
        <f t="shared" si="1"/>
        <v>3F</v>
      </c>
      <c r="D51" s="43" t="str">
        <f t="shared" si="2"/>
        <v>EUR3F11Y_Quote</v>
      </c>
      <c r="E51" s="43" t="e">
        <f ca="1">_xll.cfyql_SimpleQuote(D51,,RateTickValue,Permanent,Trigger,ObjectOverwrite)</f>
        <v>#NAME?</v>
      </c>
      <c r="F51" s="42" t="e">
        <f ca="1">_xll.ohRangeRetrieveError(E51)</f>
        <v>#NAME?</v>
      </c>
      <c r="G51" s="36"/>
      <c r="H51" s="161"/>
      <c r="I51" s="112"/>
      <c r="J51" s="137" t="s">
        <v>45</v>
      </c>
      <c r="K51" s="137" t="str">
        <f t="shared" si="6"/>
        <v>3F</v>
      </c>
      <c r="L51" s="139" t="str">
        <f t="shared" si="4"/>
        <v>EUR3F11Y</v>
      </c>
      <c r="M51" s="139" t="str">
        <v>EUR3F11Y=ICAP</v>
      </c>
      <c r="N51" s="78">
        <v>1.6139999999999999</v>
      </c>
      <c r="O51" s="111"/>
      <c r="P51" s="78">
        <v>1.6139999999999999</v>
      </c>
      <c r="Q51" s="111"/>
      <c r="R51" s="78">
        <v>1.6139999999999999</v>
      </c>
      <c r="S51" s="78" t="e">
        <f ca="1">_xll.cfyql_SimpleQuoteSetValue(E51,R51/100,Trigger)</f>
        <v>#NAME?</v>
      </c>
      <c r="T51" s="129"/>
      <c r="V51" s="160"/>
    </row>
    <row r="52" spans="1:22" x14ac:dyDescent="0.2">
      <c r="A52" s="134"/>
      <c r="B52" s="45" t="str">
        <f t="shared" si="0"/>
        <v>12Y</v>
      </c>
      <c r="C52" s="45" t="str">
        <f t="shared" si="1"/>
        <v>3F</v>
      </c>
      <c r="D52" s="43" t="str">
        <f t="shared" si="2"/>
        <v>EUR3F12Y_Quote</v>
      </c>
      <c r="E52" s="43" t="e">
        <f ca="1">_xll.cfyql_SimpleQuote(D52,,RateTickValue,Permanent,Trigger,ObjectOverwrite)</f>
        <v>#NAME?</v>
      </c>
      <c r="F52" s="42" t="e">
        <f ca="1">_xll.ohRangeRetrieveError(E52)</f>
        <v>#NAME?</v>
      </c>
      <c r="G52" s="36"/>
      <c r="H52" s="161"/>
      <c r="I52" s="112"/>
      <c r="J52" s="137" t="s">
        <v>44</v>
      </c>
      <c r="K52" s="137" t="str">
        <f t="shared" si="6"/>
        <v>3F</v>
      </c>
      <c r="L52" s="139" t="str">
        <f t="shared" si="4"/>
        <v>EUR3F12Y</v>
      </c>
      <c r="M52" s="139" t="str">
        <v>EUR3F12Y=ICAP</v>
      </c>
      <c r="N52" s="78">
        <v>1.6579999999999999</v>
      </c>
      <c r="O52" s="111"/>
      <c r="P52" s="78">
        <v>1.6579999999999999</v>
      </c>
      <c r="Q52" s="111"/>
      <c r="R52" s="78">
        <v>1.6579999999999999</v>
      </c>
      <c r="S52" s="78" t="e">
        <f ca="1">_xll.cfyql_SimpleQuoteSetValue(E52,R52/100,Trigger)</f>
        <v>#NAME?</v>
      </c>
      <c r="T52" s="129"/>
      <c r="V52" s="160"/>
    </row>
    <row r="53" spans="1:22" x14ac:dyDescent="0.2">
      <c r="A53" s="134"/>
      <c r="B53" s="45" t="str">
        <f t="shared" si="0"/>
        <v>13Y</v>
      </c>
      <c r="C53" s="45" t="str">
        <f t="shared" si="1"/>
        <v>3F</v>
      </c>
      <c r="D53" s="43" t="str">
        <f t="shared" si="2"/>
        <v>EUR3F13Y_Quote</v>
      </c>
      <c r="E53" s="43" t="e">
        <f ca="1">_xll.cfyql_SimpleQuote(D53,,RateTickValue,Permanent,Trigger,ObjectOverwrite)</f>
        <v>#NAME?</v>
      </c>
      <c r="F53" s="42" t="e">
        <f ca="1">_xll.ohRangeRetrieveError(E53)</f>
        <v>#NAME?</v>
      </c>
      <c r="G53" s="36"/>
      <c r="H53" s="161"/>
      <c r="I53" s="112"/>
      <c r="J53" s="137" t="s">
        <v>43</v>
      </c>
      <c r="K53" s="137" t="str">
        <f t="shared" si="6"/>
        <v>3F</v>
      </c>
      <c r="L53" s="139" t="str">
        <f t="shared" si="4"/>
        <v>EUR3F13Y</v>
      </c>
      <c r="M53" s="139" t="str">
        <v>EUR3F13Y=ICAP</v>
      </c>
      <c r="N53" s="78">
        <v>1.6910000000000001</v>
      </c>
      <c r="O53" s="111"/>
      <c r="P53" s="78">
        <v>1.6910000000000001</v>
      </c>
      <c r="Q53" s="111"/>
      <c r="R53" s="78">
        <v>1.6910000000000001</v>
      </c>
      <c r="S53" s="78" t="e">
        <f ca="1">_xll.cfyql_SimpleQuoteSetValue(E53,R53/100,Trigger)</f>
        <v>#NAME?</v>
      </c>
      <c r="T53" s="129"/>
      <c r="V53" s="160"/>
    </row>
    <row r="54" spans="1:22" x14ac:dyDescent="0.2">
      <c r="A54" s="134"/>
      <c r="B54" s="45" t="str">
        <f t="shared" si="0"/>
        <v>14Y</v>
      </c>
      <c r="C54" s="45" t="str">
        <f t="shared" si="1"/>
        <v>3F</v>
      </c>
      <c r="D54" s="43" t="str">
        <f t="shared" si="2"/>
        <v>EUR3F14Y_Quote</v>
      </c>
      <c r="E54" s="43" t="e">
        <f ca="1">_xll.cfyql_SimpleQuote(D54,,RateTickValue,Permanent,Trigger,ObjectOverwrite)</f>
        <v>#NAME?</v>
      </c>
      <c r="F54" s="42" t="e">
        <f ca="1">_xll.ohRangeRetrieveError(E54)</f>
        <v>#NAME?</v>
      </c>
      <c r="G54" s="36"/>
      <c r="H54" s="161"/>
      <c r="I54" s="112"/>
      <c r="J54" s="137" t="s">
        <v>42</v>
      </c>
      <c r="K54" s="137" t="str">
        <f t="shared" si="6"/>
        <v>3F</v>
      </c>
      <c r="L54" s="139" t="str">
        <f t="shared" si="4"/>
        <v>EUR3F14Y</v>
      </c>
      <c r="M54" s="139" t="str">
        <v>EUR3F14Y=ICAP</v>
      </c>
      <c r="N54" s="78">
        <v>1.72</v>
      </c>
      <c r="O54" s="111"/>
      <c r="P54" s="78">
        <v>1.72</v>
      </c>
      <c r="Q54" s="111"/>
      <c r="R54" s="78">
        <v>1.72</v>
      </c>
      <c r="S54" s="78" t="e">
        <f ca="1">_xll.cfyql_SimpleQuoteSetValue(E54,R54/100,Trigger)</f>
        <v>#NAME?</v>
      </c>
      <c r="T54" s="129"/>
      <c r="V54" s="160"/>
    </row>
    <row r="55" spans="1:22" x14ac:dyDescent="0.2">
      <c r="A55" s="134"/>
      <c r="B55" s="45" t="str">
        <f t="shared" si="0"/>
        <v>15Y</v>
      </c>
      <c r="C55" s="45" t="str">
        <f t="shared" si="1"/>
        <v>3F</v>
      </c>
      <c r="D55" s="43" t="str">
        <f t="shared" si="2"/>
        <v>EUR3F15Y_Quote</v>
      </c>
      <c r="E55" s="43" t="e">
        <f ca="1">_xll.cfyql_SimpleQuote(D55,,RateTickValue,Permanent,Trigger,ObjectOverwrite)</f>
        <v>#NAME?</v>
      </c>
      <c r="F55" s="42" t="e">
        <f ca="1">_xll.ohRangeRetrieveError(E55)</f>
        <v>#NAME?</v>
      </c>
      <c r="G55" s="36"/>
      <c r="H55" s="161"/>
      <c r="I55" s="112"/>
      <c r="J55" s="137" t="s">
        <v>41</v>
      </c>
      <c r="K55" s="137" t="str">
        <f t="shared" si="6"/>
        <v>3F</v>
      </c>
      <c r="L55" s="139" t="str">
        <f t="shared" si="4"/>
        <v>EUR3F15Y</v>
      </c>
      <c r="M55" s="139" t="str">
        <v>EUR3F15Y=ICAP</v>
      </c>
      <c r="N55" s="78">
        <v>1.7389999999999999</v>
      </c>
      <c r="O55" s="111"/>
      <c r="P55" s="78">
        <v>1.7389999999999999</v>
      </c>
      <c r="Q55" s="111"/>
      <c r="R55" s="78">
        <v>1.7389999999999999</v>
      </c>
      <c r="S55" s="78" t="e">
        <f ca="1">_xll.cfyql_SimpleQuoteSetValue(E55,R55/100,Trigger)</f>
        <v>#NAME?</v>
      </c>
      <c r="T55" s="129"/>
      <c r="V55" s="160"/>
    </row>
    <row r="56" spans="1:22" x14ac:dyDescent="0.2">
      <c r="A56" s="134"/>
      <c r="B56" s="45" t="str">
        <f t="shared" si="0"/>
        <v>20Y</v>
      </c>
      <c r="C56" s="45" t="str">
        <f t="shared" si="1"/>
        <v>3F</v>
      </c>
      <c r="D56" s="43" t="str">
        <f t="shared" si="2"/>
        <v>EUR3F20Y_Quote</v>
      </c>
      <c r="E56" s="43" t="e">
        <f ca="1">_xll.cfyql_SimpleQuote(D56,,RateTickValue,Permanent,Trigger,ObjectOverwrite)</f>
        <v>#NAME?</v>
      </c>
      <c r="F56" s="42" t="e">
        <f ca="1">_xll.ohRangeRetrieveError(E56)</f>
        <v>#NAME?</v>
      </c>
      <c r="G56" s="36"/>
      <c r="H56" s="161"/>
      <c r="I56" s="112"/>
      <c r="J56" s="137" t="s">
        <v>36</v>
      </c>
      <c r="K56" s="137" t="str">
        <f t="shared" si="6"/>
        <v>3F</v>
      </c>
      <c r="L56" s="139" t="str">
        <f t="shared" si="4"/>
        <v>EUR3F20Y</v>
      </c>
      <c r="M56" s="139" t="str">
        <v>EUR3F20Y=ICAP</v>
      </c>
      <c r="N56" s="78">
        <v>1.7570000000000001</v>
      </c>
      <c r="O56" s="111"/>
      <c r="P56" s="78">
        <v>1.7570000000000001</v>
      </c>
      <c r="Q56" s="111"/>
      <c r="R56" s="78">
        <v>1.7570000000000001</v>
      </c>
      <c r="S56" s="78" t="e">
        <f ca="1">_xll.cfyql_SimpleQuoteSetValue(E56,R56/100,Trigger)</f>
        <v>#NAME?</v>
      </c>
      <c r="T56" s="129"/>
      <c r="V56" s="160"/>
    </row>
    <row r="57" spans="1:22" x14ac:dyDescent="0.2">
      <c r="A57" s="134"/>
      <c r="B57" s="45" t="str">
        <f t="shared" si="0"/>
        <v>25Y</v>
      </c>
      <c r="C57" s="45" t="str">
        <f t="shared" si="1"/>
        <v>3F</v>
      </c>
      <c r="D57" s="43" t="str">
        <f t="shared" si="2"/>
        <v>EUR3F25Y_Quote</v>
      </c>
      <c r="E57" s="43" t="e">
        <f ca="1">_xll.cfyql_SimpleQuote(D57,,RateTickValue,Permanent,Trigger,ObjectOverwrite)</f>
        <v>#NAME?</v>
      </c>
      <c r="F57" s="42" t="e">
        <f ca="1">_xll.ohRangeRetrieveError(E57)</f>
        <v>#NAME?</v>
      </c>
      <c r="G57" s="36"/>
      <c r="H57" s="161"/>
      <c r="I57" s="112"/>
      <c r="J57" s="137" t="s">
        <v>31</v>
      </c>
      <c r="K57" s="137" t="str">
        <f t="shared" si="6"/>
        <v>3F</v>
      </c>
      <c r="L57" s="139" t="str">
        <f t="shared" si="4"/>
        <v>EUR3F25Y</v>
      </c>
      <c r="M57" s="139" t="str">
        <v>EUR3F25Y=ICAP</v>
      </c>
      <c r="N57" s="78">
        <v>1.728</v>
      </c>
      <c r="O57" s="111"/>
      <c r="P57" s="78">
        <v>1.728</v>
      </c>
      <c r="Q57" s="111"/>
      <c r="R57" s="78">
        <v>1.728</v>
      </c>
      <c r="S57" s="78" t="e">
        <f ca="1">_xll.cfyql_SimpleQuoteSetValue(E57,R57/100,Trigger)</f>
        <v>#NAME?</v>
      </c>
      <c r="T57" s="129"/>
      <c r="V57" s="160"/>
    </row>
    <row r="58" spans="1:22" x14ac:dyDescent="0.2">
      <c r="A58" s="134"/>
      <c r="B58" s="45" t="str">
        <f t="shared" si="0"/>
        <v>30Y</v>
      </c>
      <c r="C58" s="45" t="str">
        <f t="shared" si="1"/>
        <v>3F</v>
      </c>
      <c r="D58" s="43" t="str">
        <f t="shared" si="2"/>
        <v>EUR3F30Y_Quote</v>
      </c>
      <c r="E58" s="43" t="e">
        <f ca="1">_xll.cfyql_SimpleQuote(D58,,RateTickValue,Permanent,Trigger,ObjectOverwrite)</f>
        <v>#NAME?</v>
      </c>
      <c r="F58" s="42" t="e">
        <f ca="1">_xll.ohRangeRetrieveError(E58)</f>
        <v>#NAME?</v>
      </c>
      <c r="G58" s="36"/>
      <c r="H58" s="161"/>
      <c r="I58" s="112"/>
      <c r="J58" s="130" t="s">
        <v>26</v>
      </c>
      <c r="K58" s="130" t="str">
        <f t="shared" si="6"/>
        <v>3F</v>
      </c>
      <c r="L58" s="132" t="str">
        <f t="shared" si="4"/>
        <v>EUR3F30Y</v>
      </c>
      <c r="M58" s="132" t="str">
        <v>EUR3F30Y=ICAP</v>
      </c>
      <c r="N58" s="65">
        <v>1.706</v>
      </c>
      <c r="O58" s="111"/>
      <c r="P58" s="65">
        <v>1.706</v>
      </c>
      <c r="Q58" s="111"/>
      <c r="R58" s="65">
        <v>1.706</v>
      </c>
      <c r="S58" s="65" t="e">
        <f ca="1">_xll.cfyql_SimpleQuoteSetValue(E58,R58/100,Trigger)</f>
        <v>#NAME?</v>
      </c>
      <c r="T58" s="129"/>
      <c r="V58" s="160"/>
    </row>
    <row r="59" spans="1:22" x14ac:dyDescent="0.2">
      <c r="A59" s="134"/>
      <c r="B59" s="45" t="str">
        <f t="shared" si="0"/>
        <v>1Y</v>
      </c>
      <c r="C59" s="45" t="str">
        <f t="shared" si="1"/>
        <v>4F</v>
      </c>
      <c r="D59" s="43" t="str">
        <f t="shared" si="2"/>
        <v>EUR4F1Y_Quote</v>
      </c>
      <c r="E59" s="43" t="e">
        <f ca="1">_xll.cfyql_SimpleQuote(D59,,RateTickValue,Permanent,Trigger,ObjectOverwrite)</f>
        <v>#NAME?</v>
      </c>
      <c r="F59" s="42" t="e">
        <f ca="1">_xll.ohRangeRetrieveError(E59)</f>
        <v>#NAME?</v>
      </c>
      <c r="G59" s="36"/>
      <c r="H59" s="161"/>
      <c r="I59" s="134">
        <v>4</v>
      </c>
      <c r="J59" s="163" t="s">
        <v>58</v>
      </c>
      <c r="K59" s="163" t="str">
        <f t="shared" ref="K59:K76" si="7">$I$59&amp;"F"</f>
        <v>4F</v>
      </c>
      <c r="L59" s="162" t="str">
        <f t="shared" si="4"/>
        <v>EUR4F1Y</v>
      </c>
      <c r="M59" s="162" t="str">
        <v>EUR4F1Y=ICAP</v>
      </c>
      <c r="N59" s="89">
        <v>0.84600000000000009</v>
      </c>
      <c r="O59" s="111"/>
      <c r="P59" s="89">
        <v>0.84600000000000009</v>
      </c>
      <c r="Q59" s="111"/>
      <c r="R59" s="89">
        <v>0.84600000000000009</v>
      </c>
      <c r="S59" s="89" t="e">
        <f ca="1">_xll.cfyql_SimpleQuoteSetValue(E59,R59/100,Trigger)</f>
        <v>#NAME?</v>
      </c>
      <c r="T59" s="129"/>
      <c r="V59" s="160"/>
    </row>
    <row r="60" spans="1:22" x14ac:dyDescent="0.2">
      <c r="A60" s="134"/>
      <c r="B60" s="45" t="str">
        <f t="shared" si="0"/>
        <v>2Y</v>
      </c>
      <c r="C60" s="45" t="str">
        <f t="shared" si="1"/>
        <v>4F</v>
      </c>
      <c r="D60" s="43" t="str">
        <f t="shared" si="2"/>
        <v>EUR4F2Y_Quote</v>
      </c>
      <c r="E60" s="43" t="e">
        <f ca="1">_xll.cfyql_SimpleQuote(D60,,RateTickValue,Permanent,Trigger,ObjectOverwrite)</f>
        <v>#NAME?</v>
      </c>
      <c r="F60" s="42" t="e">
        <f ca="1">_xll.ohRangeRetrieveError(E60)</f>
        <v>#NAME?</v>
      </c>
      <c r="G60" s="36"/>
      <c r="H60" s="161"/>
      <c r="I60" s="112"/>
      <c r="J60" s="137" t="s">
        <v>54</v>
      </c>
      <c r="K60" s="137" t="str">
        <f t="shared" si="7"/>
        <v>4F</v>
      </c>
      <c r="L60" s="139" t="str">
        <f t="shared" si="4"/>
        <v>EUR4F2Y</v>
      </c>
      <c r="M60" s="139" t="str">
        <v>EUR4F2Y=ICAP</v>
      </c>
      <c r="N60" s="78">
        <v>0.99399999999999999</v>
      </c>
      <c r="O60" s="111"/>
      <c r="P60" s="78">
        <v>0.99399999999999999</v>
      </c>
      <c r="Q60" s="111"/>
      <c r="R60" s="78">
        <v>0.99399999999999999</v>
      </c>
      <c r="S60" s="78" t="e">
        <f ca="1">_xll.cfyql_SimpleQuoteSetValue(E60,R60/100,Trigger)</f>
        <v>#NAME?</v>
      </c>
      <c r="T60" s="129"/>
      <c r="V60" s="160"/>
    </row>
    <row r="61" spans="1:22" x14ac:dyDescent="0.2">
      <c r="A61" s="134"/>
      <c r="B61" s="45" t="str">
        <f t="shared" si="0"/>
        <v>3Y</v>
      </c>
      <c r="C61" s="45" t="str">
        <f t="shared" si="1"/>
        <v>4F</v>
      </c>
      <c r="D61" s="43" t="str">
        <f t="shared" si="2"/>
        <v>EUR4F3Y_Quote</v>
      </c>
      <c r="E61" s="43" t="e">
        <f ca="1">_xll.cfyql_SimpleQuote(D61,,RateTickValue,Permanent,Trigger,ObjectOverwrite)</f>
        <v>#NAME?</v>
      </c>
      <c r="F61" s="42" t="e">
        <f ca="1">_xll.ohRangeRetrieveError(E61)</f>
        <v>#NAME?</v>
      </c>
      <c r="G61" s="36"/>
      <c r="H61" s="161"/>
      <c r="I61" s="112"/>
      <c r="J61" s="137" t="s">
        <v>53</v>
      </c>
      <c r="K61" s="137" t="str">
        <f t="shared" si="7"/>
        <v>4F</v>
      </c>
      <c r="L61" s="139" t="str">
        <f t="shared" si="4"/>
        <v>EUR4F3Y</v>
      </c>
      <c r="M61" s="139" t="str">
        <v>EUR4F3Y=ICAP</v>
      </c>
      <c r="N61" s="78">
        <v>1.139</v>
      </c>
      <c r="O61" s="111"/>
      <c r="P61" s="78">
        <v>1.139</v>
      </c>
      <c r="Q61" s="111"/>
      <c r="R61" s="78">
        <v>1.139</v>
      </c>
      <c r="S61" s="78" t="e">
        <f ca="1">_xll.cfyql_SimpleQuoteSetValue(E61,R61/100,Trigger)</f>
        <v>#NAME?</v>
      </c>
      <c r="T61" s="129"/>
      <c r="V61" s="160"/>
    </row>
    <row r="62" spans="1:22" x14ac:dyDescent="0.2">
      <c r="A62" s="134"/>
      <c r="B62" s="45" t="str">
        <f t="shared" si="0"/>
        <v>4Y</v>
      </c>
      <c r="C62" s="45" t="str">
        <f t="shared" si="1"/>
        <v>4F</v>
      </c>
      <c r="D62" s="43" t="str">
        <f t="shared" si="2"/>
        <v>EUR4F4Y_Quote</v>
      </c>
      <c r="E62" s="43" t="e">
        <f ca="1">_xll.cfyql_SimpleQuote(D62,,RateTickValue,Permanent,Trigger,ObjectOverwrite)</f>
        <v>#NAME?</v>
      </c>
      <c r="F62" s="42" t="e">
        <f ca="1">_xll.ohRangeRetrieveError(E62)</f>
        <v>#NAME?</v>
      </c>
      <c r="G62" s="36"/>
      <c r="H62" s="161"/>
      <c r="I62" s="112"/>
      <c r="J62" s="137" t="s">
        <v>52</v>
      </c>
      <c r="K62" s="137" t="str">
        <f t="shared" si="7"/>
        <v>4F</v>
      </c>
      <c r="L62" s="139" t="str">
        <f t="shared" si="4"/>
        <v>EUR4F4Y</v>
      </c>
      <c r="M62" s="139" t="str">
        <v>EUR4F4Y=ICAP</v>
      </c>
      <c r="N62" s="78">
        <v>1.268</v>
      </c>
      <c r="O62" s="111"/>
      <c r="P62" s="78">
        <v>1.268</v>
      </c>
      <c r="Q62" s="111"/>
      <c r="R62" s="78">
        <v>1.268</v>
      </c>
      <c r="S62" s="78" t="e">
        <f ca="1">_xll.cfyql_SimpleQuoteSetValue(E62,R62/100,Trigger)</f>
        <v>#NAME?</v>
      </c>
      <c r="T62" s="129"/>
      <c r="V62" s="160"/>
    </row>
    <row r="63" spans="1:22" x14ac:dyDescent="0.2">
      <c r="A63" s="134"/>
      <c r="B63" s="45" t="str">
        <f t="shared" si="0"/>
        <v>5Y</v>
      </c>
      <c r="C63" s="45" t="str">
        <f t="shared" si="1"/>
        <v>4F</v>
      </c>
      <c r="D63" s="43" t="str">
        <f t="shared" si="2"/>
        <v>EUR4F5Y_Quote</v>
      </c>
      <c r="E63" s="43" t="e">
        <f ca="1">_xll.cfyql_SimpleQuote(D63,,RateTickValue,Permanent,Trigger,ObjectOverwrite)</f>
        <v>#NAME?</v>
      </c>
      <c r="F63" s="42" t="e">
        <f ca="1">_xll.ohRangeRetrieveError(E63)</f>
        <v>#NAME?</v>
      </c>
      <c r="G63" s="36"/>
      <c r="H63" s="161"/>
      <c r="I63" s="112"/>
      <c r="J63" s="137" t="s">
        <v>51</v>
      </c>
      <c r="K63" s="137" t="str">
        <f t="shared" si="7"/>
        <v>4F</v>
      </c>
      <c r="L63" s="139" t="str">
        <f t="shared" si="4"/>
        <v>EUR4F5Y</v>
      </c>
      <c r="M63" s="139" t="str">
        <v>EUR4F5Y=ICAP</v>
      </c>
      <c r="N63" s="78">
        <v>1.381</v>
      </c>
      <c r="O63" s="111"/>
      <c r="P63" s="78">
        <v>1.381</v>
      </c>
      <c r="Q63" s="111"/>
      <c r="R63" s="78">
        <v>1.381</v>
      </c>
      <c r="S63" s="78" t="e">
        <f ca="1">_xll.cfyql_SimpleQuoteSetValue(E63,R63/100,Trigger)</f>
        <v>#NAME?</v>
      </c>
      <c r="T63" s="129"/>
      <c r="V63" s="160"/>
    </row>
    <row r="64" spans="1:22" x14ac:dyDescent="0.2">
      <c r="A64" s="134"/>
      <c r="B64" s="45" t="str">
        <f t="shared" si="0"/>
        <v>6Y</v>
      </c>
      <c r="C64" s="45" t="str">
        <f t="shared" si="1"/>
        <v>4F</v>
      </c>
      <c r="D64" s="43" t="str">
        <f t="shared" si="2"/>
        <v>EUR4F6Y_Quote</v>
      </c>
      <c r="E64" s="43" t="e">
        <f ca="1">_xll.cfyql_SimpleQuote(D64,,RateTickValue,Permanent,Trigger,ObjectOverwrite)</f>
        <v>#NAME?</v>
      </c>
      <c r="F64" s="42" t="e">
        <f ca="1">_xll.ohRangeRetrieveError(E64)</f>
        <v>#NAME?</v>
      </c>
      <c r="G64" s="36"/>
      <c r="H64" s="161"/>
      <c r="I64" s="112"/>
      <c r="J64" s="137" t="s">
        <v>50</v>
      </c>
      <c r="K64" s="137" t="str">
        <f t="shared" si="7"/>
        <v>4F</v>
      </c>
      <c r="L64" s="139" t="str">
        <f t="shared" si="4"/>
        <v>EUR4F6Y</v>
      </c>
      <c r="M64" s="139" t="str">
        <v>EUR4F6Y=ICAP</v>
      </c>
      <c r="N64" s="78">
        <v>1.4730000000000001</v>
      </c>
      <c r="O64" s="111"/>
      <c r="P64" s="78">
        <v>1.4730000000000001</v>
      </c>
      <c r="Q64" s="111"/>
      <c r="R64" s="78">
        <v>1.4730000000000001</v>
      </c>
      <c r="S64" s="78" t="e">
        <f ca="1">_xll.cfyql_SimpleQuoteSetValue(E64,R64/100,Trigger)</f>
        <v>#NAME?</v>
      </c>
      <c r="T64" s="129"/>
      <c r="V64" s="160"/>
    </row>
    <row r="65" spans="1:22" x14ac:dyDescent="0.2">
      <c r="A65" s="134"/>
      <c r="B65" s="45" t="str">
        <f t="shared" si="0"/>
        <v>7Y</v>
      </c>
      <c r="C65" s="45" t="str">
        <f t="shared" si="1"/>
        <v>4F</v>
      </c>
      <c r="D65" s="43" t="str">
        <f t="shared" si="2"/>
        <v>EUR4F7Y_Quote</v>
      </c>
      <c r="E65" s="43" t="e">
        <f ca="1">_xll.cfyql_SimpleQuote(D65,,RateTickValue,Permanent,Trigger,ObjectOverwrite)</f>
        <v>#NAME?</v>
      </c>
      <c r="F65" s="42" t="e">
        <f ca="1">_xll.ohRangeRetrieveError(E65)</f>
        <v>#NAME?</v>
      </c>
      <c r="G65" s="36"/>
      <c r="H65" s="161"/>
      <c r="I65" s="112"/>
      <c r="J65" s="137" t="s">
        <v>49</v>
      </c>
      <c r="K65" s="137" t="str">
        <f t="shared" si="7"/>
        <v>4F</v>
      </c>
      <c r="L65" s="139" t="str">
        <f t="shared" si="4"/>
        <v>EUR4F7Y</v>
      </c>
      <c r="M65" s="139" t="str">
        <v>EUR4F7Y=ICAP</v>
      </c>
      <c r="N65" s="78">
        <v>1.554</v>
      </c>
      <c r="O65" s="111"/>
      <c r="P65" s="78">
        <v>1.554</v>
      </c>
      <c r="Q65" s="111"/>
      <c r="R65" s="78">
        <v>1.554</v>
      </c>
      <c r="S65" s="78" t="e">
        <f ca="1">_xll.cfyql_SimpleQuoteSetValue(E65,R65/100,Trigger)</f>
        <v>#NAME?</v>
      </c>
      <c r="T65" s="129"/>
      <c r="V65" s="160"/>
    </row>
    <row r="66" spans="1:22" x14ac:dyDescent="0.2">
      <c r="A66" s="134"/>
      <c r="B66" s="45" t="str">
        <f t="shared" si="0"/>
        <v>8Y</v>
      </c>
      <c r="C66" s="45" t="str">
        <f t="shared" si="1"/>
        <v>4F</v>
      </c>
      <c r="D66" s="43" t="str">
        <f t="shared" si="2"/>
        <v>EUR4F8Y_Quote</v>
      </c>
      <c r="E66" s="43" t="e">
        <f ca="1">_xll.cfyql_SimpleQuote(D66,,RateTickValue,Permanent,Trigger,ObjectOverwrite)</f>
        <v>#NAME?</v>
      </c>
      <c r="F66" s="42" t="e">
        <f ca="1">_xll.ohRangeRetrieveError(E66)</f>
        <v>#NAME?</v>
      </c>
      <c r="G66" s="36"/>
      <c r="H66" s="161"/>
      <c r="I66" s="112"/>
      <c r="J66" s="137" t="s">
        <v>48</v>
      </c>
      <c r="K66" s="137" t="str">
        <f t="shared" si="7"/>
        <v>4F</v>
      </c>
      <c r="L66" s="139" t="str">
        <f t="shared" si="4"/>
        <v>EUR4F8Y</v>
      </c>
      <c r="M66" s="139" t="str">
        <v>EUR4F8Y=ICAP</v>
      </c>
      <c r="N66" s="78">
        <v>1.6240000000000001</v>
      </c>
      <c r="O66" s="111"/>
      <c r="P66" s="78">
        <v>1.6240000000000001</v>
      </c>
      <c r="Q66" s="111"/>
      <c r="R66" s="78">
        <v>1.6240000000000001</v>
      </c>
      <c r="S66" s="78" t="e">
        <f ca="1">_xll.cfyql_SimpleQuoteSetValue(E66,R66/100,Trigger)</f>
        <v>#NAME?</v>
      </c>
      <c r="T66" s="129"/>
      <c r="V66" s="160"/>
    </row>
    <row r="67" spans="1:22" x14ac:dyDescent="0.2">
      <c r="A67" s="134"/>
      <c r="B67" s="45" t="str">
        <f t="shared" si="0"/>
        <v>9Y</v>
      </c>
      <c r="C67" s="45" t="str">
        <f t="shared" si="1"/>
        <v>4F</v>
      </c>
      <c r="D67" s="43" t="str">
        <f t="shared" si="2"/>
        <v>EUR4F9Y_Quote</v>
      </c>
      <c r="E67" s="43" t="e">
        <f ca="1">_xll.cfyql_SimpleQuote(D67,,RateTickValue,Permanent,Trigger,ObjectOverwrite)</f>
        <v>#NAME?</v>
      </c>
      <c r="F67" s="42" t="e">
        <f ca="1">_xll.ohRangeRetrieveError(E67)</f>
        <v>#NAME?</v>
      </c>
      <c r="G67" s="36"/>
      <c r="H67" s="161"/>
      <c r="I67" s="112"/>
      <c r="J67" s="137" t="s">
        <v>47</v>
      </c>
      <c r="K67" s="137" t="str">
        <f t="shared" si="7"/>
        <v>4F</v>
      </c>
      <c r="L67" s="139" t="str">
        <f t="shared" si="4"/>
        <v>EUR4F9Y</v>
      </c>
      <c r="M67" s="139" t="str">
        <v>EUR4F9Y=ICAP</v>
      </c>
      <c r="N67" s="78">
        <v>1.6819999999999999</v>
      </c>
      <c r="O67" s="111"/>
      <c r="P67" s="78">
        <v>1.6819999999999999</v>
      </c>
      <c r="Q67" s="111"/>
      <c r="R67" s="78">
        <v>1.6819999999999999</v>
      </c>
      <c r="S67" s="78" t="e">
        <f ca="1">_xll.cfyql_SimpleQuoteSetValue(E67,R67/100,Trigger)</f>
        <v>#NAME?</v>
      </c>
      <c r="T67" s="129"/>
      <c r="V67" s="160"/>
    </row>
    <row r="68" spans="1:22" x14ac:dyDescent="0.2">
      <c r="A68" s="134"/>
      <c r="B68" s="45" t="str">
        <f t="shared" si="0"/>
        <v>10Y</v>
      </c>
      <c r="C68" s="45" t="str">
        <f t="shared" si="1"/>
        <v>4F</v>
      </c>
      <c r="D68" s="43" t="str">
        <f t="shared" si="2"/>
        <v>EUR4F10Y_Quote</v>
      </c>
      <c r="E68" s="43" t="e">
        <f ca="1">_xll.cfyql_SimpleQuote(D68,,RateTickValue,Permanent,Trigger,ObjectOverwrite)</f>
        <v>#NAME?</v>
      </c>
      <c r="F68" s="42" t="e">
        <f ca="1">_xll.ohRangeRetrieveError(E68)</f>
        <v>#NAME?</v>
      </c>
      <c r="G68" s="36"/>
      <c r="H68" s="161"/>
      <c r="I68" s="112"/>
      <c r="J68" s="137" t="s">
        <v>46</v>
      </c>
      <c r="K68" s="137" t="str">
        <f t="shared" si="7"/>
        <v>4F</v>
      </c>
      <c r="L68" s="139" t="str">
        <f t="shared" si="4"/>
        <v>EUR4F10Y</v>
      </c>
      <c r="M68" s="139" t="str">
        <v>EUR4F10Y=ICAP</v>
      </c>
      <c r="N68" s="78">
        <v>1.7290000000000001</v>
      </c>
      <c r="O68" s="111"/>
      <c r="P68" s="78">
        <v>1.7290000000000001</v>
      </c>
      <c r="Q68" s="111"/>
      <c r="R68" s="78">
        <v>1.7290000000000001</v>
      </c>
      <c r="S68" s="78" t="e">
        <f ca="1">_xll.cfyql_SimpleQuoteSetValue(E68,R68/100,Trigger)</f>
        <v>#NAME?</v>
      </c>
      <c r="T68" s="129"/>
      <c r="V68" s="160"/>
    </row>
    <row r="69" spans="1:22" x14ac:dyDescent="0.2">
      <c r="A69" s="134"/>
      <c r="B69" s="45" t="str">
        <f t="shared" ref="B69:B132" si="8">J69</f>
        <v>11Y</v>
      </c>
      <c r="C69" s="45" t="str">
        <f t="shared" ref="C69:C132" si="9">K69</f>
        <v>4F</v>
      </c>
      <c r="D69" s="43" t="str">
        <f t="shared" ref="D69:D132" si="10">Currency&amp;$C69&amp;B69&amp;QuoteSuffix</f>
        <v>EUR4F11Y_Quote</v>
      </c>
      <c r="E69" s="43" t="e">
        <f ca="1">_xll.cfyql_SimpleQuote(D69,,RateTickValue,Permanent,Trigger,ObjectOverwrite)</f>
        <v>#NAME?</v>
      </c>
      <c r="F69" s="42" t="e">
        <f ca="1">_xll.ohRangeRetrieveError(E69)</f>
        <v>#NAME?</v>
      </c>
      <c r="G69" s="36"/>
      <c r="H69" s="161"/>
      <c r="I69" s="112"/>
      <c r="J69" s="137" t="s">
        <v>45</v>
      </c>
      <c r="K69" s="137" t="str">
        <f t="shared" si="7"/>
        <v>4F</v>
      </c>
      <c r="L69" s="139" t="str">
        <f t="shared" ref="L69:L132" si="11">Currency&amp;$K69&amp;$J69</f>
        <v>EUR4F11Y</v>
      </c>
      <c r="M69" s="139" t="str">
        <v>EUR4F11Y=ICAP</v>
      </c>
      <c r="N69" s="78">
        <v>1.7669999999999999</v>
      </c>
      <c r="O69" s="111"/>
      <c r="P69" s="78">
        <v>1.7669999999999999</v>
      </c>
      <c r="Q69" s="111"/>
      <c r="R69" s="78">
        <v>1.7669999999999999</v>
      </c>
      <c r="S69" s="78" t="e">
        <f ca="1">_xll.cfyql_SimpleQuoteSetValue(E69,R69/100,Trigger)</f>
        <v>#NAME?</v>
      </c>
      <c r="T69" s="129"/>
      <c r="V69" s="160"/>
    </row>
    <row r="70" spans="1:22" x14ac:dyDescent="0.2">
      <c r="A70" s="134"/>
      <c r="B70" s="45" t="str">
        <f t="shared" si="8"/>
        <v>12Y</v>
      </c>
      <c r="C70" s="45" t="str">
        <f t="shared" si="9"/>
        <v>4F</v>
      </c>
      <c r="D70" s="43" t="str">
        <f t="shared" si="10"/>
        <v>EUR4F12Y_Quote</v>
      </c>
      <c r="E70" s="43" t="e">
        <f ca="1">_xll.cfyql_SimpleQuote(D70,,RateTickValue,Permanent,Trigger,ObjectOverwrite)</f>
        <v>#NAME?</v>
      </c>
      <c r="F70" s="42" t="e">
        <f ca="1">_xll.ohRangeRetrieveError(E70)</f>
        <v>#NAME?</v>
      </c>
      <c r="G70" s="36"/>
      <c r="H70" s="161"/>
      <c r="I70" s="112"/>
      <c r="J70" s="137" t="s">
        <v>44</v>
      </c>
      <c r="K70" s="137" t="str">
        <f t="shared" si="7"/>
        <v>4F</v>
      </c>
      <c r="L70" s="139" t="str">
        <f t="shared" si="11"/>
        <v>EUR4F12Y</v>
      </c>
      <c r="M70" s="139" t="str">
        <v>EUR4F12Y=ICAP</v>
      </c>
      <c r="N70" s="78">
        <v>1.796</v>
      </c>
      <c r="O70" s="111"/>
      <c r="P70" s="78">
        <v>1.796</v>
      </c>
      <c r="Q70" s="111"/>
      <c r="R70" s="78">
        <v>1.796</v>
      </c>
      <c r="S70" s="78" t="e">
        <f ca="1">_xll.cfyql_SimpleQuoteSetValue(E70,R70/100,Trigger)</f>
        <v>#NAME?</v>
      </c>
      <c r="T70" s="129"/>
      <c r="V70" s="160"/>
    </row>
    <row r="71" spans="1:22" x14ac:dyDescent="0.2">
      <c r="A71" s="134"/>
      <c r="B71" s="45" t="str">
        <f t="shared" si="8"/>
        <v>13Y</v>
      </c>
      <c r="C71" s="45" t="str">
        <f t="shared" si="9"/>
        <v>4F</v>
      </c>
      <c r="D71" s="43" t="str">
        <f t="shared" si="10"/>
        <v>EUR4F13Y_Quote</v>
      </c>
      <c r="E71" s="43" t="e">
        <f ca="1">_xll.cfyql_SimpleQuote(D71,,RateTickValue,Permanent,Trigger,ObjectOverwrite)</f>
        <v>#NAME?</v>
      </c>
      <c r="F71" s="42" t="e">
        <f ca="1">_xll.ohRangeRetrieveError(E71)</f>
        <v>#NAME?</v>
      </c>
      <c r="G71" s="36"/>
      <c r="H71" s="161"/>
      <c r="I71" s="112"/>
      <c r="J71" s="137" t="s">
        <v>43</v>
      </c>
      <c r="K71" s="137" t="str">
        <f t="shared" si="7"/>
        <v>4F</v>
      </c>
      <c r="L71" s="139" t="str">
        <f t="shared" si="11"/>
        <v>EUR4F13Y</v>
      </c>
      <c r="M71" s="139" t="str">
        <v>EUR4F13Y=ICAP</v>
      </c>
      <c r="N71" s="78">
        <v>1.819</v>
      </c>
      <c r="O71" s="111"/>
      <c r="P71" s="78">
        <v>1.819</v>
      </c>
      <c r="Q71" s="111"/>
      <c r="R71" s="78">
        <v>1.819</v>
      </c>
      <c r="S71" s="78" t="e">
        <f ca="1">_xll.cfyql_SimpleQuoteSetValue(E71,R71/100,Trigger)</f>
        <v>#NAME?</v>
      </c>
      <c r="T71" s="129"/>
      <c r="V71" s="160"/>
    </row>
    <row r="72" spans="1:22" x14ac:dyDescent="0.2">
      <c r="A72" s="134"/>
      <c r="B72" s="45" t="str">
        <f t="shared" si="8"/>
        <v>14Y</v>
      </c>
      <c r="C72" s="45" t="str">
        <f t="shared" si="9"/>
        <v>4F</v>
      </c>
      <c r="D72" s="43" t="str">
        <f t="shared" si="10"/>
        <v>EUR4F14Y_Quote</v>
      </c>
      <c r="E72" s="43" t="e">
        <f ca="1">_xll.cfyql_SimpleQuote(D72,,RateTickValue,Permanent,Trigger,ObjectOverwrite)</f>
        <v>#NAME?</v>
      </c>
      <c r="F72" s="42" t="e">
        <f ca="1">_xll.ohRangeRetrieveError(E72)</f>
        <v>#NAME?</v>
      </c>
      <c r="G72" s="36"/>
      <c r="H72" s="161"/>
      <c r="I72" s="112"/>
      <c r="J72" s="137" t="s">
        <v>42</v>
      </c>
      <c r="K72" s="137" t="str">
        <f t="shared" si="7"/>
        <v>4F</v>
      </c>
      <c r="L72" s="139" t="str">
        <f t="shared" si="11"/>
        <v>EUR4F14Y</v>
      </c>
      <c r="M72" s="139" t="str">
        <v>EUR4F14Y=ICAP</v>
      </c>
      <c r="N72" s="78">
        <v>1.833</v>
      </c>
      <c r="O72" s="111"/>
      <c r="P72" s="78">
        <v>1.833</v>
      </c>
      <c r="Q72" s="111"/>
      <c r="R72" s="78">
        <v>1.833</v>
      </c>
      <c r="S72" s="78" t="e">
        <f ca="1">_xll.cfyql_SimpleQuoteSetValue(E72,R72/100,Trigger)</f>
        <v>#NAME?</v>
      </c>
      <c r="T72" s="129"/>
      <c r="V72" s="160"/>
    </row>
    <row r="73" spans="1:22" x14ac:dyDescent="0.2">
      <c r="A73" s="134"/>
      <c r="B73" s="45" t="str">
        <f t="shared" si="8"/>
        <v>15Y</v>
      </c>
      <c r="C73" s="45" t="str">
        <f t="shared" si="9"/>
        <v>4F</v>
      </c>
      <c r="D73" s="43" t="str">
        <f t="shared" si="10"/>
        <v>EUR4F15Y_Quote</v>
      </c>
      <c r="E73" s="43" t="e">
        <f ca="1">_xll.cfyql_SimpleQuote(D73,,RateTickValue,Permanent,Trigger,ObjectOverwrite)</f>
        <v>#NAME?</v>
      </c>
      <c r="F73" s="42" t="e">
        <f ca="1">_xll.ohRangeRetrieveError(E73)</f>
        <v>#NAME?</v>
      </c>
      <c r="G73" s="36"/>
      <c r="H73" s="161"/>
      <c r="I73" s="112"/>
      <c r="J73" s="137" t="s">
        <v>41</v>
      </c>
      <c r="K73" s="137" t="str">
        <f t="shared" si="7"/>
        <v>4F</v>
      </c>
      <c r="L73" s="139" t="str">
        <f t="shared" si="11"/>
        <v>EUR4F15Y</v>
      </c>
      <c r="M73" s="139" t="str">
        <v>EUR4F15Y=ICAP</v>
      </c>
      <c r="N73" s="78">
        <v>1.8420000000000001</v>
      </c>
      <c r="O73" s="111"/>
      <c r="P73" s="78">
        <v>1.8420000000000001</v>
      </c>
      <c r="Q73" s="111"/>
      <c r="R73" s="78">
        <v>1.8420000000000001</v>
      </c>
      <c r="S73" s="78" t="e">
        <f ca="1">_xll.cfyql_SimpleQuoteSetValue(E73,R73/100,Trigger)</f>
        <v>#NAME?</v>
      </c>
      <c r="T73" s="129"/>
      <c r="V73" s="160"/>
    </row>
    <row r="74" spans="1:22" x14ac:dyDescent="0.2">
      <c r="A74" s="134"/>
      <c r="B74" s="45" t="str">
        <f t="shared" si="8"/>
        <v>20Y</v>
      </c>
      <c r="C74" s="45" t="str">
        <f t="shared" si="9"/>
        <v>4F</v>
      </c>
      <c r="D74" s="43" t="str">
        <f t="shared" si="10"/>
        <v>EUR4F20Y_Quote</v>
      </c>
      <c r="E74" s="43" t="e">
        <f ca="1">_xll.cfyql_SimpleQuote(D74,,RateTickValue,Permanent,Trigger,ObjectOverwrite)</f>
        <v>#NAME?</v>
      </c>
      <c r="F74" s="42" t="e">
        <f ca="1">_xll.ohRangeRetrieveError(E74)</f>
        <v>#NAME?</v>
      </c>
      <c r="G74" s="36"/>
      <c r="H74" s="161"/>
      <c r="I74" s="112"/>
      <c r="J74" s="137" t="s">
        <v>36</v>
      </c>
      <c r="K74" s="137" t="str">
        <f t="shared" si="7"/>
        <v>4F</v>
      </c>
      <c r="L74" s="139" t="str">
        <f t="shared" si="11"/>
        <v>EUR4F20Y</v>
      </c>
      <c r="M74" s="139" t="str">
        <v>EUR4F20Y=ICAP</v>
      </c>
      <c r="N74" s="78">
        <v>1.823</v>
      </c>
      <c r="O74" s="111"/>
      <c r="P74" s="78">
        <v>1.823</v>
      </c>
      <c r="Q74" s="111"/>
      <c r="R74" s="78">
        <v>1.823</v>
      </c>
      <c r="S74" s="78" t="e">
        <f ca="1">_xll.cfyql_SimpleQuoteSetValue(E74,R74/100,Trigger)</f>
        <v>#NAME?</v>
      </c>
      <c r="T74" s="129"/>
      <c r="V74" s="160"/>
    </row>
    <row r="75" spans="1:22" x14ac:dyDescent="0.2">
      <c r="A75" s="134"/>
      <c r="B75" s="45" t="str">
        <f t="shared" si="8"/>
        <v>25Y</v>
      </c>
      <c r="C75" s="45" t="str">
        <f t="shared" si="9"/>
        <v>4F</v>
      </c>
      <c r="D75" s="43" t="str">
        <f t="shared" si="10"/>
        <v>EUR4F25Y_Quote</v>
      </c>
      <c r="E75" s="43" t="e">
        <f ca="1">_xll.cfyql_SimpleQuote(D75,,RateTickValue,Permanent,Trigger,ObjectOverwrite)</f>
        <v>#NAME?</v>
      </c>
      <c r="F75" s="42" t="e">
        <f ca="1">_xll.ohRangeRetrieveError(E75)</f>
        <v>#NAME?</v>
      </c>
      <c r="G75" s="36"/>
      <c r="H75" s="161"/>
      <c r="I75" s="112"/>
      <c r="J75" s="137" t="s">
        <v>31</v>
      </c>
      <c r="K75" s="137" t="str">
        <f t="shared" si="7"/>
        <v>4F</v>
      </c>
      <c r="L75" s="139" t="str">
        <f t="shared" si="11"/>
        <v>EUR4F25Y</v>
      </c>
      <c r="M75" s="139" t="str">
        <v>EUR4F25Y=ICAP</v>
      </c>
      <c r="N75" s="78">
        <v>1.7789999999999999</v>
      </c>
      <c r="O75" s="111"/>
      <c r="P75" s="78">
        <v>1.7789999999999999</v>
      </c>
      <c r="Q75" s="111"/>
      <c r="R75" s="78">
        <v>1.7789999999999999</v>
      </c>
      <c r="S75" s="78" t="e">
        <f ca="1">_xll.cfyql_SimpleQuoteSetValue(E75,R75/100,Trigger)</f>
        <v>#NAME?</v>
      </c>
      <c r="T75" s="129"/>
      <c r="V75" s="160"/>
    </row>
    <row r="76" spans="1:22" x14ac:dyDescent="0.2">
      <c r="A76" s="134"/>
      <c r="B76" s="45" t="str">
        <f t="shared" si="8"/>
        <v>30Y</v>
      </c>
      <c r="C76" s="45" t="str">
        <f t="shared" si="9"/>
        <v>4F</v>
      </c>
      <c r="D76" s="43" t="str">
        <f t="shared" si="10"/>
        <v>EUR4F30Y_Quote</v>
      </c>
      <c r="E76" s="43" t="e">
        <f ca="1">_xll.cfyql_SimpleQuote(D76,,RateTickValue,Permanent,Trigger,ObjectOverwrite)</f>
        <v>#NAME?</v>
      </c>
      <c r="F76" s="42" t="e">
        <f ca="1">_xll.ohRangeRetrieveError(E76)</f>
        <v>#NAME?</v>
      </c>
      <c r="G76" s="36"/>
      <c r="H76" s="161"/>
      <c r="I76" s="112"/>
      <c r="J76" s="130" t="s">
        <v>26</v>
      </c>
      <c r="K76" s="130" t="str">
        <f t="shared" si="7"/>
        <v>4F</v>
      </c>
      <c r="L76" s="132" t="str">
        <f t="shared" si="11"/>
        <v>EUR4F30Y</v>
      </c>
      <c r="M76" s="132" t="str">
        <v>EUR4F30Y=ICAP</v>
      </c>
      <c r="N76" s="65">
        <v>1.752</v>
      </c>
      <c r="O76" s="111"/>
      <c r="P76" s="65">
        <v>1.752</v>
      </c>
      <c r="Q76" s="111"/>
      <c r="R76" s="65">
        <v>1.752</v>
      </c>
      <c r="S76" s="65" t="e">
        <f ca="1">_xll.cfyql_SimpleQuoteSetValue(E76,R76/100,Trigger)</f>
        <v>#NAME?</v>
      </c>
      <c r="T76" s="129"/>
      <c r="V76" s="160"/>
    </row>
    <row r="77" spans="1:22" x14ac:dyDescent="0.2">
      <c r="A77" s="134"/>
      <c r="B77" s="45" t="str">
        <f t="shared" si="8"/>
        <v>1Y</v>
      </c>
      <c r="C77" s="45" t="str">
        <f t="shared" si="9"/>
        <v>5F</v>
      </c>
      <c r="D77" s="43" t="str">
        <f t="shared" si="10"/>
        <v>EUR5F1Y_Quote</v>
      </c>
      <c r="E77" s="43" t="e">
        <f ca="1">_xll.cfyql_SimpleQuote(D77,,RateTickValue,Permanent,Trigger,ObjectOverwrite)</f>
        <v>#NAME?</v>
      </c>
      <c r="F77" s="42" t="e">
        <f ca="1">_xll.ohRangeRetrieveError(E77)</f>
        <v>#NAME?</v>
      </c>
      <c r="G77" s="36"/>
      <c r="H77" s="161"/>
      <c r="I77" s="134">
        <v>5</v>
      </c>
      <c r="J77" s="163" t="s">
        <v>58</v>
      </c>
      <c r="K77" s="163" t="str">
        <f t="shared" ref="K77:K94" si="12">$I$77&amp;"F"</f>
        <v>5F</v>
      </c>
      <c r="L77" s="162" t="str">
        <f t="shared" si="11"/>
        <v>EUR5F1Y</v>
      </c>
      <c r="M77" s="162" t="str">
        <v>EUR5F1Y=ICAP</v>
      </c>
      <c r="N77" s="89">
        <v>1.143</v>
      </c>
      <c r="O77" s="111"/>
      <c r="P77" s="89">
        <v>1.143</v>
      </c>
      <c r="Q77" s="111"/>
      <c r="R77" s="89">
        <v>1.143</v>
      </c>
      <c r="S77" s="89" t="e">
        <f ca="1">_xll.cfyql_SimpleQuoteSetValue(E77,R77/100,Trigger)</f>
        <v>#NAME?</v>
      </c>
      <c r="T77" s="129"/>
      <c r="V77" s="160"/>
    </row>
    <row r="78" spans="1:22" x14ac:dyDescent="0.2">
      <c r="A78" s="134"/>
      <c r="B78" s="45" t="str">
        <f t="shared" si="8"/>
        <v>2Y</v>
      </c>
      <c r="C78" s="45" t="str">
        <f t="shared" si="9"/>
        <v>5F</v>
      </c>
      <c r="D78" s="43" t="str">
        <f t="shared" si="10"/>
        <v>EUR5F2Y_Quote</v>
      </c>
      <c r="E78" s="43" t="e">
        <f ca="1">_xll.cfyql_SimpleQuote(D78,,RateTickValue,Permanent,Trigger,ObjectOverwrite)</f>
        <v>#NAME?</v>
      </c>
      <c r="F78" s="42" t="e">
        <f ca="1">_xll.ohRangeRetrieveError(E78)</f>
        <v>#NAME?</v>
      </c>
      <c r="G78" s="36"/>
      <c r="H78" s="161"/>
      <c r="I78" s="112"/>
      <c r="J78" s="137" t="s">
        <v>54</v>
      </c>
      <c r="K78" s="137" t="str">
        <f t="shared" si="12"/>
        <v>5F</v>
      </c>
      <c r="L78" s="139" t="str">
        <f t="shared" si="11"/>
        <v>EUR5F2Y</v>
      </c>
      <c r="M78" s="139" t="str">
        <v>EUR5F2Y=ICAP</v>
      </c>
      <c r="N78" s="78">
        <v>1.2869999999999999</v>
      </c>
      <c r="O78" s="111"/>
      <c r="P78" s="78">
        <v>1.2869999999999999</v>
      </c>
      <c r="Q78" s="111"/>
      <c r="R78" s="78">
        <v>1.2869999999999999</v>
      </c>
      <c r="S78" s="78" t="e">
        <f ca="1">_xll.cfyql_SimpleQuoteSetValue(E78,R78/100,Trigger)</f>
        <v>#NAME?</v>
      </c>
      <c r="T78" s="129"/>
      <c r="V78" s="160"/>
    </row>
    <row r="79" spans="1:22" x14ac:dyDescent="0.2">
      <c r="A79" s="134"/>
      <c r="B79" s="45" t="str">
        <f t="shared" si="8"/>
        <v>3Y</v>
      </c>
      <c r="C79" s="45" t="str">
        <f t="shared" si="9"/>
        <v>5F</v>
      </c>
      <c r="D79" s="43" t="str">
        <f t="shared" si="10"/>
        <v>EUR5F3Y_Quote</v>
      </c>
      <c r="E79" s="43" t="e">
        <f ca="1">_xll.cfyql_SimpleQuote(D79,,RateTickValue,Permanent,Trigger,ObjectOverwrite)</f>
        <v>#NAME?</v>
      </c>
      <c r="F79" s="42" t="e">
        <f ca="1">_xll.ohRangeRetrieveError(E79)</f>
        <v>#NAME?</v>
      </c>
      <c r="G79" s="36"/>
      <c r="H79" s="161"/>
      <c r="I79" s="112"/>
      <c r="J79" s="137" t="s">
        <v>53</v>
      </c>
      <c r="K79" s="137" t="str">
        <f t="shared" si="12"/>
        <v>5F</v>
      </c>
      <c r="L79" s="139" t="str">
        <f t="shared" si="11"/>
        <v>EUR5F3Y</v>
      </c>
      <c r="M79" s="139" t="str">
        <v>EUR5F3Y=ICAP</v>
      </c>
      <c r="N79" s="78">
        <v>1.411</v>
      </c>
      <c r="O79" s="111"/>
      <c r="P79" s="78">
        <v>1.411</v>
      </c>
      <c r="Q79" s="111"/>
      <c r="R79" s="78">
        <v>1.411</v>
      </c>
      <c r="S79" s="78" t="e">
        <f ca="1">_xll.cfyql_SimpleQuoteSetValue(E79,R79/100,Trigger)</f>
        <v>#NAME?</v>
      </c>
      <c r="T79" s="129"/>
      <c r="V79" s="160"/>
    </row>
    <row r="80" spans="1:22" x14ac:dyDescent="0.2">
      <c r="A80" s="134"/>
      <c r="B80" s="45" t="str">
        <f t="shared" si="8"/>
        <v>4Y</v>
      </c>
      <c r="C80" s="45" t="str">
        <f t="shared" si="9"/>
        <v>5F</v>
      </c>
      <c r="D80" s="43" t="str">
        <f t="shared" si="10"/>
        <v>EUR5F4Y_Quote</v>
      </c>
      <c r="E80" s="43" t="e">
        <f ca="1">_xll.cfyql_SimpleQuote(D80,,RateTickValue,Permanent,Trigger,ObjectOverwrite)</f>
        <v>#NAME?</v>
      </c>
      <c r="F80" s="42" t="e">
        <f ca="1">_xll.ohRangeRetrieveError(E80)</f>
        <v>#NAME?</v>
      </c>
      <c r="G80" s="36"/>
      <c r="H80" s="161"/>
      <c r="I80" s="112"/>
      <c r="J80" s="137" t="s">
        <v>52</v>
      </c>
      <c r="K80" s="137" t="str">
        <f t="shared" si="12"/>
        <v>5F</v>
      </c>
      <c r="L80" s="139" t="str">
        <f t="shared" si="11"/>
        <v>EUR5F4Y</v>
      </c>
      <c r="M80" s="139" t="str">
        <v>EUR5F4Y=ICAP</v>
      </c>
      <c r="N80" s="78">
        <v>1.518</v>
      </c>
      <c r="O80" s="111"/>
      <c r="P80" s="78">
        <v>1.518</v>
      </c>
      <c r="Q80" s="111"/>
      <c r="R80" s="78">
        <v>1.518</v>
      </c>
      <c r="S80" s="78" t="e">
        <f ca="1">_xll.cfyql_SimpleQuoteSetValue(E80,R80/100,Trigger)</f>
        <v>#NAME?</v>
      </c>
      <c r="T80" s="129"/>
      <c r="V80" s="160"/>
    </row>
    <row r="81" spans="1:22" x14ac:dyDescent="0.2">
      <c r="A81" s="134"/>
      <c r="B81" s="45" t="str">
        <f t="shared" si="8"/>
        <v>5Y</v>
      </c>
      <c r="C81" s="45" t="str">
        <f t="shared" si="9"/>
        <v>5F</v>
      </c>
      <c r="D81" s="43" t="str">
        <f t="shared" si="10"/>
        <v>EUR5F5Y_Quote</v>
      </c>
      <c r="E81" s="43" t="e">
        <f ca="1">_xll.cfyql_SimpleQuote(D81,,RateTickValue,Permanent,Trigger,ObjectOverwrite)</f>
        <v>#NAME?</v>
      </c>
      <c r="F81" s="42" t="e">
        <f ca="1">_xll.ohRangeRetrieveError(E81)</f>
        <v>#NAME?</v>
      </c>
      <c r="G81" s="36"/>
      <c r="H81" s="161"/>
      <c r="I81" s="112"/>
      <c r="J81" s="137" t="s">
        <v>51</v>
      </c>
      <c r="K81" s="137" t="str">
        <f t="shared" si="12"/>
        <v>5F</v>
      </c>
      <c r="L81" s="139" t="str">
        <f t="shared" si="11"/>
        <v>EUR5F5Y</v>
      </c>
      <c r="M81" s="139" t="str">
        <v>EUR5F5Y=ICAP</v>
      </c>
      <c r="N81" s="78">
        <v>1.603</v>
      </c>
      <c r="O81" s="111"/>
      <c r="P81" s="78">
        <v>1.603</v>
      </c>
      <c r="Q81" s="111"/>
      <c r="R81" s="78">
        <v>1.603</v>
      </c>
      <c r="S81" s="78" t="e">
        <f ca="1">_xll.cfyql_SimpleQuoteSetValue(E81,R81/100,Trigger)</f>
        <v>#NAME?</v>
      </c>
      <c r="T81" s="129"/>
      <c r="V81" s="160"/>
    </row>
    <row r="82" spans="1:22" x14ac:dyDescent="0.2">
      <c r="A82" s="134"/>
      <c r="B82" s="45" t="str">
        <f t="shared" si="8"/>
        <v>6Y</v>
      </c>
      <c r="C82" s="45" t="str">
        <f t="shared" si="9"/>
        <v>5F</v>
      </c>
      <c r="D82" s="43" t="str">
        <f t="shared" si="10"/>
        <v>EUR5F6Y_Quote</v>
      </c>
      <c r="E82" s="43" t="e">
        <f ca="1">_xll.cfyql_SimpleQuote(D82,,RateTickValue,Permanent,Trigger,ObjectOverwrite)</f>
        <v>#NAME?</v>
      </c>
      <c r="F82" s="42" t="e">
        <f ca="1">_xll.ohRangeRetrieveError(E82)</f>
        <v>#NAME?</v>
      </c>
      <c r="G82" s="36"/>
      <c r="H82" s="161"/>
      <c r="I82" s="112"/>
      <c r="J82" s="137" t="s">
        <v>50</v>
      </c>
      <c r="K82" s="137" t="str">
        <f t="shared" si="12"/>
        <v>5F</v>
      </c>
      <c r="L82" s="139" t="str">
        <f t="shared" si="11"/>
        <v>EUR5F6Y</v>
      </c>
      <c r="M82" s="139" t="str">
        <v>EUR5F6Y=ICAP</v>
      </c>
      <c r="N82" s="78">
        <v>1.677</v>
      </c>
      <c r="O82" s="111"/>
      <c r="P82" s="78">
        <v>1.677</v>
      </c>
      <c r="Q82" s="111"/>
      <c r="R82" s="78">
        <v>1.677</v>
      </c>
      <c r="S82" s="78" t="e">
        <f ca="1">_xll.cfyql_SimpleQuoteSetValue(E82,R82/100,Trigger)</f>
        <v>#NAME?</v>
      </c>
      <c r="T82" s="129"/>
      <c r="V82" s="160"/>
    </row>
    <row r="83" spans="1:22" x14ac:dyDescent="0.2">
      <c r="A83" s="134"/>
      <c r="B83" s="45" t="str">
        <f t="shared" si="8"/>
        <v>7Y</v>
      </c>
      <c r="C83" s="45" t="str">
        <f t="shared" si="9"/>
        <v>5F</v>
      </c>
      <c r="D83" s="43" t="str">
        <f t="shared" si="10"/>
        <v>EUR5F7Y_Quote</v>
      </c>
      <c r="E83" s="43" t="e">
        <f ca="1">_xll.cfyql_SimpleQuote(D83,,RateTickValue,Permanent,Trigger,ObjectOverwrite)</f>
        <v>#NAME?</v>
      </c>
      <c r="F83" s="42" t="e">
        <f ca="1">_xll.ohRangeRetrieveError(E83)</f>
        <v>#NAME?</v>
      </c>
      <c r="G83" s="36"/>
      <c r="H83" s="161"/>
      <c r="I83" s="112"/>
      <c r="J83" s="137" t="s">
        <v>49</v>
      </c>
      <c r="K83" s="137" t="str">
        <f t="shared" si="12"/>
        <v>5F</v>
      </c>
      <c r="L83" s="139" t="str">
        <f t="shared" si="11"/>
        <v>EUR5F7Y</v>
      </c>
      <c r="M83" s="139" t="str">
        <v>EUR5F7Y=ICAP</v>
      </c>
      <c r="N83" s="78">
        <v>1.7410000000000001</v>
      </c>
      <c r="O83" s="111"/>
      <c r="P83" s="78">
        <v>1.7410000000000001</v>
      </c>
      <c r="Q83" s="111"/>
      <c r="R83" s="78">
        <v>1.7410000000000001</v>
      </c>
      <c r="S83" s="78" t="e">
        <f ca="1">_xll.cfyql_SimpleQuoteSetValue(E83,R83/100,Trigger)</f>
        <v>#NAME?</v>
      </c>
      <c r="T83" s="129"/>
      <c r="V83" s="160"/>
    </row>
    <row r="84" spans="1:22" x14ac:dyDescent="0.2">
      <c r="A84" s="134"/>
      <c r="B84" s="45" t="str">
        <f t="shared" si="8"/>
        <v>8Y</v>
      </c>
      <c r="C84" s="45" t="str">
        <f t="shared" si="9"/>
        <v>5F</v>
      </c>
      <c r="D84" s="43" t="str">
        <f t="shared" si="10"/>
        <v>EUR5F8Y_Quote</v>
      </c>
      <c r="E84" s="43" t="e">
        <f ca="1">_xll.cfyql_SimpleQuote(D84,,RateTickValue,Permanent,Trigger,ObjectOverwrite)</f>
        <v>#NAME?</v>
      </c>
      <c r="F84" s="42" t="e">
        <f ca="1">_xll.ohRangeRetrieveError(E84)</f>
        <v>#NAME?</v>
      </c>
      <c r="G84" s="36"/>
      <c r="H84" s="161"/>
      <c r="I84" s="112"/>
      <c r="J84" s="137" t="s">
        <v>48</v>
      </c>
      <c r="K84" s="137" t="str">
        <f t="shared" si="12"/>
        <v>5F</v>
      </c>
      <c r="L84" s="139" t="str">
        <f t="shared" si="11"/>
        <v>EUR5F8Y</v>
      </c>
      <c r="M84" s="139" t="str">
        <v>EUR5F8Y=ICAP</v>
      </c>
      <c r="N84" s="78">
        <v>1.7929999999999999</v>
      </c>
      <c r="O84" s="111"/>
      <c r="P84" s="78">
        <v>1.7929999999999999</v>
      </c>
      <c r="Q84" s="111"/>
      <c r="R84" s="78">
        <v>1.7929999999999999</v>
      </c>
      <c r="S84" s="78" t="e">
        <f ca="1">_xll.cfyql_SimpleQuoteSetValue(E84,R84/100,Trigger)</f>
        <v>#NAME?</v>
      </c>
      <c r="T84" s="129"/>
      <c r="V84" s="160"/>
    </row>
    <row r="85" spans="1:22" x14ac:dyDescent="0.2">
      <c r="A85" s="134"/>
      <c r="B85" s="45" t="str">
        <f t="shared" si="8"/>
        <v>9Y</v>
      </c>
      <c r="C85" s="45" t="str">
        <f t="shared" si="9"/>
        <v>5F</v>
      </c>
      <c r="D85" s="43" t="str">
        <f t="shared" si="10"/>
        <v>EUR5F9Y_Quote</v>
      </c>
      <c r="E85" s="43" t="e">
        <f ca="1">_xll.cfyql_SimpleQuote(D85,,RateTickValue,Permanent,Trigger,ObjectOverwrite)</f>
        <v>#NAME?</v>
      </c>
      <c r="F85" s="42" t="e">
        <f ca="1">_xll.ohRangeRetrieveError(E85)</f>
        <v>#NAME?</v>
      </c>
      <c r="G85" s="36"/>
      <c r="H85" s="161"/>
      <c r="I85" s="112"/>
      <c r="J85" s="137" t="s">
        <v>47</v>
      </c>
      <c r="K85" s="137" t="str">
        <f t="shared" si="12"/>
        <v>5F</v>
      </c>
      <c r="L85" s="139" t="str">
        <f t="shared" si="11"/>
        <v>EUR5F9Y</v>
      </c>
      <c r="M85" s="139" t="str">
        <v>EUR5F9Y=ICAP</v>
      </c>
      <c r="N85" s="78">
        <v>1.8340000000000001</v>
      </c>
      <c r="O85" s="111"/>
      <c r="P85" s="78">
        <v>1.8340000000000001</v>
      </c>
      <c r="Q85" s="111"/>
      <c r="R85" s="78">
        <v>1.8340000000000001</v>
      </c>
      <c r="S85" s="78" t="e">
        <f ca="1">_xll.cfyql_SimpleQuoteSetValue(E85,R85/100,Trigger)</f>
        <v>#NAME?</v>
      </c>
      <c r="T85" s="129"/>
      <c r="V85" s="160"/>
    </row>
    <row r="86" spans="1:22" x14ac:dyDescent="0.2">
      <c r="A86" s="134"/>
      <c r="B86" s="45" t="str">
        <f t="shared" si="8"/>
        <v>10Y</v>
      </c>
      <c r="C86" s="45" t="str">
        <f t="shared" si="9"/>
        <v>5F</v>
      </c>
      <c r="D86" s="43" t="str">
        <f t="shared" si="10"/>
        <v>EUR5F10Y_Quote</v>
      </c>
      <c r="E86" s="43" t="e">
        <f ca="1">_xll.cfyql_SimpleQuote(D86,,RateTickValue,Permanent,Trigger,ObjectOverwrite)</f>
        <v>#NAME?</v>
      </c>
      <c r="F86" s="42" t="e">
        <f ca="1">_xll.ohRangeRetrieveError(E86)</f>
        <v>#NAME?</v>
      </c>
      <c r="G86" s="36"/>
      <c r="H86" s="161"/>
      <c r="I86" s="112"/>
      <c r="J86" s="137" t="s">
        <v>46</v>
      </c>
      <c r="K86" s="137" t="str">
        <f t="shared" si="12"/>
        <v>5F</v>
      </c>
      <c r="L86" s="139" t="str">
        <f t="shared" si="11"/>
        <v>EUR5F10Y</v>
      </c>
      <c r="M86" s="139" t="str">
        <v>EUR5F10Y=ICAP</v>
      </c>
      <c r="N86" s="78">
        <v>1.867</v>
      </c>
      <c r="O86" s="111"/>
      <c r="P86" s="78">
        <v>1.867</v>
      </c>
      <c r="Q86" s="111"/>
      <c r="R86" s="78">
        <v>1.867</v>
      </c>
      <c r="S86" s="78" t="e">
        <f ca="1">_xll.cfyql_SimpleQuoteSetValue(E86,R86/100,Trigger)</f>
        <v>#NAME?</v>
      </c>
      <c r="T86" s="129"/>
      <c r="V86" s="160"/>
    </row>
    <row r="87" spans="1:22" x14ac:dyDescent="0.2">
      <c r="A87" s="134"/>
      <c r="B87" s="45" t="str">
        <f t="shared" si="8"/>
        <v>11Y</v>
      </c>
      <c r="C87" s="45" t="str">
        <f t="shared" si="9"/>
        <v>5F</v>
      </c>
      <c r="D87" s="43" t="str">
        <f t="shared" si="10"/>
        <v>EUR5F11Y_Quote</v>
      </c>
      <c r="E87" s="43" t="e">
        <f ca="1">_xll.cfyql_SimpleQuote(D87,,RateTickValue,Permanent,Trigger,ObjectOverwrite)</f>
        <v>#NAME?</v>
      </c>
      <c r="F87" s="42" t="e">
        <f ca="1">_xll.ohRangeRetrieveError(E87)</f>
        <v>#NAME?</v>
      </c>
      <c r="G87" s="36"/>
      <c r="H87" s="161"/>
      <c r="I87" s="112"/>
      <c r="J87" s="137" t="s">
        <v>45</v>
      </c>
      <c r="K87" s="137" t="str">
        <f t="shared" si="12"/>
        <v>5F</v>
      </c>
      <c r="L87" s="139" t="str">
        <f t="shared" si="11"/>
        <v>EUR5F11Y</v>
      </c>
      <c r="M87" s="139" t="str">
        <v>EUR5F11Y=ICAP</v>
      </c>
      <c r="N87" s="78">
        <v>1.8900000000000001</v>
      </c>
      <c r="O87" s="111"/>
      <c r="P87" s="78">
        <v>1.8900000000000001</v>
      </c>
      <c r="Q87" s="111"/>
      <c r="R87" s="78">
        <v>1.8900000000000001</v>
      </c>
      <c r="S87" s="78" t="e">
        <f ca="1">_xll.cfyql_SimpleQuoteSetValue(E87,R87/100,Trigger)</f>
        <v>#NAME?</v>
      </c>
      <c r="T87" s="129"/>
      <c r="V87" s="160"/>
    </row>
    <row r="88" spans="1:22" x14ac:dyDescent="0.2">
      <c r="A88" s="134"/>
      <c r="B88" s="45" t="str">
        <f t="shared" si="8"/>
        <v>12Y</v>
      </c>
      <c r="C88" s="45" t="str">
        <f t="shared" si="9"/>
        <v>5F</v>
      </c>
      <c r="D88" s="43" t="str">
        <f t="shared" si="10"/>
        <v>EUR5F12Y_Quote</v>
      </c>
      <c r="E88" s="43" t="e">
        <f ca="1">_xll.cfyql_SimpleQuote(D88,,RateTickValue,Permanent,Trigger,ObjectOverwrite)</f>
        <v>#NAME?</v>
      </c>
      <c r="F88" s="42" t="e">
        <f ca="1">_xll.ohRangeRetrieveError(E88)</f>
        <v>#NAME?</v>
      </c>
      <c r="G88" s="36"/>
      <c r="H88" s="161"/>
      <c r="I88" s="112"/>
      <c r="J88" s="137" t="s">
        <v>44</v>
      </c>
      <c r="K88" s="137" t="str">
        <f t="shared" si="12"/>
        <v>5F</v>
      </c>
      <c r="L88" s="139" t="str">
        <f t="shared" si="11"/>
        <v>EUR5F12Y</v>
      </c>
      <c r="M88" s="139" t="str">
        <v>EUR5F12Y=ICAP</v>
      </c>
      <c r="N88" s="78">
        <v>1.9079999999999999</v>
      </c>
      <c r="O88" s="111"/>
      <c r="P88" s="78">
        <v>1.9079999999999999</v>
      </c>
      <c r="Q88" s="111"/>
      <c r="R88" s="78">
        <v>1.9079999999999999</v>
      </c>
      <c r="S88" s="78" t="e">
        <f ca="1">_xll.cfyql_SimpleQuoteSetValue(E88,R88/100,Trigger)</f>
        <v>#NAME?</v>
      </c>
      <c r="T88" s="129"/>
      <c r="V88" s="160"/>
    </row>
    <row r="89" spans="1:22" x14ac:dyDescent="0.2">
      <c r="A89" s="134"/>
      <c r="B89" s="45" t="str">
        <f t="shared" si="8"/>
        <v>13Y</v>
      </c>
      <c r="C89" s="45" t="str">
        <f t="shared" si="9"/>
        <v>5F</v>
      </c>
      <c r="D89" s="43" t="str">
        <f t="shared" si="10"/>
        <v>EUR5F13Y_Quote</v>
      </c>
      <c r="E89" s="43" t="e">
        <f ca="1">_xll.cfyql_SimpleQuote(D89,,RateTickValue,Permanent,Trigger,ObjectOverwrite)</f>
        <v>#NAME?</v>
      </c>
      <c r="F89" s="42" t="e">
        <f ca="1">_xll.ohRangeRetrieveError(E89)</f>
        <v>#NAME?</v>
      </c>
      <c r="G89" s="36"/>
      <c r="H89" s="161"/>
      <c r="I89" s="112"/>
      <c r="J89" s="137" t="s">
        <v>43</v>
      </c>
      <c r="K89" s="137" t="str">
        <f t="shared" si="12"/>
        <v>5F</v>
      </c>
      <c r="L89" s="139" t="str">
        <f t="shared" si="11"/>
        <v>EUR5F13Y</v>
      </c>
      <c r="M89" s="139" t="str">
        <v>EUR5F13Y=ICAP</v>
      </c>
      <c r="N89" s="78">
        <v>1.9179999999999999</v>
      </c>
      <c r="O89" s="111"/>
      <c r="P89" s="78">
        <v>1.9179999999999999</v>
      </c>
      <c r="Q89" s="111"/>
      <c r="R89" s="78">
        <v>1.9179999999999999</v>
      </c>
      <c r="S89" s="78" t="e">
        <f ca="1">_xll.cfyql_SimpleQuoteSetValue(E89,R89/100,Trigger)</f>
        <v>#NAME?</v>
      </c>
      <c r="T89" s="129"/>
      <c r="V89" s="160"/>
    </row>
    <row r="90" spans="1:22" x14ac:dyDescent="0.2">
      <c r="A90" s="134"/>
      <c r="B90" s="45" t="str">
        <f t="shared" si="8"/>
        <v>14Y</v>
      </c>
      <c r="C90" s="45" t="str">
        <f t="shared" si="9"/>
        <v>5F</v>
      </c>
      <c r="D90" s="43" t="str">
        <f t="shared" si="10"/>
        <v>EUR5F14Y_Quote</v>
      </c>
      <c r="E90" s="43" t="e">
        <f ca="1">_xll.cfyql_SimpleQuote(D90,,RateTickValue,Permanent,Trigger,ObjectOverwrite)</f>
        <v>#NAME?</v>
      </c>
      <c r="F90" s="42" t="e">
        <f ca="1">_xll.ohRangeRetrieveError(E90)</f>
        <v>#NAME?</v>
      </c>
      <c r="G90" s="36"/>
      <c r="H90" s="161"/>
      <c r="I90" s="112"/>
      <c r="J90" s="137" t="s">
        <v>42</v>
      </c>
      <c r="K90" s="137" t="str">
        <f t="shared" si="12"/>
        <v>5F</v>
      </c>
      <c r="L90" s="139" t="str">
        <f t="shared" si="11"/>
        <v>EUR5F14Y</v>
      </c>
      <c r="M90" s="139" t="str">
        <v>EUR5F14Y=ICAP</v>
      </c>
      <c r="N90" s="78">
        <v>1.9220000000000002</v>
      </c>
      <c r="O90" s="111"/>
      <c r="P90" s="78">
        <v>1.9220000000000002</v>
      </c>
      <c r="Q90" s="111"/>
      <c r="R90" s="78">
        <v>1.9220000000000002</v>
      </c>
      <c r="S90" s="78" t="e">
        <f ca="1">_xll.cfyql_SimpleQuoteSetValue(E90,R90/100,Trigger)</f>
        <v>#NAME?</v>
      </c>
      <c r="T90" s="129"/>
      <c r="V90" s="160"/>
    </row>
    <row r="91" spans="1:22" x14ac:dyDescent="0.2">
      <c r="A91" s="134"/>
      <c r="B91" s="45" t="str">
        <f t="shared" si="8"/>
        <v>15Y</v>
      </c>
      <c r="C91" s="45" t="str">
        <f t="shared" si="9"/>
        <v>5F</v>
      </c>
      <c r="D91" s="43" t="str">
        <f t="shared" si="10"/>
        <v>EUR5F15Y_Quote</v>
      </c>
      <c r="E91" s="43" t="e">
        <f ca="1">_xll.cfyql_SimpleQuote(D91,,RateTickValue,Permanent,Trigger,ObjectOverwrite)</f>
        <v>#NAME?</v>
      </c>
      <c r="F91" s="42" t="e">
        <f ca="1">_xll.ohRangeRetrieveError(E91)</f>
        <v>#NAME?</v>
      </c>
      <c r="G91" s="36"/>
      <c r="H91" s="161"/>
      <c r="I91" s="112"/>
      <c r="J91" s="137" t="s">
        <v>41</v>
      </c>
      <c r="K91" s="137" t="str">
        <f t="shared" si="12"/>
        <v>5F</v>
      </c>
      <c r="L91" s="139" t="str">
        <f t="shared" si="11"/>
        <v>EUR5F15Y</v>
      </c>
      <c r="M91" s="139" t="str">
        <v>EUR5F15Y=ICAP</v>
      </c>
      <c r="N91" s="78">
        <v>1.921</v>
      </c>
      <c r="O91" s="111"/>
      <c r="P91" s="78">
        <v>1.921</v>
      </c>
      <c r="Q91" s="111"/>
      <c r="R91" s="78">
        <v>1.921</v>
      </c>
      <c r="S91" s="78" t="e">
        <f ca="1">_xll.cfyql_SimpleQuoteSetValue(E91,R91/100,Trigger)</f>
        <v>#NAME?</v>
      </c>
      <c r="T91" s="129"/>
      <c r="V91" s="160"/>
    </row>
    <row r="92" spans="1:22" x14ac:dyDescent="0.2">
      <c r="A92" s="134"/>
      <c r="B92" s="45" t="str">
        <f t="shared" si="8"/>
        <v>20Y</v>
      </c>
      <c r="C92" s="45" t="str">
        <f t="shared" si="9"/>
        <v>5F</v>
      </c>
      <c r="D92" s="43" t="str">
        <f t="shared" si="10"/>
        <v>EUR5F20Y_Quote</v>
      </c>
      <c r="E92" s="43" t="e">
        <f ca="1">_xll.cfyql_SimpleQuote(D92,,RateTickValue,Permanent,Trigger,ObjectOverwrite)</f>
        <v>#NAME?</v>
      </c>
      <c r="F92" s="42" t="e">
        <f ca="1">_xll.ohRangeRetrieveError(E92)</f>
        <v>#NAME?</v>
      </c>
      <c r="G92" s="36"/>
      <c r="H92" s="161"/>
      <c r="I92" s="112"/>
      <c r="J92" s="137" t="s">
        <v>36</v>
      </c>
      <c r="K92" s="137" t="str">
        <f t="shared" si="12"/>
        <v>5F</v>
      </c>
      <c r="L92" s="139" t="str">
        <f t="shared" si="11"/>
        <v>EUR5F20Y</v>
      </c>
      <c r="M92" s="139" t="str">
        <v>EUR5F20Y=ICAP</v>
      </c>
      <c r="N92" s="78">
        <v>1.871</v>
      </c>
      <c r="O92" s="111"/>
      <c r="P92" s="78">
        <v>1.871</v>
      </c>
      <c r="Q92" s="111"/>
      <c r="R92" s="78">
        <v>1.871</v>
      </c>
      <c r="S92" s="78" t="e">
        <f ca="1">_xll.cfyql_SimpleQuoteSetValue(E92,R92/100,Trigger)</f>
        <v>#NAME?</v>
      </c>
      <c r="T92" s="129"/>
      <c r="V92" s="160"/>
    </row>
    <row r="93" spans="1:22" x14ac:dyDescent="0.2">
      <c r="A93" s="134"/>
      <c r="B93" s="45" t="str">
        <f t="shared" si="8"/>
        <v>25Y</v>
      </c>
      <c r="C93" s="45" t="str">
        <f t="shared" si="9"/>
        <v>5F</v>
      </c>
      <c r="D93" s="43" t="str">
        <f t="shared" si="10"/>
        <v>EUR5F25Y_Quote</v>
      </c>
      <c r="E93" s="43" t="e">
        <f ca="1">_xll.cfyql_SimpleQuote(D93,,RateTickValue,Permanent,Trigger,ObjectOverwrite)</f>
        <v>#NAME?</v>
      </c>
      <c r="F93" s="42" t="e">
        <f ca="1">_xll.ohRangeRetrieveError(E93)</f>
        <v>#NAME?</v>
      </c>
      <c r="G93" s="36"/>
      <c r="H93" s="161"/>
      <c r="I93" s="112"/>
      <c r="J93" s="137" t="s">
        <v>31</v>
      </c>
      <c r="K93" s="137" t="str">
        <f t="shared" si="12"/>
        <v>5F</v>
      </c>
      <c r="L93" s="139" t="str">
        <f t="shared" si="11"/>
        <v>EUR5F25Y</v>
      </c>
      <c r="M93" s="139" t="str">
        <v>EUR5F25Y=ICAP</v>
      </c>
      <c r="N93" s="78">
        <v>1.8180000000000001</v>
      </c>
      <c r="O93" s="111"/>
      <c r="P93" s="78">
        <v>1.8180000000000001</v>
      </c>
      <c r="Q93" s="111"/>
      <c r="R93" s="78">
        <v>1.8180000000000001</v>
      </c>
      <c r="S93" s="78" t="e">
        <f ca="1">_xll.cfyql_SimpleQuoteSetValue(E93,R93/100,Trigger)</f>
        <v>#NAME?</v>
      </c>
      <c r="T93" s="129"/>
      <c r="V93" s="160"/>
    </row>
    <row r="94" spans="1:22" x14ac:dyDescent="0.2">
      <c r="A94" s="134"/>
      <c r="B94" s="45" t="str">
        <f t="shared" si="8"/>
        <v>30Y</v>
      </c>
      <c r="C94" s="45" t="str">
        <f t="shared" si="9"/>
        <v>5F</v>
      </c>
      <c r="D94" s="43" t="str">
        <f t="shared" si="10"/>
        <v>EUR5F30Y_Quote</v>
      </c>
      <c r="E94" s="43" t="e">
        <f ca="1">_xll.cfyql_SimpleQuote(D94,,RateTickValue,Permanent,Trigger,ObjectOverwrite)</f>
        <v>#NAME?</v>
      </c>
      <c r="F94" s="42" t="e">
        <f ca="1">_xll.ohRangeRetrieveError(E94)</f>
        <v>#NAME?</v>
      </c>
      <c r="G94" s="36"/>
      <c r="H94" s="161"/>
      <c r="I94" s="112"/>
      <c r="J94" s="130" t="s">
        <v>26</v>
      </c>
      <c r="K94" s="130" t="str">
        <f t="shared" si="12"/>
        <v>5F</v>
      </c>
      <c r="L94" s="132" t="str">
        <f t="shared" si="11"/>
        <v>EUR5F30Y</v>
      </c>
      <c r="M94" s="132" t="str">
        <v>EUR5F30Y=ICAP</v>
      </c>
      <c r="N94" s="65">
        <v>1.786</v>
      </c>
      <c r="O94" s="111"/>
      <c r="P94" s="65">
        <v>1.786</v>
      </c>
      <c r="Q94" s="111"/>
      <c r="R94" s="65">
        <v>1.786</v>
      </c>
      <c r="S94" s="65" t="e">
        <f ca="1">_xll.cfyql_SimpleQuoteSetValue(E94,R94/100,Trigger)</f>
        <v>#NAME?</v>
      </c>
      <c r="T94" s="129"/>
      <c r="V94" s="160"/>
    </row>
    <row r="95" spans="1:22" x14ac:dyDescent="0.2">
      <c r="A95" s="134"/>
      <c r="B95" s="45" t="str">
        <f t="shared" si="8"/>
        <v>1Y</v>
      </c>
      <c r="C95" s="45" t="str">
        <f t="shared" si="9"/>
        <v>6F</v>
      </c>
      <c r="D95" s="43" t="str">
        <f t="shared" si="10"/>
        <v>EUR6F1Y_Quote</v>
      </c>
      <c r="E95" s="43" t="e">
        <f ca="1">_xll.cfyql_SimpleQuote(D95,,RateTickValue,Permanent,Trigger,ObjectOverwrite)</f>
        <v>#NAME?</v>
      </c>
      <c r="F95" s="42" t="e">
        <f ca="1">_xll.ohRangeRetrieveError(E95)</f>
        <v>#NAME?</v>
      </c>
      <c r="G95" s="36"/>
      <c r="H95" s="161"/>
      <c r="I95" s="134">
        <v>6</v>
      </c>
      <c r="J95" s="163" t="s">
        <v>58</v>
      </c>
      <c r="K95" s="163" t="str">
        <f t="shared" ref="K95:K112" si="13">$I$95&amp;"F"</f>
        <v>6F</v>
      </c>
      <c r="L95" s="162" t="str">
        <f t="shared" si="11"/>
        <v>EUR6F1Y</v>
      </c>
      <c r="M95" s="162" t="str">
        <v>EUR6F1Y=ICAP</v>
      </c>
      <c r="N95" s="89">
        <v>1.4350000000000001</v>
      </c>
      <c r="O95" s="111"/>
      <c r="P95" s="89">
        <v>1.4350000000000001</v>
      </c>
      <c r="Q95" s="111"/>
      <c r="R95" s="89">
        <v>1.4350000000000001</v>
      </c>
      <c r="S95" s="89" t="e">
        <f ca="1">_xll.cfyql_SimpleQuoteSetValue(E95,R95/100,Trigger)</f>
        <v>#NAME?</v>
      </c>
      <c r="T95" s="129"/>
      <c r="V95" s="160"/>
    </row>
    <row r="96" spans="1:22" x14ac:dyDescent="0.2">
      <c r="A96" s="134"/>
      <c r="B96" s="45" t="str">
        <f t="shared" si="8"/>
        <v>2Y</v>
      </c>
      <c r="C96" s="45" t="str">
        <f t="shared" si="9"/>
        <v>6F</v>
      </c>
      <c r="D96" s="43" t="str">
        <f t="shared" si="10"/>
        <v>EUR6F2Y_Quote</v>
      </c>
      <c r="E96" s="43" t="e">
        <f ca="1">_xll.cfyql_SimpleQuote(D96,,RateTickValue,Permanent,Trigger,ObjectOverwrite)</f>
        <v>#NAME?</v>
      </c>
      <c r="F96" s="42" t="e">
        <f ca="1">_xll.ohRangeRetrieveError(E96)</f>
        <v>#NAME?</v>
      </c>
      <c r="G96" s="36"/>
      <c r="H96" s="161"/>
      <c r="I96" s="112"/>
      <c r="J96" s="137" t="s">
        <v>54</v>
      </c>
      <c r="K96" s="137" t="str">
        <f t="shared" si="13"/>
        <v>6F</v>
      </c>
      <c r="L96" s="139" t="str">
        <f t="shared" si="11"/>
        <v>EUR6F2Y</v>
      </c>
      <c r="M96" s="139" t="str">
        <v>EUR6F2Y=ICAP</v>
      </c>
      <c r="N96" s="78">
        <v>1.5489999999999999</v>
      </c>
      <c r="O96" s="111"/>
      <c r="P96" s="78">
        <v>1.5489999999999999</v>
      </c>
      <c r="Q96" s="111"/>
      <c r="R96" s="78">
        <v>1.5489999999999999</v>
      </c>
      <c r="S96" s="78" t="e">
        <f ca="1">_xll.cfyql_SimpleQuoteSetValue(E96,R96/100,Trigger)</f>
        <v>#NAME?</v>
      </c>
      <c r="T96" s="129"/>
      <c r="V96" s="160"/>
    </row>
    <row r="97" spans="1:22" x14ac:dyDescent="0.2">
      <c r="A97" s="134"/>
      <c r="B97" s="45" t="str">
        <f t="shared" si="8"/>
        <v>3Y</v>
      </c>
      <c r="C97" s="45" t="str">
        <f t="shared" si="9"/>
        <v>6F</v>
      </c>
      <c r="D97" s="43" t="str">
        <f t="shared" si="10"/>
        <v>EUR6F3Y_Quote</v>
      </c>
      <c r="E97" s="43" t="e">
        <f ca="1">_xll.cfyql_SimpleQuote(D97,,RateTickValue,Permanent,Trigger,ObjectOverwrite)</f>
        <v>#NAME?</v>
      </c>
      <c r="F97" s="42" t="e">
        <f ca="1">_xll.ohRangeRetrieveError(E97)</f>
        <v>#NAME?</v>
      </c>
      <c r="G97" s="36"/>
      <c r="H97" s="161"/>
      <c r="I97" s="112"/>
      <c r="J97" s="137" t="s">
        <v>53</v>
      </c>
      <c r="K97" s="137" t="str">
        <f t="shared" si="13"/>
        <v>6F</v>
      </c>
      <c r="L97" s="139" t="str">
        <f t="shared" si="11"/>
        <v>EUR6F3Y</v>
      </c>
      <c r="M97" s="139" t="str">
        <v>EUR6F3Y=ICAP</v>
      </c>
      <c r="N97" s="78">
        <v>1.6480000000000001</v>
      </c>
      <c r="O97" s="111"/>
      <c r="P97" s="78">
        <v>1.6480000000000001</v>
      </c>
      <c r="Q97" s="111"/>
      <c r="R97" s="78">
        <v>1.6480000000000001</v>
      </c>
      <c r="S97" s="78" t="e">
        <f ca="1">_xll.cfyql_SimpleQuoteSetValue(E97,R97/100,Trigger)</f>
        <v>#NAME?</v>
      </c>
      <c r="T97" s="129"/>
      <c r="V97" s="160"/>
    </row>
    <row r="98" spans="1:22" x14ac:dyDescent="0.2">
      <c r="A98" s="134"/>
      <c r="B98" s="45" t="str">
        <f t="shared" si="8"/>
        <v>4Y</v>
      </c>
      <c r="C98" s="45" t="str">
        <f t="shared" si="9"/>
        <v>6F</v>
      </c>
      <c r="D98" s="43" t="str">
        <f t="shared" si="10"/>
        <v>EUR6F4Y_Quote</v>
      </c>
      <c r="E98" s="43" t="e">
        <f ca="1">_xll.cfyql_SimpleQuote(D98,,RateTickValue,Permanent,Trigger,ObjectOverwrite)</f>
        <v>#NAME?</v>
      </c>
      <c r="F98" s="42" t="e">
        <f ca="1">_xll.ohRangeRetrieveError(E98)</f>
        <v>#NAME?</v>
      </c>
      <c r="G98" s="36"/>
      <c r="H98" s="161"/>
      <c r="I98" s="112"/>
      <c r="J98" s="137" t="s">
        <v>52</v>
      </c>
      <c r="K98" s="137" t="str">
        <f t="shared" si="13"/>
        <v>6F</v>
      </c>
      <c r="L98" s="139" t="str">
        <f t="shared" si="11"/>
        <v>EUR6F4Y</v>
      </c>
      <c r="M98" s="139" t="str">
        <v>EUR6F4Y=ICAP</v>
      </c>
      <c r="N98" s="78">
        <v>1.7230000000000001</v>
      </c>
      <c r="O98" s="111"/>
      <c r="P98" s="78">
        <v>1.7230000000000001</v>
      </c>
      <c r="Q98" s="111"/>
      <c r="R98" s="78">
        <v>1.7230000000000001</v>
      </c>
      <c r="S98" s="78" t="e">
        <f ca="1">_xll.cfyql_SimpleQuoteSetValue(E98,R98/100,Trigger)</f>
        <v>#NAME?</v>
      </c>
      <c r="T98" s="129"/>
      <c r="V98" s="160"/>
    </row>
    <row r="99" spans="1:22" x14ac:dyDescent="0.2">
      <c r="A99" s="134"/>
      <c r="B99" s="45" t="str">
        <f t="shared" si="8"/>
        <v>5Y</v>
      </c>
      <c r="C99" s="45" t="str">
        <f t="shared" si="9"/>
        <v>6F</v>
      </c>
      <c r="D99" s="43" t="str">
        <f t="shared" si="10"/>
        <v>EUR6F5Y_Quote</v>
      </c>
      <c r="E99" s="43" t="e">
        <f ca="1">_xll.cfyql_SimpleQuote(D99,,RateTickValue,Permanent,Trigger,ObjectOverwrite)</f>
        <v>#NAME?</v>
      </c>
      <c r="F99" s="42" t="e">
        <f ca="1">_xll.ohRangeRetrieveError(E99)</f>
        <v>#NAME?</v>
      </c>
      <c r="G99" s="36"/>
      <c r="H99" s="161"/>
      <c r="I99" s="112"/>
      <c r="J99" s="137" t="s">
        <v>51</v>
      </c>
      <c r="K99" s="137" t="str">
        <f t="shared" si="13"/>
        <v>6F</v>
      </c>
      <c r="L99" s="139" t="str">
        <f t="shared" si="11"/>
        <v>EUR6F5Y</v>
      </c>
      <c r="M99" s="139" t="str">
        <v>EUR6F5Y=ICAP</v>
      </c>
      <c r="N99" s="78">
        <v>1.79</v>
      </c>
      <c r="O99" s="111"/>
      <c r="P99" s="78">
        <v>1.79</v>
      </c>
      <c r="Q99" s="111"/>
      <c r="R99" s="78">
        <v>1.79</v>
      </c>
      <c r="S99" s="78" t="e">
        <f ca="1">_xll.cfyql_SimpleQuoteSetValue(E99,R99/100,Trigger)</f>
        <v>#NAME?</v>
      </c>
      <c r="T99" s="129"/>
      <c r="V99" s="160"/>
    </row>
    <row r="100" spans="1:22" x14ac:dyDescent="0.2">
      <c r="A100" s="134"/>
      <c r="B100" s="45" t="str">
        <f t="shared" si="8"/>
        <v>6Y</v>
      </c>
      <c r="C100" s="45" t="str">
        <f t="shared" si="9"/>
        <v>6F</v>
      </c>
      <c r="D100" s="43" t="str">
        <f t="shared" si="10"/>
        <v>EUR6F6Y_Quote</v>
      </c>
      <c r="E100" s="43" t="e">
        <f ca="1">_xll.cfyql_SimpleQuote(D100,,RateTickValue,Permanent,Trigger,ObjectOverwrite)</f>
        <v>#NAME?</v>
      </c>
      <c r="F100" s="42" t="e">
        <f ca="1">_xll.ohRangeRetrieveError(E100)</f>
        <v>#NAME?</v>
      </c>
      <c r="G100" s="36"/>
      <c r="H100" s="161"/>
      <c r="I100" s="112"/>
      <c r="J100" s="137" t="s">
        <v>50</v>
      </c>
      <c r="K100" s="137" t="str">
        <f t="shared" si="13"/>
        <v>6F</v>
      </c>
      <c r="L100" s="139" t="str">
        <f t="shared" si="11"/>
        <v>EUR6F6Y</v>
      </c>
      <c r="M100" s="139" t="str">
        <v>EUR6F6Y=ICAP</v>
      </c>
      <c r="N100" s="78">
        <v>1.8460000000000001</v>
      </c>
      <c r="O100" s="111"/>
      <c r="P100" s="78">
        <v>1.8460000000000001</v>
      </c>
      <c r="Q100" s="111"/>
      <c r="R100" s="78">
        <v>1.8460000000000001</v>
      </c>
      <c r="S100" s="78" t="e">
        <f ca="1">_xll.cfyql_SimpleQuoteSetValue(E100,R100/100,Trigger)</f>
        <v>#NAME?</v>
      </c>
      <c r="T100" s="129"/>
      <c r="V100" s="160"/>
    </row>
    <row r="101" spans="1:22" x14ac:dyDescent="0.2">
      <c r="A101" s="134"/>
      <c r="B101" s="45" t="str">
        <f t="shared" si="8"/>
        <v>7Y</v>
      </c>
      <c r="C101" s="45" t="str">
        <f t="shared" si="9"/>
        <v>6F</v>
      </c>
      <c r="D101" s="43" t="str">
        <f t="shared" si="10"/>
        <v>EUR6F7Y_Quote</v>
      </c>
      <c r="E101" s="43" t="e">
        <f ca="1">_xll.cfyql_SimpleQuote(D101,,RateTickValue,Permanent,Trigger,ObjectOverwrite)</f>
        <v>#NAME?</v>
      </c>
      <c r="F101" s="42" t="e">
        <f ca="1">_xll.ohRangeRetrieveError(E101)</f>
        <v>#NAME?</v>
      </c>
      <c r="G101" s="36"/>
      <c r="H101" s="161"/>
      <c r="I101" s="112"/>
      <c r="J101" s="137" t="s">
        <v>49</v>
      </c>
      <c r="K101" s="137" t="str">
        <f t="shared" si="13"/>
        <v>6F</v>
      </c>
      <c r="L101" s="139" t="str">
        <f t="shared" si="11"/>
        <v>EUR6F7Y</v>
      </c>
      <c r="M101" s="139" t="str">
        <v>EUR6F7Y=ICAP</v>
      </c>
      <c r="N101" s="78">
        <v>1.8919999999999999</v>
      </c>
      <c r="O101" s="111"/>
      <c r="P101" s="78">
        <v>1.8919999999999999</v>
      </c>
      <c r="Q101" s="111"/>
      <c r="R101" s="78">
        <v>1.8919999999999999</v>
      </c>
      <c r="S101" s="78" t="e">
        <f ca="1">_xll.cfyql_SimpleQuoteSetValue(E101,R101/100,Trigger)</f>
        <v>#NAME?</v>
      </c>
      <c r="T101" s="129"/>
      <c r="V101" s="160"/>
    </row>
    <row r="102" spans="1:22" x14ac:dyDescent="0.2">
      <c r="A102" s="134"/>
      <c r="B102" s="45" t="str">
        <f t="shared" si="8"/>
        <v>8Y</v>
      </c>
      <c r="C102" s="45" t="str">
        <f t="shared" si="9"/>
        <v>6F</v>
      </c>
      <c r="D102" s="43" t="str">
        <f t="shared" si="10"/>
        <v>EUR6F8Y_Quote</v>
      </c>
      <c r="E102" s="43" t="e">
        <f ca="1">_xll.cfyql_SimpleQuote(D102,,RateTickValue,Permanent,Trigger,ObjectOverwrite)</f>
        <v>#NAME?</v>
      </c>
      <c r="F102" s="42" t="e">
        <f ca="1">_xll.ohRangeRetrieveError(E102)</f>
        <v>#NAME?</v>
      </c>
      <c r="G102" s="36"/>
      <c r="H102" s="161"/>
      <c r="I102" s="112"/>
      <c r="J102" s="137" t="s">
        <v>48</v>
      </c>
      <c r="K102" s="137" t="str">
        <f t="shared" si="13"/>
        <v>6F</v>
      </c>
      <c r="L102" s="139" t="str">
        <f t="shared" si="11"/>
        <v>EUR6F8Y</v>
      </c>
      <c r="M102" s="139" t="str">
        <v>EUR6F8Y=ICAP</v>
      </c>
      <c r="N102" s="78">
        <v>1.927</v>
      </c>
      <c r="O102" s="111"/>
      <c r="P102" s="78">
        <v>1.927</v>
      </c>
      <c r="Q102" s="111"/>
      <c r="R102" s="78">
        <v>1.927</v>
      </c>
      <c r="S102" s="78" t="e">
        <f ca="1">_xll.cfyql_SimpleQuoteSetValue(E102,R102/100,Trigger)</f>
        <v>#NAME?</v>
      </c>
      <c r="T102" s="129"/>
      <c r="V102" s="160"/>
    </row>
    <row r="103" spans="1:22" x14ac:dyDescent="0.2">
      <c r="A103" s="134"/>
      <c r="B103" s="45" t="str">
        <f t="shared" si="8"/>
        <v>9Y</v>
      </c>
      <c r="C103" s="45" t="str">
        <f t="shared" si="9"/>
        <v>6F</v>
      </c>
      <c r="D103" s="43" t="str">
        <f t="shared" si="10"/>
        <v>EUR6F9Y_Quote</v>
      </c>
      <c r="E103" s="43" t="e">
        <f ca="1">_xll.cfyql_SimpleQuote(D103,,RateTickValue,Permanent,Trigger,ObjectOverwrite)</f>
        <v>#NAME?</v>
      </c>
      <c r="F103" s="42" t="e">
        <f ca="1">_xll.ohRangeRetrieveError(E103)</f>
        <v>#NAME?</v>
      </c>
      <c r="G103" s="36"/>
      <c r="H103" s="161"/>
      <c r="I103" s="112"/>
      <c r="J103" s="137" t="s">
        <v>47</v>
      </c>
      <c r="K103" s="137" t="str">
        <f t="shared" si="13"/>
        <v>6F</v>
      </c>
      <c r="L103" s="139" t="str">
        <f t="shared" si="11"/>
        <v>EUR6F9Y</v>
      </c>
      <c r="M103" s="139" t="str">
        <v>EUR6F9Y=ICAP</v>
      </c>
      <c r="N103" s="78">
        <v>1.954</v>
      </c>
      <c r="O103" s="111"/>
      <c r="P103" s="78">
        <v>1.954</v>
      </c>
      <c r="Q103" s="111"/>
      <c r="R103" s="78">
        <v>1.954</v>
      </c>
      <c r="S103" s="78" t="e">
        <f ca="1">_xll.cfyql_SimpleQuoteSetValue(E103,R103/100,Trigger)</f>
        <v>#NAME?</v>
      </c>
      <c r="T103" s="129"/>
      <c r="V103" s="160"/>
    </row>
    <row r="104" spans="1:22" x14ac:dyDescent="0.2">
      <c r="A104" s="134"/>
      <c r="B104" s="45" t="str">
        <f t="shared" si="8"/>
        <v>10Y</v>
      </c>
      <c r="C104" s="45" t="str">
        <f t="shared" si="9"/>
        <v>6F</v>
      </c>
      <c r="D104" s="43" t="str">
        <f t="shared" si="10"/>
        <v>EUR6F10Y_Quote</v>
      </c>
      <c r="E104" s="43" t="e">
        <f ca="1">_xll.cfyql_SimpleQuote(D104,,RateTickValue,Permanent,Trigger,ObjectOverwrite)</f>
        <v>#NAME?</v>
      </c>
      <c r="F104" s="42" t="e">
        <f ca="1">_xll.ohRangeRetrieveError(E104)</f>
        <v>#NAME?</v>
      </c>
      <c r="G104" s="36"/>
      <c r="H104" s="161"/>
      <c r="I104" s="112"/>
      <c r="J104" s="137" t="s">
        <v>46</v>
      </c>
      <c r="K104" s="137" t="str">
        <f t="shared" si="13"/>
        <v>6F</v>
      </c>
      <c r="L104" s="139" t="str">
        <f t="shared" si="11"/>
        <v>EUR6F10Y</v>
      </c>
      <c r="M104" s="139" t="str">
        <v>EUR6F10Y=ICAP</v>
      </c>
      <c r="N104" s="78">
        <v>1.972</v>
      </c>
      <c r="O104" s="111"/>
      <c r="P104" s="78">
        <v>1.972</v>
      </c>
      <c r="Q104" s="111"/>
      <c r="R104" s="78">
        <v>1.972</v>
      </c>
      <c r="S104" s="78" t="e">
        <f ca="1">_xll.cfyql_SimpleQuoteSetValue(E104,R104/100,Trigger)</f>
        <v>#NAME?</v>
      </c>
      <c r="T104" s="129"/>
      <c r="V104" s="160"/>
    </row>
    <row r="105" spans="1:22" x14ac:dyDescent="0.2">
      <c r="A105" s="134"/>
      <c r="B105" s="45" t="str">
        <f t="shared" si="8"/>
        <v>11Y</v>
      </c>
      <c r="C105" s="45" t="str">
        <f t="shared" si="9"/>
        <v>6F</v>
      </c>
      <c r="D105" s="43" t="str">
        <f t="shared" si="10"/>
        <v>EUR6F11Y_Quote</v>
      </c>
      <c r="E105" s="43" t="e">
        <f ca="1">_xll.cfyql_SimpleQuote(D105,,RateTickValue,Permanent,Trigger,ObjectOverwrite)</f>
        <v>#NAME?</v>
      </c>
      <c r="F105" s="42" t="e">
        <f ca="1">_xll.ohRangeRetrieveError(E105)</f>
        <v>#NAME?</v>
      </c>
      <c r="G105" s="36"/>
      <c r="H105" s="161"/>
      <c r="I105" s="112"/>
      <c r="J105" s="137" t="s">
        <v>45</v>
      </c>
      <c r="K105" s="137" t="str">
        <f t="shared" si="13"/>
        <v>6F</v>
      </c>
      <c r="L105" s="139" t="str">
        <f t="shared" si="11"/>
        <v>EUR6F11Y</v>
      </c>
      <c r="M105" s="139" t="str">
        <v>EUR6F11Y=ICAP</v>
      </c>
      <c r="N105" s="78">
        <v>1.986</v>
      </c>
      <c r="O105" s="111"/>
      <c r="P105" s="78">
        <v>1.986</v>
      </c>
      <c r="Q105" s="111"/>
      <c r="R105" s="78">
        <v>1.986</v>
      </c>
      <c r="S105" s="78" t="e">
        <f ca="1">_xll.cfyql_SimpleQuoteSetValue(E105,R105/100,Trigger)</f>
        <v>#NAME?</v>
      </c>
      <c r="T105" s="129"/>
      <c r="V105" s="160"/>
    </row>
    <row r="106" spans="1:22" x14ac:dyDescent="0.2">
      <c r="A106" s="134"/>
      <c r="B106" s="45" t="str">
        <f t="shared" si="8"/>
        <v>12Y</v>
      </c>
      <c r="C106" s="45" t="str">
        <f t="shared" si="9"/>
        <v>6F</v>
      </c>
      <c r="D106" s="43" t="str">
        <f t="shared" si="10"/>
        <v>EUR6F12Y_Quote</v>
      </c>
      <c r="E106" s="43" t="e">
        <f ca="1">_xll.cfyql_SimpleQuote(D106,,RateTickValue,Permanent,Trigger,ObjectOverwrite)</f>
        <v>#NAME?</v>
      </c>
      <c r="F106" s="42" t="e">
        <f ca="1">_xll.ohRangeRetrieveError(E106)</f>
        <v>#NAME?</v>
      </c>
      <c r="G106" s="36"/>
      <c r="H106" s="161"/>
      <c r="I106" s="112"/>
      <c r="J106" s="137" t="s">
        <v>44</v>
      </c>
      <c r="K106" s="137" t="str">
        <f t="shared" si="13"/>
        <v>6F</v>
      </c>
      <c r="L106" s="139" t="str">
        <f t="shared" si="11"/>
        <v>EUR6F12Y</v>
      </c>
      <c r="M106" s="139" t="str">
        <v>EUR6F12Y=ICAP</v>
      </c>
      <c r="N106" s="78">
        <v>1.99</v>
      </c>
      <c r="O106" s="111"/>
      <c r="P106" s="78">
        <v>1.99</v>
      </c>
      <c r="Q106" s="111"/>
      <c r="R106" s="78">
        <v>1.99</v>
      </c>
      <c r="S106" s="78" t="e">
        <f ca="1">_xll.cfyql_SimpleQuoteSetValue(E106,R106/100,Trigger)</f>
        <v>#NAME?</v>
      </c>
      <c r="T106" s="129"/>
      <c r="V106" s="160"/>
    </row>
    <row r="107" spans="1:22" x14ac:dyDescent="0.2">
      <c r="A107" s="134"/>
      <c r="B107" s="45" t="str">
        <f t="shared" si="8"/>
        <v>13Y</v>
      </c>
      <c r="C107" s="45" t="str">
        <f t="shared" si="9"/>
        <v>6F</v>
      </c>
      <c r="D107" s="43" t="str">
        <f t="shared" si="10"/>
        <v>EUR6F13Y_Quote</v>
      </c>
      <c r="E107" s="43" t="e">
        <f ca="1">_xll.cfyql_SimpleQuote(D107,,RateTickValue,Permanent,Trigger,ObjectOverwrite)</f>
        <v>#NAME?</v>
      </c>
      <c r="F107" s="42" t="e">
        <f ca="1">_xll.ohRangeRetrieveError(E107)</f>
        <v>#NAME?</v>
      </c>
      <c r="G107" s="36"/>
      <c r="H107" s="161"/>
      <c r="I107" s="112"/>
      <c r="J107" s="137" t="s">
        <v>43</v>
      </c>
      <c r="K107" s="137" t="str">
        <f t="shared" si="13"/>
        <v>6F</v>
      </c>
      <c r="L107" s="139" t="str">
        <f t="shared" si="11"/>
        <v>EUR6F13Y</v>
      </c>
      <c r="M107" s="139" t="str">
        <v>EUR6F13Y=ICAP</v>
      </c>
      <c r="N107" s="78">
        <v>1.99</v>
      </c>
      <c r="O107" s="111"/>
      <c r="P107" s="78">
        <v>1.99</v>
      </c>
      <c r="Q107" s="111"/>
      <c r="R107" s="78">
        <v>1.99</v>
      </c>
      <c r="S107" s="78" t="e">
        <f ca="1">_xll.cfyql_SimpleQuoteSetValue(E107,R107/100,Trigger)</f>
        <v>#NAME?</v>
      </c>
      <c r="T107" s="129"/>
      <c r="V107" s="160"/>
    </row>
    <row r="108" spans="1:22" x14ac:dyDescent="0.2">
      <c r="A108" s="134"/>
      <c r="B108" s="45" t="str">
        <f t="shared" si="8"/>
        <v>14Y</v>
      </c>
      <c r="C108" s="45" t="str">
        <f t="shared" si="9"/>
        <v>6F</v>
      </c>
      <c r="D108" s="43" t="str">
        <f t="shared" si="10"/>
        <v>EUR6F14Y_Quote</v>
      </c>
      <c r="E108" s="43" t="e">
        <f ca="1">_xll.cfyql_SimpleQuote(D108,,RateTickValue,Permanent,Trigger,ObjectOverwrite)</f>
        <v>#NAME?</v>
      </c>
      <c r="F108" s="42" t="e">
        <f ca="1">_xll.ohRangeRetrieveError(E108)</f>
        <v>#NAME?</v>
      </c>
      <c r="G108" s="36"/>
      <c r="H108" s="161"/>
      <c r="I108" s="112"/>
      <c r="J108" s="137" t="s">
        <v>42</v>
      </c>
      <c r="K108" s="137" t="str">
        <f t="shared" si="13"/>
        <v>6F</v>
      </c>
      <c r="L108" s="139" t="str">
        <f t="shared" si="11"/>
        <v>EUR6F14Y</v>
      </c>
      <c r="M108" s="139" t="str">
        <v>EUR6F14Y=ICAP</v>
      </c>
      <c r="N108" s="78">
        <v>1.984</v>
      </c>
      <c r="O108" s="111"/>
      <c r="P108" s="78">
        <v>1.984</v>
      </c>
      <c r="Q108" s="111"/>
      <c r="R108" s="78">
        <v>1.984</v>
      </c>
      <c r="S108" s="78" t="e">
        <f ca="1">_xll.cfyql_SimpleQuoteSetValue(E108,R108/100,Trigger)</f>
        <v>#NAME?</v>
      </c>
      <c r="T108" s="129"/>
      <c r="V108" s="160"/>
    </row>
    <row r="109" spans="1:22" x14ac:dyDescent="0.2">
      <c r="A109" s="134"/>
      <c r="B109" s="45" t="str">
        <f t="shared" si="8"/>
        <v>15Y</v>
      </c>
      <c r="C109" s="45" t="str">
        <f t="shared" si="9"/>
        <v>6F</v>
      </c>
      <c r="D109" s="43" t="str">
        <f t="shared" si="10"/>
        <v>EUR6F15Y_Quote</v>
      </c>
      <c r="E109" s="43" t="e">
        <f ca="1">_xll.cfyql_SimpleQuote(D109,,RateTickValue,Permanent,Trigger,ObjectOverwrite)</f>
        <v>#NAME?</v>
      </c>
      <c r="F109" s="42" t="e">
        <f ca="1">_xll.ohRangeRetrieveError(E109)</f>
        <v>#NAME?</v>
      </c>
      <c r="G109" s="36"/>
      <c r="H109" s="161"/>
      <c r="I109" s="112"/>
      <c r="J109" s="137" t="s">
        <v>41</v>
      </c>
      <c r="K109" s="137" t="str">
        <f t="shared" si="13"/>
        <v>6F</v>
      </c>
      <c r="L109" s="139" t="str">
        <f t="shared" si="11"/>
        <v>EUR6F15Y</v>
      </c>
      <c r="M109" s="139" t="str">
        <v>EUR6F15Y=ICAP</v>
      </c>
      <c r="N109" s="78">
        <v>1.974</v>
      </c>
      <c r="O109" s="111"/>
      <c r="P109" s="78">
        <v>1.974</v>
      </c>
      <c r="Q109" s="111"/>
      <c r="R109" s="78">
        <v>1.974</v>
      </c>
      <c r="S109" s="78" t="e">
        <f ca="1">_xll.cfyql_SimpleQuoteSetValue(E109,R109/100,Trigger)</f>
        <v>#NAME?</v>
      </c>
      <c r="T109" s="129"/>
      <c r="V109" s="160"/>
    </row>
    <row r="110" spans="1:22" x14ac:dyDescent="0.2">
      <c r="A110" s="134"/>
      <c r="B110" s="45" t="str">
        <f t="shared" si="8"/>
        <v>20Y</v>
      </c>
      <c r="C110" s="45" t="str">
        <f t="shared" si="9"/>
        <v>6F</v>
      </c>
      <c r="D110" s="43" t="str">
        <f t="shared" si="10"/>
        <v>EUR6F20Y_Quote</v>
      </c>
      <c r="E110" s="43" t="e">
        <f ca="1">_xll.cfyql_SimpleQuote(D110,,RateTickValue,Permanent,Trigger,ObjectOverwrite)</f>
        <v>#NAME?</v>
      </c>
      <c r="F110" s="42" t="e">
        <f ca="1">_xll.ohRangeRetrieveError(E110)</f>
        <v>#NAME?</v>
      </c>
      <c r="G110" s="36"/>
      <c r="H110" s="161"/>
      <c r="I110" s="112"/>
      <c r="J110" s="137" t="s">
        <v>36</v>
      </c>
      <c r="K110" s="137" t="str">
        <f t="shared" si="13"/>
        <v>6F</v>
      </c>
      <c r="L110" s="139" t="str">
        <f t="shared" si="11"/>
        <v>EUR6F20Y</v>
      </c>
      <c r="M110" s="139" t="str">
        <v>EUR6F20Y=ICAP</v>
      </c>
      <c r="N110" s="78">
        <v>1.9019999999999999</v>
      </c>
      <c r="O110" s="111"/>
      <c r="P110" s="78">
        <v>1.9019999999999999</v>
      </c>
      <c r="Q110" s="111"/>
      <c r="R110" s="78">
        <v>1.9019999999999999</v>
      </c>
      <c r="S110" s="78" t="e">
        <f ca="1">_xll.cfyql_SimpleQuoteSetValue(E110,R110/100,Trigger)</f>
        <v>#NAME?</v>
      </c>
      <c r="T110" s="129"/>
      <c r="V110" s="160"/>
    </row>
    <row r="111" spans="1:22" x14ac:dyDescent="0.2">
      <c r="A111" s="134"/>
      <c r="B111" s="45" t="str">
        <f t="shared" si="8"/>
        <v>25Y</v>
      </c>
      <c r="C111" s="45" t="str">
        <f t="shared" si="9"/>
        <v>6F</v>
      </c>
      <c r="D111" s="43" t="str">
        <f t="shared" si="10"/>
        <v>EUR6F25Y_Quote</v>
      </c>
      <c r="E111" s="43" t="e">
        <f ca="1">_xll.cfyql_SimpleQuote(D111,,RateTickValue,Permanent,Trigger,ObjectOverwrite)</f>
        <v>#NAME?</v>
      </c>
      <c r="F111" s="42" t="e">
        <f ca="1">_xll.ohRangeRetrieveError(E111)</f>
        <v>#NAME?</v>
      </c>
      <c r="G111" s="36"/>
      <c r="H111" s="161"/>
      <c r="I111" s="112"/>
      <c r="J111" s="137" t="s">
        <v>31</v>
      </c>
      <c r="K111" s="137" t="str">
        <f t="shared" si="13"/>
        <v>6F</v>
      </c>
      <c r="L111" s="139" t="str">
        <f t="shared" si="11"/>
        <v>EUR6F25Y</v>
      </c>
      <c r="M111" s="139" t="str">
        <v>EUR6F25Y=ICAP</v>
      </c>
      <c r="N111" s="78">
        <v>1.8439999999999999</v>
      </c>
      <c r="O111" s="111"/>
      <c r="P111" s="78">
        <v>1.8439999999999999</v>
      </c>
      <c r="Q111" s="111"/>
      <c r="R111" s="78">
        <v>1.8439999999999999</v>
      </c>
      <c r="S111" s="78" t="e">
        <f ca="1">_xll.cfyql_SimpleQuoteSetValue(E111,R111/100,Trigger)</f>
        <v>#NAME?</v>
      </c>
      <c r="T111" s="129"/>
      <c r="V111" s="160"/>
    </row>
    <row r="112" spans="1:22" x14ac:dyDescent="0.2">
      <c r="A112" s="134"/>
      <c r="B112" s="45" t="str">
        <f t="shared" si="8"/>
        <v>30Y</v>
      </c>
      <c r="C112" s="45" t="str">
        <f t="shared" si="9"/>
        <v>6F</v>
      </c>
      <c r="D112" s="43" t="str">
        <f t="shared" si="10"/>
        <v>EUR6F30Y_Quote</v>
      </c>
      <c r="E112" s="43" t="e">
        <f ca="1">_xll.cfyql_SimpleQuote(D112,,RateTickValue,Permanent,Trigger,ObjectOverwrite)</f>
        <v>#NAME?</v>
      </c>
      <c r="F112" s="42" t="e">
        <f ca="1">_xll.ohRangeRetrieveError(E112)</f>
        <v>#NAME?</v>
      </c>
      <c r="G112" s="36"/>
      <c r="H112" s="161"/>
      <c r="I112" s="112"/>
      <c r="J112" s="130" t="s">
        <v>26</v>
      </c>
      <c r="K112" s="130" t="str">
        <f t="shared" si="13"/>
        <v>6F</v>
      </c>
      <c r="L112" s="132" t="str">
        <f t="shared" si="11"/>
        <v>EUR6F30Y</v>
      </c>
      <c r="M112" s="132" t="str">
        <v>EUR6F30Y=ICAP</v>
      </c>
      <c r="N112" s="65">
        <v>1.8080000000000001</v>
      </c>
      <c r="O112" s="111"/>
      <c r="P112" s="65">
        <v>1.8080000000000001</v>
      </c>
      <c r="Q112" s="111"/>
      <c r="R112" s="65">
        <v>1.8080000000000001</v>
      </c>
      <c r="S112" s="65" t="e">
        <f ca="1">_xll.cfyql_SimpleQuoteSetValue(E112,R112/100,Trigger)</f>
        <v>#NAME?</v>
      </c>
      <c r="T112" s="129"/>
      <c r="V112" s="160"/>
    </row>
    <row r="113" spans="1:22" x14ac:dyDescent="0.2">
      <c r="A113" s="134"/>
      <c r="B113" s="45" t="str">
        <f t="shared" si="8"/>
        <v>1Y</v>
      </c>
      <c r="C113" s="45" t="str">
        <f t="shared" si="9"/>
        <v>7F</v>
      </c>
      <c r="D113" s="43" t="str">
        <f t="shared" si="10"/>
        <v>EUR7F1Y_Quote</v>
      </c>
      <c r="E113" s="43" t="e">
        <f ca="1">_xll.cfyql_SimpleQuote(D113,,RateTickValue,Permanent,Trigger,ObjectOverwrite)</f>
        <v>#NAME?</v>
      </c>
      <c r="F113" s="42" t="e">
        <f ca="1">_xll.ohRangeRetrieveError(E113)</f>
        <v>#NAME?</v>
      </c>
      <c r="G113" s="36"/>
      <c r="H113" s="161"/>
      <c r="I113" s="134">
        <v>7</v>
      </c>
      <c r="J113" s="163" t="s">
        <v>58</v>
      </c>
      <c r="K113" s="163" t="str">
        <f t="shared" ref="K113:K130" si="14">$I$113&amp;"F"</f>
        <v>7F</v>
      </c>
      <c r="L113" s="162" t="str">
        <f t="shared" si="11"/>
        <v>EUR7F1Y</v>
      </c>
      <c r="M113" s="162" t="str">
        <v>EUR7F1Y=ICAP</v>
      </c>
      <c r="N113" s="89">
        <v>1.665</v>
      </c>
      <c r="O113" s="111"/>
      <c r="P113" s="89">
        <v>1.665</v>
      </c>
      <c r="Q113" s="111"/>
      <c r="R113" s="89">
        <v>1.665</v>
      </c>
      <c r="S113" s="89" t="e">
        <f ca="1">_xll.cfyql_SimpleQuoteSetValue(E113,R113/100,Trigger)</f>
        <v>#NAME?</v>
      </c>
      <c r="T113" s="129"/>
      <c r="V113" s="160"/>
    </row>
    <row r="114" spans="1:22" x14ac:dyDescent="0.2">
      <c r="A114" s="134"/>
      <c r="B114" s="45" t="str">
        <f t="shared" si="8"/>
        <v>2Y</v>
      </c>
      <c r="C114" s="45" t="str">
        <f t="shared" si="9"/>
        <v>7F</v>
      </c>
      <c r="D114" s="43" t="str">
        <f t="shared" si="10"/>
        <v>EUR7F2Y_Quote</v>
      </c>
      <c r="E114" s="43" t="e">
        <f ca="1">_xll.cfyql_SimpleQuote(D114,,RateTickValue,Permanent,Trigger,ObjectOverwrite)</f>
        <v>#NAME?</v>
      </c>
      <c r="F114" s="42" t="e">
        <f ca="1">_xll.ohRangeRetrieveError(E114)</f>
        <v>#NAME?</v>
      </c>
      <c r="G114" s="36"/>
      <c r="H114" s="161"/>
      <c r="I114" s="112"/>
      <c r="J114" s="137" t="s">
        <v>54</v>
      </c>
      <c r="K114" s="137" t="str">
        <f t="shared" si="14"/>
        <v>7F</v>
      </c>
      <c r="L114" s="139" t="str">
        <f t="shared" si="11"/>
        <v>EUR7F2Y</v>
      </c>
      <c r="M114" s="139" t="str">
        <v>EUR7F2Y=ICAP</v>
      </c>
      <c r="N114" s="78">
        <v>1.756</v>
      </c>
      <c r="O114" s="111"/>
      <c r="P114" s="78">
        <v>1.756</v>
      </c>
      <c r="Q114" s="111"/>
      <c r="R114" s="78">
        <v>1.756</v>
      </c>
      <c r="S114" s="78" t="e">
        <f ca="1">_xll.cfyql_SimpleQuoteSetValue(E114,R114/100,Trigger)</f>
        <v>#NAME?</v>
      </c>
      <c r="T114" s="129"/>
      <c r="V114" s="160"/>
    </row>
    <row r="115" spans="1:22" x14ac:dyDescent="0.2">
      <c r="A115" s="134"/>
      <c r="B115" s="45" t="str">
        <f t="shared" si="8"/>
        <v>3Y</v>
      </c>
      <c r="C115" s="45" t="str">
        <f t="shared" si="9"/>
        <v>7F</v>
      </c>
      <c r="D115" s="43" t="str">
        <f t="shared" si="10"/>
        <v>EUR7F3Y_Quote</v>
      </c>
      <c r="E115" s="43" t="e">
        <f ca="1">_xll.cfyql_SimpleQuote(D115,,RateTickValue,Permanent,Trigger,ObjectOverwrite)</f>
        <v>#NAME?</v>
      </c>
      <c r="F115" s="42" t="e">
        <f ca="1">_xll.ohRangeRetrieveError(E115)</f>
        <v>#NAME?</v>
      </c>
      <c r="G115" s="36"/>
      <c r="H115" s="161"/>
      <c r="I115" s="112"/>
      <c r="J115" s="137" t="s">
        <v>53</v>
      </c>
      <c r="K115" s="137" t="str">
        <f t="shared" si="14"/>
        <v>7F</v>
      </c>
      <c r="L115" s="139" t="str">
        <f t="shared" si="11"/>
        <v>EUR7F3Y</v>
      </c>
      <c r="M115" s="139" t="str">
        <v>EUR7F3Y=ICAP</v>
      </c>
      <c r="N115" s="78">
        <v>1.8220000000000001</v>
      </c>
      <c r="O115" s="111"/>
      <c r="P115" s="78">
        <v>1.8220000000000001</v>
      </c>
      <c r="Q115" s="111"/>
      <c r="R115" s="78">
        <v>1.8220000000000001</v>
      </c>
      <c r="S115" s="78" t="e">
        <f ca="1">_xll.cfyql_SimpleQuoteSetValue(E115,R115/100,Trigger)</f>
        <v>#NAME?</v>
      </c>
      <c r="T115" s="129"/>
      <c r="V115" s="160"/>
    </row>
    <row r="116" spans="1:22" x14ac:dyDescent="0.2">
      <c r="A116" s="134"/>
      <c r="B116" s="45" t="str">
        <f t="shared" si="8"/>
        <v>4Y</v>
      </c>
      <c r="C116" s="45" t="str">
        <f t="shared" si="9"/>
        <v>7F</v>
      </c>
      <c r="D116" s="43" t="str">
        <f t="shared" si="10"/>
        <v>EUR7F4Y_Quote</v>
      </c>
      <c r="E116" s="43" t="e">
        <f ca="1">_xll.cfyql_SimpleQuote(D116,,RateTickValue,Permanent,Trigger,ObjectOverwrite)</f>
        <v>#NAME?</v>
      </c>
      <c r="F116" s="42" t="e">
        <f ca="1">_xll.ohRangeRetrieveError(E116)</f>
        <v>#NAME?</v>
      </c>
      <c r="G116" s="36"/>
      <c r="H116" s="161"/>
      <c r="I116" s="112"/>
      <c r="J116" s="137" t="s">
        <v>52</v>
      </c>
      <c r="K116" s="137" t="str">
        <f t="shared" si="14"/>
        <v>7F</v>
      </c>
      <c r="L116" s="139" t="str">
        <f t="shared" si="11"/>
        <v>EUR7F4Y</v>
      </c>
      <c r="M116" s="139" t="str">
        <v>EUR7F4Y=ICAP</v>
      </c>
      <c r="N116" s="78">
        <v>1.8820000000000001</v>
      </c>
      <c r="O116" s="111"/>
      <c r="P116" s="78">
        <v>1.8820000000000001</v>
      </c>
      <c r="Q116" s="111"/>
      <c r="R116" s="78">
        <v>1.8820000000000001</v>
      </c>
      <c r="S116" s="78" t="e">
        <f ca="1">_xll.cfyql_SimpleQuoteSetValue(E116,R116/100,Trigger)</f>
        <v>#NAME?</v>
      </c>
      <c r="T116" s="129"/>
      <c r="V116" s="160"/>
    </row>
    <row r="117" spans="1:22" x14ac:dyDescent="0.2">
      <c r="A117" s="134"/>
      <c r="B117" s="45" t="str">
        <f t="shared" si="8"/>
        <v>5Y</v>
      </c>
      <c r="C117" s="45" t="str">
        <f t="shared" si="9"/>
        <v>7F</v>
      </c>
      <c r="D117" s="43" t="str">
        <f t="shared" si="10"/>
        <v>EUR7F5Y_Quote</v>
      </c>
      <c r="E117" s="43" t="e">
        <f ca="1">_xll.cfyql_SimpleQuote(D117,,RateTickValue,Permanent,Trigger,ObjectOverwrite)</f>
        <v>#NAME?</v>
      </c>
      <c r="F117" s="42" t="e">
        <f ca="1">_xll.ohRangeRetrieveError(E117)</f>
        <v>#NAME?</v>
      </c>
      <c r="G117" s="36"/>
      <c r="H117" s="161"/>
      <c r="I117" s="112"/>
      <c r="J117" s="137" t="s">
        <v>51</v>
      </c>
      <c r="K117" s="137" t="str">
        <f t="shared" si="14"/>
        <v>7F</v>
      </c>
      <c r="L117" s="139" t="str">
        <f t="shared" si="11"/>
        <v>EUR7F5Y</v>
      </c>
      <c r="M117" s="139" t="str">
        <v>EUR7F5Y=ICAP</v>
      </c>
      <c r="N117" s="78">
        <v>1.9319999999999999</v>
      </c>
      <c r="O117" s="111"/>
      <c r="P117" s="78">
        <v>1.9319999999999999</v>
      </c>
      <c r="Q117" s="111"/>
      <c r="R117" s="78">
        <v>1.9319999999999999</v>
      </c>
      <c r="S117" s="78" t="e">
        <f ca="1">_xll.cfyql_SimpleQuoteSetValue(E117,R117/100,Trigger)</f>
        <v>#NAME?</v>
      </c>
      <c r="T117" s="129"/>
      <c r="V117" s="160"/>
    </row>
    <row r="118" spans="1:22" x14ac:dyDescent="0.2">
      <c r="A118" s="134"/>
      <c r="B118" s="45" t="str">
        <f t="shared" si="8"/>
        <v>6Y</v>
      </c>
      <c r="C118" s="45" t="str">
        <f t="shared" si="9"/>
        <v>7F</v>
      </c>
      <c r="D118" s="43" t="str">
        <f t="shared" si="10"/>
        <v>EUR7F6Y_Quote</v>
      </c>
      <c r="E118" s="43" t="e">
        <f ca="1">_xll.cfyql_SimpleQuote(D118,,RateTickValue,Permanent,Trigger,ObjectOverwrite)</f>
        <v>#NAME?</v>
      </c>
      <c r="F118" s="42" t="e">
        <f ca="1">_xll.ohRangeRetrieveError(E118)</f>
        <v>#NAME?</v>
      </c>
      <c r="G118" s="36"/>
      <c r="H118" s="161"/>
      <c r="I118" s="112"/>
      <c r="J118" s="137" t="s">
        <v>50</v>
      </c>
      <c r="K118" s="137" t="str">
        <f t="shared" si="14"/>
        <v>7F</v>
      </c>
      <c r="L118" s="139" t="str">
        <f t="shared" si="11"/>
        <v>EUR7F6Y</v>
      </c>
      <c r="M118" s="139" t="str">
        <v>EUR7F6Y=ICAP</v>
      </c>
      <c r="N118" s="78">
        <v>1.9730000000000001</v>
      </c>
      <c r="O118" s="111"/>
      <c r="P118" s="78">
        <v>1.9730000000000001</v>
      </c>
      <c r="Q118" s="111"/>
      <c r="R118" s="78">
        <v>1.9730000000000001</v>
      </c>
      <c r="S118" s="78" t="e">
        <f ca="1">_xll.cfyql_SimpleQuoteSetValue(E118,R118/100,Trigger)</f>
        <v>#NAME?</v>
      </c>
      <c r="T118" s="129"/>
      <c r="V118" s="160"/>
    </row>
    <row r="119" spans="1:22" x14ac:dyDescent="0.2">
      <c r="A119" s="134"/>
      <c r="B119" s="45" t="str">
        <f t="shared" si="8"/>
        <v>7Y</v>
      </c>
      <c r="C119" s="45" t="str">
        <f t="shared" si="9"/>
        <v>7F</v>
      </c>
      <c r="D119" s="43" t="str">
        <f t="shared" si="10"/>
        <v>EUR7F7Y_Quote</v>
      </c>
      <c r="E119" s="43" t="e">
        <f ca="1">_xll.cfyql_SimpleQuote(D119,,RateTickValue,Permanent,Trigger,ObjectOverwrite)</f>
        <v>#NAME?</v>
      </c>
      <c r="F119" s="42" t="e">
        <f ca="1">_xll.ohRangeRetrieveError(E119)</f>
        <v>#NAME?</v>
      </c>
      <c r="G119" s="36"/>
      <c r="H119" s="161"/>
      <c r="I119" s="112"/>
      <c r="J119" s="137" t="s">
        <v>49</v>
      </c>
      <c r="K119" s="137" t="str">
        <f t="shared" si="14"/>
        <v>7F</v>
      </c>
      <c r="L119" s="139" t="str">
        <f t="shared" si="11"/>
        <v>EUR7F7Y</v>
      </c>
      <c r="M119" s="139" t="str">
        <v>EUR7F7Y=ICAP</v>
      </c>
      <c r="N119" s="78">
        <v>2.0019999999999998</v>
      </c>
      <c r="O119" s="111"/>
      <c r="P119" s="78">
        <v>2.0019999999999998</v>
      </c>
      <c r="Q119" s="111"/>
      <c r="R119" s="78">
        <v>2.0019999999999998</v>
      </c>
      <c r="S119" s="78" t="e">
        <f ca="1">_xll.cfyql_SimpleQuoteSetValue(E119,R119/100,Trigger)</f>
        <v>#NAME?</v>
      </c>
      <c r="T119" s="129"/>
      <c r="V119" s="160"/>
    </row>
    <row r="120" spans="1:22" x14ac:dyDescent="0.2">
      <c r="A120" s="134"/>
      <c r="B120" s="45" t="str">
        <f t="shared" si="8"/>
        <v>8Y</v>
      </c>
      <c r="C120" s="45" t="str">
        <f t="shared" si="9"/>
        <v>7F</v>
      </c>
      <c r="D120" s="43" t="str">
        <f t="shared" si="10"/>
        <v>EUR7F8Y_Quote</v>
      </c>
      <c r="E120" s="43" t="e">
        <f ca="1">_xll.cfyql_SimpleQuote(D120,,RateTickValue,Permanent,Trigger,ObjectOverwrite)</f>
        <v>#NAME?</v>
      </c>
      <c r="F120" s="42" t="e">
        <f ca="1">_xll.ohRangeRetrieveError(E120)</f>
        <v>#NAME?</v>
      </c>
      <c r="G120" s="36"/>
      <c r="H120" s="161"/>
      <c r="I120" s="112"/>
      <c r="J120" s="137" t="s">
        <v>48</v>
      </c>
      <c r="K120" s="137" t="str">
        <f t="shared" si="14"/>
        <v>7F</v>
      </c>
      <c r="L120" s="139" t="str">
        <f t="shared" si="11"/>
        <v>EUR7F8Y</v>
      </c>
      <c r="M120" s="139" t="str">
        <v>EUR7F8Y=ICAP</v>
      </c>
      <c r="N120" s="78">
        <v>2.024</v>
      </c>
      <c r="O120" s="111"/>
      <c r="P120" s="78">
        <v>2.024</v>
      </c>
      <c r="Q120" s="111"/>
      <c r="R120" s="78">
        <v>2.024</v>
      </c>
      <c r="S120" s="78" t="e">
        <f ca="1">_xll.cfyql_SimpleQuoteSetValue(E120,R120/100,Trigger)</f>
        <v>#NAME?</v>
      </c>
      <c r="T120" s="129"/>
      <c r="V120" s="160"/>
    </row>
    <row r="121" spans="1:22" x14ac:dyDescent="0.2">
      <c r="A121" s="134"/>
      <c r="B121" s="45" t="str">
        <f t="shared" si="8"/>
        <v>9Y</v>
      </c>
      <c r="C121" s="45" t="str">
        <f t="shared" si="9"/>
        <v>7F</v>
      </c>
      <c r="D121" s="43" t="str">
        <f t="shared" si="10"/>
        <v>EUR7F9Y_Quote</v>
      </c>
      <c r="E121" s="43" t="e">
        <f ca="1">_xll.cfyql_SimpleQuote(D121,,RateTickValue,Permanent,Trigger,ObjectOverwrite)</f>
        <v>#NAME?</v>
      </c>
      <c r="F121" s="42" t="e">
        <f ca="1">_xll.ohRangeRetrieveError(E121)</f>
        <v>#NAME?</v>
      </c>
      <c r="G121" s="36"/>
      <c r="H121" s="161"/>
      <c r="I121" s="112"/>
      <c r="J121" s="137" t="s">
        <v>47</v>
      </c>
      <c r="K121" s="137" t="str">
        <f t="shared" si="14"/>
        <v>7F</v>
      </c>
      <c r="L121" s="139" t="str">
        <f t="shared" si="11"/>
        <v>EUR7F9Y</v>
      </c>
      <c r="M121" s="139" t="str">
        <v>EUR7F9Y=ICAP</v>
      </c>
      <c r="N121" s="78">
        <v>2.0369999999999999</v>
      </c>
      <c r="O121" s="111"/>
      <c r="P121" s="78">
        <v>2.0369999999999999</v>
      </c>
      <c r="Q121" s="111"/>
      <c r="R121" s="78">
        <v>2.0369999999999999</v>
      </c>
      <c r="S121" s="78" t="e">
        <f ca="1">_xll.cfyql_SimpleQuoteSetValue(E121,R121/100,Trigger)</f>
        <v>#NAME?</v>
      </c>
      <c r="T121" s="129"/>
      <c r="V121" s="160"/>
    </row>
    <row r="122" spans="1:22" x14ac:dyDescent="0.2">
      <c r="A122" s="134"/>
      <c r="B122" s="45" t="str">
        <f t="shared" si="8"/>
        <v>10Y</v>
      </c>
      <c r="C122" s="45" t="str">
        <f t="shared" si="9"/>
        <v>7F</v>
      </c>
      <c r="D122" s="43" t="str">
        <f t="shared" si="10"/>
        <v>EUR7F10Y_Quote</v>
      </c>
      <c r="E122" s="43" t="e">
        <f ca="1">_xll.cfyql_SimpleQuote(D122,,RateTickValue,Permanent,Trigger,ObjectOverwrite)</f>
        <v>#NAME?</v>
      </c>
      <c r="F122" s="42" t="e">
        <f ca="1">_xll.ohRangeRetrieveError(E122)</f>
        <v>#NAME?</v>
      </c>
      <c r="G122" s="36"/>
      <c r="H122" s="161"/>
      <c r="I122" s="112"/>
      <c r="J122" s="137" t="s">
        <v>46</v>
      </c>
      <c r="K122" s="137" t="str">
        <f t="shared" si="14"/>
        <v>7F</v>
      </c>
      <c r="L122" s="139" t="str">
        <f t="shared" si="11"/>
        <v>EUR7F10Y</v>
      </c>
      <c r="M122" s="139" t="str">
        <v>EUR7F10Y=ICAP</v>
      </c>
      <c r="N122" s="78">
        <v>2.0459999999999998</v>
      </c>
      <c r="O122" s="111"/>
      <c r="P122" s="78">
        <v>2.0459999999999998</v>
      </c>
      <c r="Q122" s="111"/>
      <c r="R122" s="78">
        <v>2.0459999999999998</v>
      </c>
      <c r="S122" s="78" t="e">
        <f ca="1">_xll.cfyql_SimpleQuoteSetValue(E122,R122/100,Trigger)</f>
        <v>#NAME?</v>
      </c>
      <c r="T122" s="129"/>
      <c r="V122" s="160"/>
    </row>
    <row r="123" spans="1:22" x14ac:dyDescent="0.2">
      <c r="A123" s="134"/>
      <c r="B123" s="45" t="str">
        <f t="shared" si="8"/>
        <v>11Y</v>
      </c>
      <c r="C123" s="45" t="str">
        <f t="shared" si="9"/>
        <v>7F</v>
      </c>
      <c r="D123" s="43" t="str">
        <f t="shared" si="10"/>
        <v>EUR7F11Y_Quote</v>
      </c>
      <c r="E123" s="43" t="e">
        <f ca="1">_xll.cfyql_SimpleQuote(D123,,RateTickValue,Permanent,Trigger,ObjectOverwrite)</f>
        <v>#NAME?</v>
      </c>
      <c r="F123" s="42" t="e">
        <f ca="1">_xll.ohRangeRetrieveError(E123)</f>
        <v>#NAME?</v>
      </c>
      <c r="G123" s="36"/>
      <c r="H123" s="161"/>
      <c r="I123" s="112"/>
      <c r="J123" s="137" t="s">
        <v>45</v>
      </c>
      <c r="K123" s="137" t="str">
        <f t="shared" si="14"/>
        <v>7F</v>
      </c>
      <c r="L123" s="139" t="str">
        <f t="shared" si="11"/>
        <v>EUR7F11Y</v>
      </c>
      <c r="M123" s="139" t="str">
        <v>EUR7F11Y=ICAP</v>
      </c>
      <c r="N123" s="78">
        <v>2.0459999999999998</v>
      </c>
      <c r="O123" s="111"/>
      <c r="P123" s="78">
        <v>2.0459999999999998</v>
      </c>
      <c r="Q123" s="111"/>
      <c r="R123" s="78">
        <v>2.0459999999999998</v>
      </c>
      <c r="S123" s="78" t="e">
        <f ca="1">_xll.cfyql_SimpleQuoteSetValue(E123,R123/100,Trigger)</f>
        <v>#NAME?</v>
      </c>
      <c r="T123" s="129"/>
      <c r="V123" s="160"/>
    </row>
    <row r="124" spans="1:22" x14ac:dyDescent="0.2">
      <c r="A124" s="134"/>
      <c r="B124" s="45" t="str">
        <f t="shared" si="8"/>
        <v>12Y</v>
      </c>
      <c r="C124" s="45" t="str">
        <f t="shared" si="9"/>
        <v>7F</v>
      </c>
      <c r="D124" s="43" t="str">
        <f t="shared" si="10"/>
        <v>EUR7F12Y_Quote</v>
      </c>
      <c r="E124" s="43" t="e">
        <f ca="1">_xll.cfyql_SimpleQuote(D124,,RateTickValue,Permanent,Trigger,ObjectOverwrite)</f>
        <v>#NAME?</v>
      </c>
      <c r="F124" s="42" t="e">
        <f ca="1">_xll.ohRangeRetrieveError(E124)</f>
        <v>#NAME?</v>
      </c>
      <c r="G124" s="36"/>
      <c r="H124" s="161"/>
      <c r="I124" s="112"/>
      <c r="J124" s="137" t="s">
        <v>44</v>
      </c>
      <c r="K124" s="137" t="str">
        <f t="shared" si="14"/>
        <v>7F</v>
      </c>
      <c r="L124" s="139" t="str">
        <f t="shared" si="11"/>
        <v>EUR7F12Y</v>
      </c>
      <c r="M124" s="139" t="str">
        <v>EUR7F12Y=ICAP</v>
      </c>
      <c r="N124" s="78">
        <v>2.0419999999999998</v>
      </c>
      <c r="O124" s="111"/>
      <c r="P124" s="78">
        <v>2.0419999999999998</v>
      </c>
      <c r="Q124" s="111"/>
      <c r="R124" s="78">
        <v>2.0419999999999998</v>
      </c>
      <c r="S124" s="78" t="e">
        <f ca="1">_xll.cfyql_SimpleQuoteSetValue(E124,R124/100,Trigger)</f>
        <v>#NAME?</v>
      </c>
      <c r="T124" s="129"/>
      <c r="V124" s="160"/>
    </row>
    <row r="125" spans="1:22" x14ac:dyDescent="0.2">
      <c r="A125" s="134"/>
      <c r="B125" s="45" t="str">
        <f t="shared" si="8"/>
        <v>13Y</v>
      </c>
      <c r="C125" s="45" t="str">
        <f t="shared" si="9"/>
        <v>7F</v>
      </c>
      <c r="D125" s="43" t="str">
        <f t="shared" si="10"/>
        <v>EUR7F13Y_Quote</v>
      </c>
      <c r="E125" s="43" t="e">
        <f ca="1">_xll.cfyql_SimpleQuote(D125,,RateTickValue,Permanent,Trigger,ObjectOverwrite)</f>
        <v>#NAME?</v>
      </c>
      <c r="F125" s="42" t="e">
        <f ca="1">_xll.ohRangeRetrieveError(E125)</f>
        <v>#NAME?</v>
      </c>
      <c r="G125" s="36"/>
      <c r="H125" s="161"/>
      <c r="I125" s="112"/>
      <c r="J125" s="137" t="s">
        <v>43</v>
      </c>
      <c r="K125" s="137" t="str">
        <f t="shared" si="14"/>
        <v>7F</v>
      </c>
      <c r="L125" s="139" t="str">
        <f t="shared" si="11"/>
        <v>EUR7F13Y</v>
      </c>
      <c r="M125" s="139" t="str">
        <v>EUR7F13Y=ICAP</v>
      </c>
      <c r="N125" s="78">
        <v>2.032</v>
      </c>
      <c r="O125" s="111"/>
      <c r="P125" s="78">
        <v>2.032</v>
      </c>
      <c r="Q125" s="111"/>
      <c r="R125" s="78">
        <v>2.032</v>
      </c>
      <c r="S125" s="78" t="e">
        <f ca="1">_xll.cfyql_SimpleQuoteSetValue(E125,R125/100,Trigger)</f>
        <v>#NAME?</v>
      </c>
      <c r="T125" s="129"/>
      <c r="V125" s="160"/>
    </row>
    <row r="126" spans="1:22" x14ac:dyDescent="0.2">
      <c r="A126" s="134"/>
      <c r="B126" s="45" t="str">
        <f t="shared" si="8"/>
        <v>14Y</v>
      </c>
      <c r="C126" s="45" t="str">
        <f t="shared" si="9"/>
        <v>7F</v>
      </c>
      <c r="D126" s="43" t="str">
        <f t="shared" si="10"/>
        <v>EUR7F14Y_Quote</v>
      </c>
      <c r="E126" s="43" t="e">
        <f ca="1">_xll.cfyql_SimpleQuote(D126,,RateTickValue,Permanent,Trigger,ObjectOverwrite)</f>
        <v>#NAME?</v>
      </c>
      <c r="F126" s="42" t="e">
        <f ca="1">_xll.ohRangeRetrieveError(E126)</f>
        <v>#NAME?</v>
      </c>
      <c r="G126" s="36"/>
      <c r="H126" s="161"/>
      <c r="I126" s="112"/>
      <c r="J126" s="137" t="s">
        <v>42</v>
      </c>
      <c r="K126" s="137" t="str">
        <f t="shared" si="14"/>
        <v>7F</v>
      </c>
      <c r="L126" s="139" t="str">
        <f t="shared" si="11"/>
        <v>EUR7F14Y</v>
      </c>
      <c r="M126" s="139" t="str">
        <v>EUR7F14Y=ICAP</v>
      </c>
      <c r="N126" s="78">
        <v>2.0179999999999998</v>
      </c>
      <c r="O126" s="111"/>
      <c r="P126" s="78">
        <v>2.0179999999999998</v>
      </c>
      <c r="Q126" s="111"/>
      <c r="R126" s="78">
        <v>2.0179999999999998</v>
      </c>
      <c r="S126" s="78" t="e">
        <f ca="1">_xll.cfyql_SimpleQuoteSetValue(E126,R126/100,Trigger)</f>
        <v>#NAME?</v>
      </c>
      <c r="T126" s="129"/>
      <c r="V126" s="160"/>
    </row>
    <row r="127" spans="1:22" x14ac:dyDescent="0.2">
      <c r="A127" s="134"/>
      <c r="B127" s="45" t="str">
        <f t="shared" si="8"/>
        <v>15Y</v>
      </c>
      <c r="C127" s="45" t="str">
        <f t="shared" si="9"/>
        <v>7F</v>
      </c>
      <c r="D127" s="43" t="str">
        <f t="shared" si="10"/>
        <v>EUR7F15Y_Quote</v>
      </c>
      <c r="E127" s="43" t="e">
        <f ca="1">_xll.cfyql_SimpleQuote(D127,,RateTickValue,Permanent,Trigger,ObjectOverwrite)</f>
        <v>#NAME?</v>
      </c>
      <c r="F127" s="42" t="e">
        <f ca="1">_xll.ohRangeRetrieveError(E127)</f>
        <v>#NAME?</v>
      </c>
      <c r="G127" s="36"/>
      <c r="H127" s="161"/>
      <c r="I127" s="112"/>
      <c r="J127" s="137" t="s">
        <v>41</v>
      </c>
      <c r="K127" s="137" t="str">
        <f t="shared" si="14"/>
        <v>7F</v>
      </c>
      <c r="L127" s="139" t="str">
        <f t="shared" si="11"/>
        <v>EUR7F15Y</v>
      </c>
      <c r="M127" s="139" t="str">
        <v>EUR7F15Y=ICAP</v>
      </c>
      <c r="N127" s="78">
        <v>2.004</v>
      </c>
      <c r="O127" s="111"/>
      <c r="P127" s="78">
        <v>2.004</v>
      </c>
      <c r="Q127" s="111"/>
      <c r="R127" s="78">
        <v>2.004</v>
      </c>
      <c r="S127" s="78" t="e">
        <f ca="1">_xll.cfyql_SimpleQuoteSetValue(E127,R127/100,Trigger)</f>
        <v>#NAME?</v>
      </c>
      <c r="T127" s="129"/>
      <c r="V127" s="160"/>
    </row>
    <row r="128" spans="1:22" x14ac:dyDescent="0.2">
      <c r="A128" s="134"/>
      <c r="B128" s="45" t="str">
        <f t="shared" si="8"/>
        <v>20Y</v>
      </c>
      <c r="C128" s="45" t="str">
        <f t="shared" si="9"/>
        <v>7F</v>
      </c>
      <c r="D128" s="43" t="str">
        <f t="shared" si="10"/>
        <v>EUR7F20Y_Quote</v>
      </c>
      <c r="E128" s="43" t="e">
        <f ca="1">_xll.cfyql_SimpleQuote(D128,,RateTickValue,Permanent,Trigger,ObjectOverwrite)</f>
        <v>#NAME?</v>
      </c>
      <c r="F128" s="42" t="e">
        <f ca="1">_xll.ohRangeRetrieveError(E128)</f>
        <v>#NAME?</v>
      </c>
      <c r="G128" s="36"/>
      <c r="H128" s="161"/>
      <c r="I128" s="112"/>
      <c r="J128" s="137" t="s">
        <v>36</v>
      </c>
      <c r="K128" s="137" t="str">
        <f t="shared" si="14"/>
        <v>7F</v>
      </c>
      <c r="L128" s="139" t="str">
        <f t="shared" si="11"/>
        <v>EUR7F20Y</v>
      </c>
      <c r="M128" s="139" t="str">
        <v>EUR7F20Y=ICAP</v>
      </c>
      <c r="N128" s="78">
        <v>1.915</v>
      </c>
      <c r="O128" s="111"/>
      <c r="P128" s="78">
        <v>1.915</v>
      </c>
      <c r="Q128" s="111"/>
      <c r="R128" s="78">
        <v>1.915</v>
      </c>
      <c r="S128" s="78" t="e">
        <f ca="1">_xll.cfyql_SimpleQuoteSetValue(E128,R128/100,Trigger)</f>
        <v>#NAME?</v>
      </c>
      <c r="T128" s="129"/>
      <c r="V128" s="160"/>
    </row>
    <row r="129" spans="1:22" x14ac:dyDescent="0.2">
      <c r="A129" s="134"/>
      <c r="B129" s="45" t="str">
        <f t="shared" si="8"/>
        <v>25Y</v>
      </c>
      <c r="C129" s="45" t="str">
        <f t="shared" si="9"/>
        <v>7F</v>
      </c>
      <c r="D129" s="43" t="str">
        <f t="shared" si="10"/>
        <v>EUR7F25Y_Quote</v>
      </c>
      <c r="E129" s="43" t="e">
        <f ca="1">_xll.cfyql_SimpleQuote(D129,,RateTickValue,Permanent,Trigger,ObjectOverwrite)</f>
        <v>#NAME?</v>
      </c>
      <c r="F129" s="42" t="e">
        <f ca="1">_xll.ohRangeRetrieveError(E129)</f>
        <v>#NAME?</v>
      </c>
      <c r="G129" s="36"/>
      <c r="H129" s="161"/>
      <c r="I129" s="112"/>
      <c r="J129" s="137" t="s">
        <v>31</v>
      </c>
      <c r="K129" s="137" t="str">
        <f t="shared" si="14"/>
        <v>7F</v>
      </c>
      <c r="L129" s="139" t="str">
        <f t="shared" si="11"/>
        <v>EUR7F25Y</v>
      </c>
      <c r="M129" s="139" t="str">
        <v>EUR7F25Y=ICAP</v>
      </c>
      <c r="N129" s="78">
        <v>1.855</v>
      </c>
      <c r="O129" s="111"/>
      <c r="P129" s="78">
        <v>1.855</v>
      </c>
      <c r="Q129" s="111"/>
      <c r="R129" s="78">
        <v>1.855</v>
      </c>
      <c r="S129" s="78" t="e">
        <f ca="1">_xll.cfyql_SimpleQuoteSetValue(E129,R129/100,Trigger)</f>
        <v>#NAME?</v>
      </c>
      <c r="T129" s="129"/>
      <c r="V129" s="160"/>
    </row>
    <row r="130" spans="1:22" x14ac:dyDescent="0.2">
      <c r="A130" s="134"/>
      <c r="B130" s="45" t="str">
        <f t="shared" si="8"/>
        <v>30Y</v>
      </c>
      <c r="C130" s="45" t="str">
        <f t="shared" si="9"/>
        <v>7F</v>
      </c>
      <c r="D130" s="43" t="str">
        <f t="shared" si="10"/>
        <v>EUR7F30Y_Quote</v>
      </c>
      <c r="E130" s="43" t="e">
        <f ca="1">_xll.cfyql_SimpleQuote(D130,,RateTickValue,Permanent,Trigger,ObjectOverwrite)</f>
        <v>#NAME?</v>
      </c>
      <c r="F130" s="42" t="e">
        <f ca="1">_xll.ohRangeRetrieveError(E130)</f>
        <v>#NAME?</v>
      </c>
      <c r="G130" s="36"/>
      <c r="H130" s="161"/>
      <c r="I130" s="112"/>
      <c r="J130" s="130" t="s">
        <v>26</v>
      </c>
      <c r="K130" s="130" t="str">
        <f t="shared" si="14"/>
        <v>7F</v>
      </c>
      <c r="L130" s="132" t="str">
        <f t="shared" si="11"/>
        <v>EUR7F30Y</v>
      </c>
      <c r="M130" s="132" t="str">
        <v>EUR7F30Y=ICAP</v>
      </c>
      <c r="N130" s="65">
        <v>1.8160000000000001</v>
      </c>
      <c r="O130" s="111"/>
      <c r="P130" s="65">
        <v>1.8160000000000001</v>
      </c>
      <c r="Q130" s="111"/>
      <c r="R130" s="65">
        <v>1.8160000000000001</v>
      </c>
      <c r="S130" s="65" t="e">
        <f ca="1">_xll.cfyql_SimpleQuoteSetValue(E130,R130/100,Trigger)</f>
        <v>#NAME?</v>
      </c>
      <c r="T130" s="129"/>
      <c r="V130" s="160"/>
    </row>
    <row r="131" spans="1:22" x14ac:dyDescent="0.2">
      <c r="A131" s="134"/>
      <c r="B131" s="45" t="str">
        <f t="shared" si="8"/>
        <v>1Y</v>
      </c>
      <c r="C131" s="45" t="str">
        <f t="shared" si="9"/>
        <v>8F</v>
      </c>
      <c r="D131" s="43" t="str">
        <f t="shared" si="10"/>
        <v>EUR8F1Y_Quote</v>
      </c>
      <c r="E131" s="43" t="e">
        <f ca="1">_xll.cfyql_SimpleQuote(D131,,RateTickValue,Permanent,Trigger,ObjectOverwrite)</f>
        <v>#NAME?</v>
      </c>
      <c r="F131" s="42" t="e">
        <f ca="1">_xll.ohRangeRetrieveError(E131)</f>
        <v>#NAME?</v>
      </c>
      <c r="G131" s="36"/>
      <c r="H131" s="161"/>
      <c r="I131" s="134">
        <v>8</v>
      </c>
      <c r="J131" s="163" t="s">
        <v>58</v>
      </c>
      <c r="K131" s="163" t="str">
        <f t="shared" ref="K131:K148" si="15">$I$131&amp;"F"</f>
        <v>8F</v>
      </c>
      <c r="L131" s="162" t="str">
        <f t="shared" si="11"/>
        <v>EUR8F1Y</v>
      </c>
      <c r="M131" s="162" t="str">
        <v>EUR8F1Y=ICAP</v>
      </c>
      <c r="N131" s="89">
        <v>1.849</v>
      </c>
      <c r="O131" s="111"/>
      <c r="P131" s="89">
        <v>1.849</v>
      </c>
      <c r="Q131" s="111"/>
      <c r="R131" s="89">
        <v>1.849</v>
      </c>
      <c r="S131" s="89" t="e">
        <f ca="1">_xll.cfyql_SimpleQuoteSetValue(E131,R131/100,Trigger)</f>
        <v>#NAME?</v>
      </c>
      <c r="T131" s="129"/>
      <c r="V131" s="160"/>
    </row>
    <row r="132" spans="1:22" x14ac:dyDescent="0.2">
      <c r="A132" s="134"/>
      <c r="B132" s="45" t="str">
        <f t="shared" si="8"/>
        <v>2Y</v>
      </c>
      <c r="C132" s="45" t="str">
        <f t="shared" si="9"/>
        <v>8F</v>
      </c>
      <c r="D132" s="43" t="str">
        <f t="shared" si="10"/>
        <v>EUR8F2Y_Quote</v>
      </c>
      <c r="E132" s="43" t="e">
        <f ca="1">_xll.cfyql_SimpleQuote(D132,,RateTickValue,Permanent,Trigger,ObjectOverwrite)</f>
        <v>#NAME?</v>
      </c>
      <c r="F132" s="42" t="e">
        <f ca="1">_xll.ohRangeRetrieveError(E132)</f>
        <v>#NAME?</v>
      </c>
      <c r="G132" s="36"/>
      <c r="H132" s="161"/>
      <c r="I132" s="112"/>
      <c r="J132" s="137" t="s">
        <v>54</v>
      </c>
      <c r="K132" s="137" t="str">
        <f t="shared" si="15"/>
        <v>8F</v>
      </c>
      <c r="L132" s="139" t="str">
        <f t="shared" si="11"/>
        <v>EUR8F2Y</v>
      </c>
      <c r="M132" s="139" t="str">
        <v>EUR8F2Y=ICAP</v>
      </c>
      <c r="N132" s="78">
        <v>1.9019999999999999</v>
      </c>
      <c r="O132" s="111"/>
      <c r="P132" s="78">
        <v>1.9019999999999999</v>
      </c>
      <c r="Q132" s="111"/>
      <c r="R132" s="78">
        <v>1.9019999999999999</v>
      </c>
      <c r="S132" s="78" t="e">
        <f ca="1">_xll.cfyql_SimpleQuoteSetValue(E132,R132/100,Trigger)</f>
        <v>#NAME?</v>
      </c>
      <c r="T132" s="129"/>
      <c r="V132" s="160"/>
    </row>
    <row r="133" spans="1:22" x14ac:dyDescent="0.2">
      <c r="A133" s="134"/>
      <c r="B133" s="45" t="str">
        <f t="shared" ref="B133:B196" si="16">J133</f>
        <v>3Y</v>
      </c>
      <c r="C133" s="45" t="str">
        <f t="shared" ref="C133:C196" si="17">K133</f>
        <v>8F</v>
      </c>
      <c r="D133" s="43" t="str">
        <f t="shared" ref="D133:D196" si="18">Currency&amp;$C133&amp;B133&amp;QuoteSuffix</f>
        <v>EUR8F3Y_Quote</v>
      </c>
      <c r="E133" s="43" t="e">
        <f ca="1">_xll.cfyql_SimpleQuote(D133,,RateTickValue,Permanent,Trigger,ObjectOverwrite)</f>
        <v>#NAME?</v>
      </c>
      <c r="F133" s="42" t="e">
        <f ca="1">_xll.ohRangeRetrieveError(E133)</f>
        <v>#NAME?</v>
      </c>
      <c r="G133" s="36"/>
      <c r="H133" s="161"/>
      <c r="I133" s="112"/>
      <c r="J133" s="137" t="s">
        <v>53</v>
      </c>
      <c r="K133" s="137" t="str">
        <f t="shared" si="15"/>
        <v>8F</v>
      </c>
      <c r="L133" s="139" t="str">
        <f t="shared" ref="L133:L196" si="19">Currency&amp;$K133&amp;$J133</f>
        <v>EUR8F3Y</v>
      </c>
      <c r="M133" s="139" t="str">
        <v>EUR8F3Y=ICAP</v>
      </c>
      <c r="N133" s="78">
        <v>1.9570000000000001</v>
      </c>
      <c r="O133" s="111"/>
      <c r="P133" s="78">
        <v>1.9570000000000001</v>
      </c>
      <c r="Q133" s="111"/>
      <c r="R133" s="78">
        <v>1.9570000000000001</v>
      </c>
      <c r="S133" s="78" t="e">
        <f ca="1">_xll.cfyql_SimpleQuoteSetValue(E133,R133/100,Trigger)</f>
        <v>#NAME?</v>
      </c>
      <c r="T133" s="129"/>
      <c r="V133" s="160"/>
    </row>
    <row r="134" spans="1:22" x14ac:dyDescent="0.2">
      <c r="A134" s="134"/>
      <c r="B134" s="45" t="str">
        <f t="shared" si="16"/>
        <v>4Y</v>
      </c>
      <c r="C134" s="45" t="str">
        <f t="shared" si="17"/>
        <v>8F</v>
      </c>
      <c r="D134" s="43" t="str">
        <f t="shared" si="18"/>
        <v>EUR8F4Y_Quote</v>
      </c>
      <c r="E134" s="43" t="e">
        <f ca="1">_xll.cfyql_SimpleQuote(D134,,RateTickValue,Permanent,Trigger,ObjectOverwrite)</f>
        <v>#NAME?</v>
      </c>
      <c r="F134" s="42" t="e">
        <f ca="1">_xll.ohRangeRetrieveError(E134)</f>
        <v>#NAME?</v>
      </c>
      <c r="G134" s="36"/>
      <c r="H134" s="161"/>
      <c r="I134" s="112"/>
      <c r="J134" s="137" t="s">
        <v>52</v>
      </c>
      <c r="K134" s="137" t="str">
        <f t="shared" si="15"/>
        <v>8F</v>
      </c>
      <c r="L134" s="139" t="str">
        <f t="shared" si="19"/>
        <v>EUR8F4Y</v>
      </c>
      <c r="M134" s="139" t="str">
        <v>EUR8F4Y=ICAP</v>
      </c>
      <c r="N134" s="78">
        <v>2.0019999999999998</v>
      </c>
      <c r="O134" s="111"/>
      <c r="P134" s="78">
        <v>2.0019999999999998</v>
      </c>
      <c r="Q134" s="111"/>
      <c r="R134" s="78">
        <v>2.0019999999999998</v>
      </c>
      <c r="S134" s="78" t="e">
        <f ca="1">_xll.cfyql_SimpleQuoteSetValue(E134,R134/100,Trigger)</f>
        <v>#NAME?</v>
      </c>
      <c r="T134" s="129"/>
      <c r="V134" s="160"/>
    </row>
    <row r="135" spans="1:22" x14ac:dyDescent="0.2">
      <c r="A135" s="134"/>
      <c r="B135" s="45" t="str">
        <f t="shared" si="16"/>
        <v>5Y</v>
      </c>
      <c r="C135" s="45" t="str">
        <f t="shared" si="17"/>
        <v>8F</v>
      </c>
      <c r="D135" s="43" t="str">
        <f t="shared" si="18"/>
        <v>EUR8F5Y_Quote</v>
      </c>
      <c r="E135" s="43" t="e">
        <f ca="1">_xll.cfyql_SimpleQuote(D135,,RateTickValue,Permanent,Trigger,ObjectOverwrite)</f>
        <v>#NAME?</v>
      </c>
      <c r="F135" s="42" t="e">
        <f ca="1">_xll.ohRangeRetrieveError(E135)</f>
        <v>#NAME?</v>
      </c>
      <c r="G135" s="36"/>
      <c r="H135" s="161"/>
      <c r="I135" s="112"/>
      <c r="J135" s="137" t="s">
        <v>51</v>
      </c>
      <c r="K135" s="137" t="str">
        <f t="shared" si="15"/>
        <v>8F</v>
      </c>
      <c r="L135" s="139" t="str">
        <f t="shared" si="19"/>
        <v>EUR8F5Y</v>
      </c>
      <c r="M135" s="139" t="str">
        <v>EUR8F5Y=ICAP</v>
      </c>
      <c r="N135" s="78">
        <v>2.0369999999999999</v>
      </c>
      <c r="O135" s="111"/>
      <c r="P135" s="78">
        <v>2.0369999999999999</v>
      </c>
      <c r="Q135" s="111"/>
      <c r="R135" s="78">
        <v>2.0369999999999999</v>
      </c>
      <c r="S135" s="78" t="e">
        <f ca="1">_xll.cfyql_SimpleQuoteSetValue(E135,R135/100,Trigger)</f>
        <v>#NAME?</v>
      </c>
      <c r="T135" s="129"/>
      <c r="V135" s="160"/>
    </row>
    <row r="136" spans="1:22" x14ac:dyDescent="0.2">
      <c r="A136" s="134"/>
      <c r="B136" s="45" t="str">
        <f t="shared" si="16"/>
        <v>6Y</v>
      </c>
      <c r="C136" s="45" t="str">
        <f t="shared" si="17"/>
        <v>8F</v>
      </c>
      <c r="D136" s="43" t="str">
        <f t="shared" si="18"/>
        <v>EUR8F6Y_Quote</v>
      </c>
      <c r="E136" s="43" t="e">
        <f ca="1">_xll.cfyql_SimpleQuote(D136,,RateTickValue,Permanent,Trigger,ObjectOverwrite)</f>
        <v>#NAME?</v>
      </c>
      <c r="F136" s="42" t="e">
        <f ca="1">_xll.ohRangeRetrieveError(E136)</f>
        <v>#NAME?</v>
      </c>
      <c r="G136" s="36"/>
      <c r="H136" s="161"/>
      <c r="I136" s="112"/>
      <c r="J136" s="137" t="s">
        <v>50</v>
      </c>
      <c r="K136" s="137" t="str">
        <f t="shared" si="15"/>
        <v>8F</v>
      </c>
      <c r="L136" s="139" t="str">
        <f t="shared" si="19"/>
        <v>EUR8F6Y</v>
      </c>
      <c r="M136" s="139" t="str">
        <v>EUR8F6Y=ICAP</v>
      </c>
      <c r="N136" s="78">
        <v>2.0619999999999998</v>
      </c>
      <c r="O136" s="111"/>
      <c r="P136" s="78">
        <v>2.0619999999999998</v>
      </c>
      <c r="Q136" s="111"/>
      <c r="R136" s="78">
        <v>2.0619999999999998</v>
      </c>
      <c r="S136" s="78" t="e">
        <f ca="1">_xll.cfyql_SimpleQuoteSetValue(E136,R136/100,Trigger)</f>
        <v>#NAME?</v>
      </c>
      <c r="T136" s="129"/>
      <c r="V136" s="160"/>
    </row>
    <row r="137" spans="1:22" x14ac:dyDescent="0.2">
      <c r="A137" s="134"/>
      <c r="B137" s="45" t="str">
        <f t="shared" si="16"/>
        <v>7Y</v>
      </c>
      <c r="C137" s="45" t="str">
        <f t="shared" si="17"/>
        <v>8F</v>
      </c>
      <c r="D137" s="43" t="str">
        <f t="shared" si="18"/>
        <v>EUR8F7Y_Quote</v>
      </c>
      <c r="E137" s="43" t="e">
        <f ca="1">_xll.cfyql_SimpleQuote(D137,,RateTickValue,Permanent,Trigger,ObjectOverwrite)</f>
        <v>#NAME?</v>
      </c>
      <c r="F137" s="42" t="e">
        <f ca="1">_xll.ohRangeRetrieveError(E137)</f>
        <v>#NAME?</v>
      </c>
      <c r="G137" s="36"/>
      <c r="H137" s="161"/>
      <c r="I137" s="112"/>
      <c r="J137" s="137" t="s">
        <v>49</v>
      </c>
      <c r="K137" s="137" t="str">
        <f t="shared" si="15"/>
        <v>8F</v>
      </c>
      <c r="L137" s="139" t="str">
        <f t="shared" si="19"/>
        <v>EUR8F7Y</v>
      </c>
      <c r="M137" s="139" t="str">
        <v>EUR8F7Y=ICAP</v>
      </c>
      <c r="N137" s="78">
        <v>2.0790000000000002</v>
      </c>
      <c r="O137" s="111"/>
      <c r="P137" s="78">
        <v>2.0790000000000002</v>
      </c>
      <c r="Q137" s="111"/>
      <c r="R137" s="78">
        <v>2.0790000000000002</v>
      </c>
      <c r="S137" s="78" t="e">
        <f ca="1">_xll.cfyql_SimpleQuoteSetValue(E137,R137/100,Trigger)</f>
        <v>#NAME?</v>
      </c>
      <c r="T137" s="129"/>
      <c r="V137" s="160"/>
    </row>
    <row r="138" spans="1:22" x14ac:dyDescent="0.2">
      <c r="A138" s="134"/>
      <c r="B138" s="45" t="str">
        <f t="shared" si="16"/>
        <v>8Y</v>
      </c>
      <c r="C138" s="45" t="str">
        <f t="shared" si="17"/>
        <v>8F</v>
      </c>
      <c r="D138" s="43" t="str">
        <f t="shared" si="18"/>
        <v>EUR8F8Y_Quote</v>
      </c>
      <c r="E138" s="43" t="e">
        <f ca="1">_xll.cfyql_SimpleQuote(D138,,RateTickValue,Permanent,Trigger,ObjectOverwrite)</f>
        <v>#NAME?</v>
      </c>
      <c r="F138" s="42" t="e">
        <f ca="1">_xll.ohRangeRetrieveError(E138)</f>
        <v>#NAME?</v>
      </c>
      <c r="G138" s="36"/>
      <c r="H138" s="161"/>
      <c r="I138" s="112"/>
      <c r="J138" s="137" t="s">
        <v>48</v>
      </c>
      <c r="K138" s="137" t="str">
        <f t="shared" si="15"/>
        <v>8F</v>
      </c>
      <c r="L138" s="139" t="str">
        <f t="shared" si="19"/>
        <v>EUR8F8Y</v>
      </c>
      <c r="M138" s="139" t="str">
        <v>EUR8F8Y=ICAP</v>
      </c>
      <c r="N138" s="78">
        <v>2.0880000000000001</v>
      </c>
      <c r="O138" s="111"/>
      <c r="P138" s="78">
        <v>2.0880000000000001</v>
      </c>
      <c r="Q138" s="111"/>
      <c r="R138" s="78">
        <v>2.0880000000000001</v>
      </c>
      <c r="S138" s="78" t="e">
        <f ca="1">_xll.cfyql_SimpleQuoteSetValue(E138,R138/100,Trigger)</f>
        <v>#NAME?</v>
      </c>
      <c r="T138" s="129"/>
      <c r="V138" s="160"/>
    </row>
    <row r="139" spans="1:22" x14ac:dyDescent="0.2">
      <c r="A139" s="134"/>
      <c r="B139" s="45" t="str">
        <f t="shared" si="16"/>
        <v>9Y</v>
      </c>
      <c r="C139" s="45" t="str">
        <f t="shared" si="17"/>
        <v>8F</v>
      </c>
      <c r="D139" s="43" t="str">
        <f t="shared" si="18"/>
        <v>EUR8F9Y_Quote</v>
      </c>
      <c r="E139" s="43" t="e">
        <f ca="1">_xll.cfyql_SimpleQuote(D139,,RateTickValue,Permanent,Trigger,ObjectOverwrite)</f>
        <v>#NAME?</v>
      </c>
      <c r="F139" s="42" t="e">
        <f ca="1">_xll.ohRangeRetrieveError(E139)</f>
        <v>#NAME?</v>
      </c>
      <c r="G139" s="36"/>
      <c r="H139" s="161"/>
      <c r="I139" s="112"/>
      <c r="J139" s="137" t="s">
        <v>47</v>
      </c>
      <c r="K139" s="137" t="str">
        <f t="shared" si="15"/>
        <v>8F</v>
      </c>
      <c r="L139" s="139" t="str">
        <f t="shared" si="19"/>
        <v>EUR8F9Y</v>
      </c>
      <c r="M139" s="139" t="str">
        <v>EUR8F9Y=ICAP</v>
      </c>
      <c r="N139" s="78">
        <v>2.093</v>
      </c>
      <c r="O139" s="111"/>
      <c r="P139" s="78">
        <v>2.093</v>
      </c>
      <c r="Q139" s="111"/>
      <c r="R139" s="78">
        <v>2.093</v>
      </c>
      <c r="S139" s="78" t="e">
        <f ca="1">_xll.cfyql_SimpleQuoteSetValue(E139,R139/100,Trigger)</f>
        <v>#NAME?</v>
      </c>
      <c r="T139" s="129"/>
      <c r="V139" s="160"/>
    </row>
    <row r="140" spans="1:22" x14ac:dyDescent="0.2">
      <c r="A140" s="134"/>
      <c r="B140" s="45" t="str">
        <f t="shared" si="16"/>
        <v>10Y</v>
      </c>
      <c r="C140" s="45" t="str">
        <f t="shared" si="17"/>
        <v>8F</v>
      </c>
      <c r="D140" s="43" t="str">
        <f t="shared" si="18"/>
        <v>EUR8F10Y_Quote</v>
      </c>
      <c r="E140" s="43" t="e">
        <f ca="1">_xll.cfyql_SimpleQuote(D140,,RateTickValue,Permanent,Trigger,ObjectOverwrite)</f>
        <v>#NAME?</v>
      </c>
      <c r="F140" s="42" t="e">
        <f ca="1">_xll.ohRangeRetrieveError(E140)</f>
        <v>#NAME?</v>
      </c>
      <c r="G140" s="36"/>
      <c r="H140" s="161"/>
      <c r="I140" s="112"/>
      <c r="J140" s="137" t="s">
        <v>46</v>
      </c>
      <c r="K140" s="137" t="str">
        <f t="shared" si="15"/>
        <v>8F</v>
      </c>
      <c r="L140" s="139" t="str">
        <f t="shared" si="19"/>
        <v>EUR8F10Y</v>
      </c>
      <c r="M140" s="139" t="str">
        <v>EUR8F10Y=ICAP</v>
      </c>
      <c r="N140" s="78">
        <v>2.0880000000000001</v>
      </c>
      <c r="O140" s="111"/>
      <c r="P140" s="78">
        <v>2.0880000000000001</v>
      </c>
      <c r="Q140" s="111"/>
      <c r="R140" s="78">
        <v>2.0880000000000001</v>
      </c>
      <c r="S140" s="78" t="e">
        <f ca="1">_xll.cfyql_SimpleQuoteSetValue(E140,R140/100,Trigger)</f>
        <v>#NAME?</v>
      </c>
      <c r="T140" s="129"/>
      <c r="V140" s="160"/>
    </row>
    <row r="141" spans="1:22" x14ac:dyDescent="0.2">
      <c r="A141" s="134"/>
      <c r="B141" s="45" t="str">
        <f t="shared" si="16"/>
        <v>11Y</v>
      </c>
      <c r="C141" s="45" t="str">
        <f t="shared" si="17"/>
        <v>8F</v>
      </c>
      <c r="D141" s="43" t="str">
        <f t="shared" si="18"/>
        <v>EUR8F11Y_Quote</v>
      </c>
      <c r="E141" s="43" t="e">
        <f ca="1">_xll.cfyql_SimpleQuote(D141,,RateTickValue,Permanent,Trigger,ObjectOverwrite)</f>
        <v>#NAME?</v>
      </c>
      <c r="F141" s="42" t="e">
        <f ca="1">_xll.ohRangeRetrieveError(E141)</f>
        <v>#NAME?</v>
      </c>
      <c r="G141" s="36"/>
      <c r="H141" s="161"/>
      <c r="I141" s="112"/>
      <c r="J141" s="137" t="s">
        <v>45</v>
      </c>
      <c r="K141" s="137" t="str">
        <f t="shared" si="15"/>
        <v>8F</v>
      </c>
      <c r="L141" s="139" t="str">
        <f t="shared" si="19"/>
        <v>EUR8F11Y</v>
      </c>
      <c r="M141" s="139" t="str">
        <v>EUR8F11Y=ICAP</v>
      </c>
      <c r="N141" s="78">
        <v>2.08</v>
      </c>
      <c r="O141" s="111"/>
      <c r="P141" s="78">
        <v>2.08</v>
      </c>
      <c r="Q141" s="111"/>
      <c r="R141" s="78">
        <v>2.08</v>
      </c>
      <c r="S141" s="78" t="e">
        <f ca="1">_xll.cfyql_SimpleQuoteSetValue(E141,R141/100,Trigger)</f>
        <v>#NAME?</v>
      </c>
      <c r="T141" s="129"/>
      <c r="V141" s="160"/>
    </row>
    <row r="142" spans="1:22" x14ac:dyDescent="0.2">
      <c r="A142" s="134"/>
      <c r="B142" s="45" t="str">
        <f t="shared" si="16"/>
        <v>12Y</v>
      </c>
      <c r="C142" s="45" t="str">
        <f t="shared" si="17"/>
        <v>8F</v>
      </c>
      <c r="D142" s="43" t="str">
        <f t="shared" si="18"/>
        <v>EUR8F12Y_Quote</v>
      </c>
      <c r="E142" s="43" t="e">
        <f ca="1">_xll.cfyql_SimpleQuote(D142,,RateTickValue,Permanent,Trigger,ObjectOverwrite)</f>
        <v>#NAME?</v>
      </c>
      <c r="F142" s="42" t="e">
        <f ca="1">_xll.ohRangeRetrieveError(E142)</f>
        <v>#NAME?</v>
      </c>
      <c r="G142" s="36"/>
      <c r="H142" s="161"/>
      <c r="I142" s="112"/>
      <c r="J142" s="137" t="s">
        <v>44</v>
      </c>
      <c r="K142" s="137" t="str">
        <f t="shared" si="15"/>
        <v>8F</v>
      </c>
      <c r="L142" s="139" t="str">
        <f t="shared" si="19"/>
        <v>EUR8F12Y</v>
      </c>
      <c r="M142" s="139" t="str">
        <v>EUR8F12Y=ICAP</v>
      </c>
      <c r="N142" s="78">
        <v>2.0659999999999998</v>
      </c>
      <c r="O142" s="111"/>
      <c r="P142" s="78">
        <v>2.0659999999999998</v>
      </c>
      <c r="Q142" s="111"/>
      <c r="R142" s="78">
        <v>2.0659999999999998</v>
      </c>
      <c r="S142" s="78" t="e">
        <f ca="1">_xll.cfyql_SimpleQuoteSetValue(E142,R142/100,Trigger)</f>
        <v>#NAME?</v>
      </c>
      <c r="T142" s="129"/>
      <c r="V142" s="160"/>
    </row>
    <row r="143" spans="1:22" x14ac:dyDescent="0.2">
      <c r="A143" s="134"/>
      <c r="B143" s="45" t="str">
        <f t="shared" si="16"/>
        <v>13Y</v>
      </c>
      <c r="C143" s="45" t="str">
        <f t="shared" si="17"/>
        <v>8F</v>
      </c>
      <c r="D143" s="43" t="str">
        <f t="shared" si="18"/>
        <v>EUR8F13Y_Quote</v>
      </c>
      <c r="E143" s="43" t="e">
        <f ca="1">_xll.cfyql_SimpleQuote(D143,,RateTickValue,Permanent,Trigger,ObjectOverwrite)</f>
        <v>#NAME?</v>
      </c>
      <c r="F143" s="42" t="e">
        <f ca="1">_xll.ohRangeRetrieveError(E143)</f>
        <v>#NAME?</v>
      </c>
      <c r="G143" s="36"/>
      <c r="H143" s="161"/>
      <c r="I143" s="112"/>
      <c r="J143" s="137" t="s">
        <v>43</v>
      </c>
      <c r="K143" s="137" t="str">
        <f t="shared" si="15"/>
        <v>8F</v>
      </c>
      <c r="L143" s="139" t="str">
        <f t="shared" si="19"/>
        <v>EUR8F13Y</v>
      </c>
      <c r="M143" s="139" t="str">
        <v>EUR8F13Y=ICAP</v>
      </c>
      <c r="N143" s="78">
        <v>2.0489999999999999</v>
      </c>
      <c r="O143" s="111"/>
      <c r="P143" s="78">
        <v>2.0489999999999999</v>
      </c>
      <c r="Q143" s="111"/>
      <c r="R143" s="78">
        <v>2.0489999999999999</v>
      </c>
      <c r="S143" s="78" t="e">
        <f ca="1">_xll.cfyql_SimpleQuoteSetValue(E143,R143/100,Trigger)</f>
        <v>#NAME?</v>
      </c>
      <c r="T143" s="129"/>
      <c r="V143" s="160"/>
    </row>
    <row r="144" spans="1:22" x14ac:dyDescent="0.2">
      <c r="A144" s="134"/>
      <c r="B144" s="45" t="str">
        <f t="shared" si="16"/>
        <v>14Y</v>
      </c>
      <c r="C144" s="45" t="str">
        <f t="shared" si="17"/>
        <v>8F</v>
      </c>
      <c r="D144" s="43" t="str">
        <f t="shared" si="18"/>
        <v>EUR8F14Y_Quote</v>
      </c>
      <c r="E144" s="43" t="e">
        <f ca="1">_xll.cfyql_SimpleQuote(D144,,RateTickValue,Permanent,Trigger,ObjectOverwrite)</f>
        <v>#NAME?</v>
      </c>
      <c r="F144" s="42" t="e">
        <f ca="1">_xll.ohRangeRetrieveError(E144)</f>
        <v>#NAME?</v>
      </c>
      <c r="G144" s="36"/>
      <c r="H144" s="161"/>
      <c r="I144" s="112"/>
      <c r="J144" s="137" t="s">
        <v>42</v>
      </c>
      <c r="K144" s="137" t="str">
        <f t="shared" si="15"/>
        <v>8F</v>
      </c>
      <c r="L144" s="139" t="str">
        <f t="shared" si="19"/>
        <v>EUR8F14Y</v>
      </c>
      <c r="M144" s="139" t="str">
        <v>EUR8F14Y=ICAP</v>
      </c>
      <c r="N144" s="78">
        <v>2.0310000000000001</v>
      </c>
      <c r="O144" s="111"/>
      <c r="P144" s="78">
        <v>2.0310000000000001</v>
      </c>
      <c r="Q144" s="111"/>
      <c r="R144" s="78">
        <v>2.0310000000000001</v>
      </c>
      <c r="S144" s="78" t="e">
        <f ca="1">_xll.cfyql_SimpleQuoteSetValue(E144,R144/100,Trigger)</f>
        <v>#NAME?</v>
      </c>
      <c r="T144" s="129"/>
      <c r="V144" s="160"/>
    </row>
    <row r="145" spans="1:22" x14ac:dyDescent="0.2">
      <c r="A145" s="134"/>
      <c r="B145" s="45" t="str">
        <f t="shared" si="16"/>
        <v>15Y</v>
      </c>
      <c r="C145" s="45" t="str">
        <f t="shared" si="17"/>
        <v>8F</v>
      </c>
      <c r="D145" s="43" t="str">
        <f t="shared" si="18"/>
        <v>EUR8F15Y_Quote</v>
      </c>
      <c r="E145" s="43" t="e">
        <f ca="1">_xll.cfyql_SimpleQuote(D145,,RateTickValue,Permanent,Trigger,ObjectOverwrite)</f>
        <v>#NAME?</v>
      </c>
      <c r="F145" s="42" t="e">
        <f ca="1">_xll.ohRangeRetrieveError(E145)</f>
        <v>#NAME?</v>
      </c>
      <c r="G145" s="36"/>
      <c r="H145" s="161"/>
      <c r="I145" s="112"/>
      <c r="J145" s="137" t="s">
        <v>41</v>
      </c>
      <c r="K145" s="137" t="str">
        <f t="shared" si="15"/>
        <v>8F</v>
      </c>
      <c r="L145" s="139" t="str">
        <f t="shared" si="19"/>
        <v>EUR8F15Y</v>
      </c>
      <c r="M145" s="139" t="str">
        <v>EUR8F15Y=ICAP</v>
      </c>
      <c r="N145" s="78">
        <v>2.0089999999999999</v>
      </c>
      <c r="O145" s="111"/>
      <c r="P145" s="78">
        <v>2.0089999999999999</v>
      </c>
      <c r="Q145" s="111"/>
      <c r="R145" s="78">
        <v>2.0089999999999999</v>
      </c>
      <c r="S145" s="78" t="e">
        <f ca="1">_xll.cfyql_SimpleQuoteSetValue(E145,R145/100,Trigger)</f>
        <v>#NAME?</v>
      </c>
      <c r="T145" s="129"/>
      <c r="V145" s="160"/>
    </row>
    <row r="146" spans="1:22" x14ac:dyDescent="0.2">
      <c r="A146" s="134"/>
      <c r="B146" s="45" t="str">
        <f t="shared" si="16"/>
        <v>20Y</v>
      </c>
      <c r="C146" s="45" t="str">
        <f t="shared" si="17"/>
        <v>8F</v>
      </c>
      <c r="D146" s="43" t="str">
        <f t="shared" si="18"/>
        <v>EUR8F20Y_Quote</v>
      </c>
      <c r="E146" s="43" t="e">
        <f ca="1">_xll.cfyql_SimpleQuote(D146,,RateTickValue,Permanent,Trigger,ObjectOverwrite)</f>
        <v>#NAME?</v>
      </c>
      <c r="F146" s="42" t="e">
        <f ca="1">_xll.ohRangeRetrieveError(E146)</f>
        <v>#NAME?</v>
      </c>
      <c r="G146" s="36"/>
      <c r="H146" s="161"/>
      <c r="I146" s="112"/>
      <c r="J146" s="137" t="s">
        <v>36</v>
      </c>
      <c r="K146" s="137" t="str">
        <f t="shared" si="15"/>
        <v>8F</v>
      </c>
      <c r="L146" s="139" t="str">
        <f t="shared" si="19"/>
        <v>EUR8F20Y</v>
      </c>
      <c r="M146" s="139" t="str">
        <v>EUR8F20Y=ICAP</v>
      </c>
      <c r="N146" s="78">
        <v>1.915</v>
      </c>
      <c r="O146" s="111"/>
      <c r="P146" s="78">
        <v>1.915</v>
      </c>
      <c r="Q146" s="111"/>
      <c r="R146" s="78">
        <v>1.915</v>
      </c>
      <c r="S146" s="78" t="e">
        <f ca="1">_xll.cfyql_SimpleQuoteSetValue(E146,R146/100,Trigger)</f>
        <v>#NAME?</v>
      </c>
      <c r="T146" s="129"/>
      <c r="V146" s="160"/>
    </row>
    <row r="147" spans="1:22" x14ac:dyDescent="0.2">
      <c r="A147" s="134"/>
      <c r="B147" s="45" t="str">
        <f t="shared" si="16"/>
        <v>25Y</v>
      </c>
      <c r="C147" s="45" t="str">
        <f t="shared" si="17"/>
        <v>8F</v>
      </c>
      <c r="D147" s="43" t="str">
        <f t="shared" si="18"/>
        <v>EUR8F25Y_Quote</v>
      </c>
      <c r="E147" s="43" t="e">
        <f ca="1">_xll.cfyql_SimpleQuote(D147,,RateTickValue,Permanent,Trigger,ObjectOverwrite)</f>
        <v>#NAME?</v>
      </c>
      <c r="F147" s="42" t="e">
        <f ca="1">_xll.ohRangeRetrieveError(E147)</f>
        <v>#NAME?</v>
      </c>
      <c r="G147" s="36"/>
      <c r="H147" s="161"/>
      <c r="I147" s="112"/>
      <c r="J147" s="137" t="s">
        <v>31</v>
      </c>
      <c r="K147" s="137" t="str">
        <f t="shared" si="15"/>
        <v>8F</v>
      </c>
      <c r="L147" s="139" t="str">
        <f t="shared" si="19"/>
        <v>EUR8F25Y</v>
      </c>
      <c r="M147" s="139" t="str">
        <v>EUR8F25Y=ICAP</v>
      </c>
      <c r="N147" s="78">
        <v>1.8560000000000001</v>
      </c>
      <c r="O147" s="111"/>
      <c r="P147" s="78">
        <v>1.8560000000000001</v>
      </c>
      <c r="Q147" s="111"/>
      <c r="R147" s="78">
        <v>1.8560000000000001</v>
      </c>
      <c r="S147" s="78" t="e">
        <f ca="1">_xll.cfyql_SimpleQuoteSetValue(E147,R147/100,Trigger)</f>
        <v>#NAME?</v>
      </c>
      <c r="T147" s="129"/>
      <c r="V147" s="160"/>
    </row>
    <row r="148" spans="1:22" x14ac:dyDescent="0.2">
      <c r="A148" s="134"/>
      <c r="B148" s="45" t="str">
        <f t="shared" si="16"/>
        <v>30Y</v>
      </c>
      <c r="C148" s="45" t="str">
        <f t="shared" si="17"/>
        <v>8F</v>
      </c>
      <c r="D148" s="43" t="str">
        <f t="shared" si="18"/>
        <v>EUR8F30Y_Quote</v>
      </c>
      <c r="E148" s="43" t="e">
        <f ca="1">_xll.cfyql_SimpleQuote(D148,,RateTickValue,Permanent,Trigger,ObjectOverwrite)</f>
        <v>#NAME?</v>
      </c>
      <c r="F148" s="42" t="e">
        <f ca="1">_xll.ohRangeRetrieveError(E148)</f>
        <v>#NAME?</v>
      </c>
      <c r="G148" s="36"/>
      <c r="H148" s="161"/>
      <c r="I148" s="112"/>
      <c r="J148" s="130" t="s">
        <v>26</v>
      </c>
      <c r="K148" s="130" t="str">
        <f t="shared" si="15"/>
        <v>8F</v>
      </c>
      <c r="L148" s="132" t="str">
        <f t="shared" si="19"/>
        <v>EUR8F30Y</v>
      </c>
      <c r="M148" s="132" t="str">
        <v>EUR8F30Y=ICAP</v>
      </c>
      <c r="N148" s="65">
        <v>1.8149999999999999</v>
      </c>
      <c r="O148" s="111"/>
      <c r="P148" s="65">
        <v>1.8149999999999999</v>
      </c>
      <c r="Q148" s="111"/>
      <c r="R148" s="65">
        <v>1.8149999999999999</v>
      </c>
      <c r="S148" s="65" t="e">
        <f ca="1">_xll.cfyql_SimpleQuoteSetValue(E148,R148/100,Trigger)</f>
        <v>#NAME?</v>
      </c>
      <c r="T148" s="129"/>
      <c r="V148" s="160"/>
    </row>
    <row r="149" spans="1:22" x14ac:dyDescent="0.2">
      <c r="A149" s="134"/>
      <c r="B149" s="45" t="str">
        <f t="shared" si="16"/>
        <v>1Y</v>
      </c>
      <c r="C149" s="45" t="str">
        <f t="shared" si="17"/>
        <v>9F</v>
      </c>
      <c r="D149" s="43" t="str">
        <f t="shared" si="18"/>
        <v>EUR9F1Y_Quote</v>
      </c>
      <c r="E149" s="43" t="e">
        <f ca="1">_xll.cfyql_SimpleQuote(D149,,RateTickValue,Permanent,Trigger,ObjectOverwrite)</f>
        <v>#NAME?</v>
      </c>
      <c r="F149" s="42" t="e">
        <f ca="1">_xll.ohRangeRetrieveError(E149)</f>
        <v>#NAME?</v>
      </c>
      <c r="G149" s="36"/>
      <c r="H149" s="161"/>
      <c r="I149" s="134">
        <v>9</v>
      </c>
      <c r="J149" s="163" t="s">
        <v>58</v>
      </c>
      <c r="K149" s="163" t="str">
        <f t="shared" ref="K149:K166" si="20">$I$149&amp;"F"</f>
        <v>9F</v>
      </c>
      <c r="L149" s="162" t="str">
        <f t="shared" si="19"/>
        <v>EUR9F1Y</v>
      </c>
      <c r="M149" s="162" t="str">
        <v>EUR9F1Y=ICAP</v>
      </c>
      <c r="N149" s="89">
        <v>1.9570000000000001</v>
      </c>
      <c r="O149" s="111"/>
      <c r="P149" s="89">
        <v>1.9570000000000001</v>
      </c>
      <c r="Q149" s="111"/>
      <c r="R149" s="89">
        <v>1.9570000000000001</v>
      </c>
      <c r="S149" s="89" t="e">
        <f ca="1">_xll.cfyql_SimpleQuoteSetValue(E149,R149/100,Trigger)</f>
        <v>#NAME?</v>
      </c>
      <c r="T149" s="129"/>
      <c r="V149" s="160"/>
    </row>
    <row r="150" spans="1:22" x14ac:dyDescent="0.2">
      <c r="A150" s="134"/>
      <c r="B150" s="45" t="str">
        <f t="shared" si="16"/>
        <v>2Y</v>
      </c>
      <c r="C150" s="45" t="str">
        <f t="shared" si="17"/>
        <v>9F</v>
      </c>
      <c r="D150" s="43" t="str">
        <f t="shared" si="18"/>
        <v>EUR9F2Y_Quote</v>
      </c>
      <c r="E150" s="43" t="e">
        <f ca="1">_xll.cfyql_SimpleQuote(D150,,RateTickValue,Permanent,Trigger,ObjectOverwrite)</f>
        <v>#NAME?</v>
      </c>
      <c r="F150" s="42" t="e">
        <f ca="1">_xll.ohRangeRetrieveError(E150)</f>
        <v>#NAME?</v>
      </c>
      <c r="G150" s="36"/>
      <c r="H150" s="161"/>
      <c r="I150" s="112"/>
      <c r="J150" s="137" t="s">
        <v>54</v>
      </c>
      <c r="K150" s="137" t="str">
        <f t="shared" si="20"/>
        <v>9F</v>
      </c>
      <c r="L150" s="139" t="str">
        <f t="shared" si="19"/>
        <v>EUR9F2Y</v>
      </c>
      <c r="M150" s="139" t="str">
        <v>EUR9F2Y=ICAP</v>
      </c>
      <c r="N150" s="78">
        <v>2.012</v>
      </c>
      <c r="O150" s="111"/>
      <c r="P150" s="78">
        <v>2.012</v>
      </c>
      <c r="Q150" s="111"/>
      <c r="R150" s="78">
        <v>2.012</v>
      </c>
      <c r="S150" s="78" t="e">
        <f ca="1">_xll.cfyql_SimpleQuoteSetValue(E150,R150/100,Trigger)</f>
        <v>#NAME?</v>
      </c>
      <c r="T150" s="129"/>
      <c r="V150" s="160"/>
    </row>
    <row r="151" spans="1:22" x14ac:dyDescent="0.2">
      <c r="A151" s="134"/>
      <c r="B151" s="45" t="str">
        <f t="shared" si="16"/>
        <v>3Y</v>
      </c>
      <c r="C151" s="45" t="str">
        <f t="shared" si="17"/>
        <v>9F</v>
      </c>
      <c r="D151" s="43" t="str">
        <f t="shared" si="18"/>
        <v>EUR9F3Y_Quote</v>
      </c>
      <c r="E151" s="43" t="e">
        <f ca="1">_xll.cfyql_SimpleQuote(D151,,RateTickValue,Permanent,Trigger,ObjectOverwrite)</f>
        <v>#NAME?</v>
      </c>
      <c r="F151" s="42" t="e">
        <f ca="1">_xll.ohRangeRetrieveError(E151)</f>
        <v>#NAME?</v>
      </c>
      <c r="G151" s="36"/>
      <c r="H151" s="161"/>
      <c r="I151" s="112"/>
      <c r="J151" s="137" t="s">
        <v>53</v>
      </c>
      <c r="K151" s="137" t="str">
        <f t="shared" si="20"/>
        <v>9F</v>
      </c>
      <c r="L151" s="139" t="str">
        <f t="shared" si="19"/>
        <v>EUR9F3Y</v>
      </c>
      <c r="M151" s="139" t="str">
        <v>EUR9F3Y=ICAP</v>
      </c>
      <c r="N151" s="78">
        <v>2.0550000000000002</v>
      </c>
      <c r="O151" s="111"/>
      <c r="P151" s="78">
        <v>2.0550000000000002</v>
      </c>
      <c r="Q151" s="111"/>
      <c r="R151" s="78">
        <v>2.0550000000000002</v>
      </c>
      <c r="S151" s="78" t="e">
        <f ca="1">_xll.cfyql_SimpleQuoteSetValue(E151,R151/100,Trigger)</f>
        <v>#NAME?</v>
      </c>
      <c r="T151" s="129"/>
      <c r="V151" s="160"/>
    </row>
    <row r="152" spans="1:22" x14ac:dyDescent="0.2">
      <c r="A152" s="134"/>
      <c r="B152" s="45" t="str">
        <f t="shared" si="16"/>
        <v>4Y</v>
      </c>
      <c r="C152" s="45" t="str">
        <f t="shared" si="17"/>
        <v>9F</v>
      </c>
      <c r="D152" s="43" t="str">
        <f t="shared" si="18"/>
        <v>EUR9F4Y_Quote</v>
      </c>
      <c r="E152" s="43" t="e">
        <f ca="1">_xll.cfyql_SimpleQuote(D152,,RateTickValue,Permanent,Trigger,ObjectOverwrite)</f>
        <v>#NAME?</v>
      </c>
      <c r="F152" s="42" t="e">
        <f ca="1">_xll.ohRangeRetrieveError(E152)</f>
        <v>#NAME?</v>
      </c>
      <c r="G152" s="36"/>
      <c r="H152" s="161"/>
      <c r="I152" s="112"/>
      <c r="J152" s="137" t="s">
        <v>52</v>
      </c>
      <c r="K152" s="137" t="str">
        <f t="shared" si="20"/>
        <v>9F</v>
      </c>
      <c r="L152" s="139" t="str">
        <f t="shared" si="19"/>
        <v>EUR9F4Y</v>
      </c>
      <c r="M152" s="139" t="str">
        <v>EUR9F4Y=ICAP</v>
      </c>
      <c r="N152" s="78">
        <v>2.0870000000000002</v>
      </c>
      <c r="O152" s="111"/>
      <c r="P152" s="78">
        <v>2.0870000000000002</v>
      </c>
      <c r="Q152" s="111"/>
      <c r="R152" s="78">
        <v>2.0870000000000002</v>
      </c>
      <c r="S152" s="78" t="e">
        <f ca="1">_xll.cfyql_SimpleQuoteSetValue(E152,R152/100,Trigger)</f>
        <v>#NAME?</v>
      </c>
      <c r="T152" s="129"/>
      <c r="V152" s="160"/>
    </row>
    <row r="153" spans="1:22" x14ac:dyDescent="0.2">
      <c r="A153" s="134"/>
      <c r="B153" s="45" t="str">
        <f t="shared" si="16"/>
        <v>5Y</v>
      </c>
      <c r="C153" s="45" t="str">
        <f t="shared" si="17"/>
        <v>9F</v>
      </c>
      <c r="D153" s="43" t="str">
        <f t="shared" si="18"/>
        <v>EUR9F5Y_Quote</v>
      </c>
      <c r="E153" s="43" t="e">
        <f ca="1">_xll.cfyql_SimpleQuote(D153,,RateTickValue,Permanent,Trigger,ObjectOverwrite)</f>
        <v>#NAME?</v>
      </c>
      <c r="F153" s="42" t="e">
        <f ca="1">_xll.ohRangeRetrieveError(E153)</f>
        <v>#NAME?</v>
      </c>
      <c r="G153" s="36"/>
      <c r="H153" s="161"/>
      <c r="I153" s="112"/>
      <c r="J153" s="137" t="s">
        <v>51</v>
      </c>
      <c r="K153" s="137" t="str">
        <f t="shared" si="20"/>
        <v>9F</v>
      </c>
      <c r="L153" s="139" t="str">
        <f t="shared" si="19"/>
        <v>EUR9F5Y</v>
      </c>
      <c r="M153" s="139" t="str">
        <v>EUR9F5Y=ICAP</v>
      </c>
      <c r="N153" s="78">
        <v>2.1070000000000002</v>
      </c>
      <c r="O153" s="111"/>
      <c r="P153" s="78">
        <v>2.1070000000000002</v>
      </c>
      <c r="Q153" s="111"/>
      <c r="R153" s="78">
        <v>2.1070000000000002</v>
      </c>
      <c r="S153" s="78" t="e">
        <f ca="1">_xll.cfyql_SimpleQuoteSetValue(E153,R153/100,Trigger)</f>
        <v>#NAME?</v>
      </c>
      <c r="T153" s="129"/>
      <c r="V153" s="160"/>
    </row>
    <row r="154" spans="1:22" x14ac:dyDescent="0.2">
      <c r="A154" s="134"/>
      <c r="B154" s="45" t="str">
        <f t="shared" si="16"/>
        <v>6Y</v>
      </c>
      <c r="C154" s="45" t="str">
        <f t="shared" si="17"/>
        <v>9F</v>
      </c>
      <c r="D154" s="43" t="str">
        <f t="shared" si="18"/>
        <v>EUR9F6Y_Quote</v>
      </c>
      <c r="E154" s="43" t="e">
        <f ca="1">_xll.cfyql_SimpleQuote(D154,,RateTickValue,Permanent,Trigger,ObjectOverwrite)</f>
        <v>#NAME?</v>
      </c>
      <c r="F154" s="42" t="e">
        <f ca="1">_xll.ohRangeRetrieveError(E154)</f>
        <v>#NAME?</v>
      </c>
      <c r="G154" s="36"/>
      <c r="H154" s="161"/>
      <c r="I154" s="112"/>
      <c r="J154" s="137" t="s">
        <v>50</v>
      </c>
      <c r="K154" s="137" t="str">
        <f t="shared" si="20"/>
        <v>9F</v>
      </c>
      <c r="L154" s="139" t="str">
        <f t="shared" si="19"/>
        <v>EUR9F6Y</v>
      </c>
      <c r="M154" s="139" t="str">
        <v>EUR9F6Y=ICAP</v>
      </c>
      <c r="N154" s="78">
        <v>2.12</v>
      </c>
      <c r="O154" s="111"/>
      <c r="P154" s="78">
        <v>2.12</v>
      </c>
      <c r="Q154" s="111"/>
      <c r="R154" s="78">
        <v>2.12</v>
      </c>
      <c r="S154" s="78" t="e">
        <f ca="1">_xll.cfyql_SimpleQuoteSetValue(E154,R154/100,Trigger)</f>
        <v>#NAME?</v>
      </c>
      <c r="T154" s="129"/>
      <c r="V154" s="160"/>
    </row>
    <row r="155" spans="1:22" x14ac:dyDescent="0.2">
      <c r="A155" s="134"/>
      <c r="B155" s="45" t="str">
        <f t="shared" si="16"/>
        <v>7Y</v>
      </c>
      <c r="C155" s="45" t="str">
        <f t="shared" si="17"/>
        <v>9F</v>
      </c>
      <c r="D155" s="43" t="str">
        <f t="shared" si="18"/>
        <v>EUR9F7Y_Quote</v>
      </c>
      <c r="E155" s="43" t="e">
        <f ca="1">_xll.cfyql_SimpleQuote(D155,,RateTickValue,Permanent,Trigger,ObjectOverwrite)</f>
        <v>#NAME?</v>
      </c>
      <c r="F155" s="42" t="e">
        <f ca="1">_xll.ohRangeRetrieveError(E155)</f>
        <v>#NAME?</v>
      </c>
      <c r="G155" s="36"/>
      <c r="H155" s="161"/>
      <c r="I155" s="112"/>
      <c r="J155" s="137" t="s">
        <v>49</v>
      </c>
      <c r="K155" s="137" t="str">
        <f t="shared" si="20"/>
        <v>9F</v>
      </c>
      <c r="L155" s="139" t="str">
        <f t="shared" si="19"/>
        <v>EUR9F7Y</v>
      </c>
      <c r="M155" s="139" t="str">
        <v>EUR9F7Y=ICAP</v>
      </c>
      <c r="N155" s="78">
        <v>2.1240000000000001</v>
      </c>
      <c r="O155" s="111"/>
      <c r="P155" s="78">
        <v>2.1240000000000001</v>
      </c>
      <c r="Q155" s="111"/>
      <c r="R155" s="78">
        <v>2.1240000000000001</v>
      </c>
      <c r="S155" s="78" t="e">
        <f ca="1">_xll.cfyql_SimpleQuoteSetValue(E155,R155/100,Trigger)</f>
        <v>#NAME?</v>
      </c>
      <c r="T155" s="129"/>
      <c r="V155" s="160"/>
    </row>
    <row r="156" spans="1:22" x14ac:dyDescent="0.2">
      <c r="A156" s="134"/>
      <c r="B156" s="45" t="str">
        <f t="shared" si="16"/>
        <v>8Y</v>
      </c>
      <c r="C156" s="45" t="str">
        <f t="shared" si="17"/>
        <v>9F</v>
      </c>
      <c r="D156" s="43" t="str">
        <f t="shared" si="18"/>
        <v>EUR9F8Y_Quote</v>
      </c>
      <c r="E156" s="43" t="e">
        <f ca="1">_xll.cfyql_SimpleQuote(D156,,RateTickValue,Permanent,Trigger,ObjectOverwrite)</f>
        <v>#NAME?</v>
      </c>
      <c r="F156" s="42" t="e">
        <f ca="1">_xll.ohRangeRetrieveError(E156)</f>
        <v>#NAME?</v>
      </c>
      <c r="G156" s="36"/>
      <c r="H156" s="161"/>
      <c r="I156" s="112"/>
      <c r="J156" s="137" t="s">
        <v>48</v>
      </c>
      <c r="K156" s="137" t="str">
        <f t="shared" si="20"/>
        <v>9F</v>
      </c>
      <c r="L156" s="139" t="str">
        <f t="shared" si="19"/>
        <v>EUR9F8Y</v>
      </c>
      <c r="M156" s="139" t="str">
        <v>EUR9F8Y=ICAP</v>
      </c>
      <c r="N156" s="78">
        <v>2.1259999999999999</v>
      </c>
      <c r="O156" s="111"/>
      <c r="P156" s="78">
        <v>2.1259999999999999</v>
      </c>
      <c r="Q156" s="111"/>
      <c r="R156" s="78">
        <v>2.1259999999999999</v>
      </c>
      <c r="S156" s="78" t="e">
        <f ca="1">_xll.cfyql_SimpleQuoteSetValue(E156,R156/100,Trigger)</f>
        <v>#NAME?</v>
      </c>
      <c r="T156" s="129"/>
      <c r="V156" s="160"/>
    </row>
    <row r="157" spans="1:22" x14ac:dyDescent="0.2">
      <c r="A157" s="134"/>
      <c r="B157" s="45" t="str">
        <f t="shared" si="16"/>
        <v>9Y</v>
      </c>
      <c r="C157" s="45" t="str">
        <f t="shared" si="17"/>
        <v>9F</v>
      </c>
      <c r="D157" s="43" t="str">
        <f t="shared" si="18"/>
        <v>EUR9F9Y_Quote</v>
      </c>
      <c r="E157" s="43" t="e">
        <f ca="1">_xll.cfyql_SimpleQuote(D157,,RateTickValue,Permanent,Trigger,ObjectOverwrite)</f>
        <v>#NAME?</v>
      </c>
      <c r="F157" s="42" t="e">
        <f ca="1">_xll.ohRangeRetrieveError(E157)</f>
        <v>#NAME?</v>
      </c>
      <c r="G157" s="36"/>
      <c r="H157" s="161"/>
      <c r="I157" s="112"/>
      <c r="J157" s="137" t="s">
        <v>47</v>
      </c>
      <c r="K157" s="137" t="str">
        <f t="shared" si="20"/>
        <v>9F</v>
      </c>
      <c r="L157" s="139" t="str">
        <f t="shared" si="19"/>
        <v>EUR9F9Y</v>
      </c>
      <c r="M157" s="139" t="str">
        <v>EUR9F9Y=ICAP</v>
      </c>
      <c r="N157" s="78">
        <v>2.1179999999999999</v>
      </c>
      <c r="O157" s="111"/>
      <c r="P157" s="78">
        <v>2.1179999999999999</v>
      </c>
      <c r="Q157" s="111"/>
      <c r="R157" s="78">
        <v>2.1179999999999999</v>
      </c>
      <c r="S157" s="78" t="e">
        <f ca="1">_xll.cfyql_SimpleQuoteSetValue(E157,R157/100,Trigger)</f>
        <v>#NAME?</v>
      </c>
      <c r="T157" s="129"/>
      <c r="V157" s="160"/>
    </row>
    <row r="158" spans="1:22" x14ac:dyDescent="0.2">
      <c r="A158" s="134"/>
      <c r="B158" s="45" t="str">
        <f t="shared" si="16"/>
        <v>10Y</v>
      </c>
      <c r="C158" s="45" t="str">
        <f t="shared" si="17"/>
        <v>9F</v>
      </c>
      <c r="D158" s="43" t="str">
        <f t="shared" si="18"/>
        <v>EUR9F10Y_Quote</v>
      </c>
      <c r="E158" s="43" t="e">
        <f ca="1">_xll.cfyql_SimpleQuote(D158,,RateTickValue,Permanent,Trigger,ObjectOverwrite)</f>
        <v>#NAME?</v>
      </c>
      <c r="F158" s="42" t="e">
        <f ca="1">_xll.ohRangeRetrieveError(E158)</f>
        <v>#NAME?</v>
      </c>
      <c r="G158" s="36"/>
      <c r="H158" s="161"/>
      <c r="I158" s="112"/>
      <c r="J158" s="137" t="s">
        <v>46</v>
      </c>
      <c r="K158" s="137" t="str">
        <f t="shared" si="20"/>
        <v>9F</v>
      </c>
      <c r="L158" s="139" t="str">
        <f t="shared" si="19"/>
        <v>EUR9F10Y</v>
      </c>
      <c r="M158" s="139" t="str">
        <v>EUR9F10Y=ICAP</v>
      </c>
      <c r="N158" s="78">
        <v>2.105</v>
      </c>
      <c r="O158" s="111"/>
      <c r="P158" s="78">
        <v>2.105</v>
      </c>
      <c r="Q158" s="111"/>
      <c r="R158" s="78">
        <v>2.105</v>
      </c>
      <c r="S158" s="78" t="e">
        <f ca="1">_xll.cfyql_SimpleQuoteSetValue(E158,R158/100,Trigger)</f>
        <v>#NAME?</v>
      </c>
      <c r="T158" s="129"/>
      <c r="V158" s="160"/>
    </row>
    <row r="159" spans="1:22" x14ac:dyDescent="0.2">
      <c r="A159" s="134"/>
      <c r="B159" s="45" t="str">
        <f t="shared" si="16"/>
        <v>11Y</v>
      </c>
      <c r="C159" s="45" t="str">
        <f t="shared" si="17"/>
        <v>9F</v>
      </c>
      <c r="D159" s="43" t="str">
        <f t="shared" si="18"/>
        <v>EUR9F11Y_Quote</v>
      </c>
      <c r="E159" s="43" t="e">
        <f ca="1">_xll.cfyql_SimpleQuote(D159,,RateTickValue,Permanent,Trigger,ObjectOverwrite)</f>
        <v>#NAME?</v>
      </c>
      <c r="F159" s="42" t="e">
        <f ca="1">_xll.ohRangeRetrieveError(E159)</f>
        <v>#NAME?</v>
      </c>
      <c r="G159" s="36"/>
      <c r="H159" s="161"/>
      <c r="I159" s="112"/>
      <c r="J159" s="137" t="s">
        <v>45</v>
      </c>
      <c r="K159" s="137" t="str">
        <f t="shared" si="20"/>
        <v>9F</v>
      </c>
      <c r="L159" s="139" t="str">
        <f t="shared" si="19"/>
        <v>EUR9F11Y</v>
      </c>
      <c r="M159" s="139" t="str">
        <v>EUR9F11Y=ICAP</v>
      </c>
      <c r="N159" s="78">
        <v>2.0880000000000001</v>
      </c>
      <c r="O159" s="111"/>
      <c r="P159" s="78">
        <v>2.0880000000000001</v>
      </c>
      <c r="Q159" s="111"/>
      <c r="R159" s="78">
        <v>2.0880000000000001</v>
      </c>
      <c r="S159" s="78" t="e">
        <f ca="1">_xll.cfyql_SimpleQuoteSetValue(E159,R159/100,Trigger)</f>
        <v>#NAME?</v>
      </c>
      <c r="T159" s="129"/>
      <c r="V159" s="160"/>
    </row>
    <row r="160" spans="1:22" x14ac:dyDescent="0.2">
      <c r="A160" s="134"/>
      <c r="B160" s="45" t="str">
        <f t="shared" si="16"/>
        <v>12Y</v>
      </c>
      <c r="C160" s="45" t="str">
        <f t="shared" si="17"/>
        <v>9F</v>
      </c>
      <c r="D160" s="43" t="str">
        <f t="shared" si="18"/>
        <v>EUR9F12Y_Quote</v>
      </c>
      <c r="E160" s="43" t="e">
        <f ca="1">_xll.cfyql_SimpleQuote(D160,,RateTickValue,Permanent,Trigger,ObjectOverwrite)</f>
        <v>#NAME?</v>
      </c>
      <c r="F160" s="42" t="e">
        <f ca="1">_xll.ohRangeRetrieveError(E160)</f>
        <v>#NAME?</v>
      </c>
      <c r="G160" s="36"/>
      <c r="H160" s="161"/>
      <c r="I160" s="112"/>
      <c r="J160" s="137" t="s">
        <v>44</v>
      </c>
      <c r="K160" s="137" t="str">
        <f t="shared" si="20"/>
        <v>9F</v>
      </c>
      <c r="L160" s="139" t="str">
        <f t="shared" si="19"/>
        <v>EUR9F12Y</v>
      </c>
      <c r="M160" s="139" t="str">
        <v>EUR9F12Y=ICAP</v>
      </c>
      <c r="N160" s="78">
        <v>2.0680000000000001</v>
      </c>
      <c r="O160" s="111"/>
      <c r="P160" s="78">
        <v>2.0680000000000001</v>
      </c>
      <c r="Q160" s="111"/>
      <c r="R160" s="78">
        <v>2.0680000000000001</v>
      </c>
      <c r="S160" s="78" t="e">
        <f ca="1">_xll.cfyql_SimpleQuoteSetValue(E160,R160/100,Trigger)</f>
        <v>#NAME?</v>
      </c>
      <c r="T160" s="129"/>
      <c r="V160" s="160"/>
    </row>
    <row r="161" spans="1:22" x14ac:dyDescent="0.2">
      <c r="A161" s="134"/>
      <c r="B161" s="45" t="str">
        <f t="shared" si="16"/>
        <v>13Y</v>
      </c>
      <c r="C161" s="45" t="str">
        <f t="shared" si="17"/>
        <v>9F</v>
      </c>
      <c r="D161" s="43" t="str">
        <f t="shared" si="18"/>
        <v>EUR9F13Y_Quote</v>
      </c>
      <c r="E161" s="43" t="e">
        <f ca="1">_xll.cfyql_SimpleQuote(D161,,RateTickValue,Permanent,Trigger,ObjectOverwrite)</f>
        <v>#NAME?</v>
      </c>
      <c r="F161" s="42" t="e">
        <f ca="1">_xll.ohRangeRetrieveError(E161)</f>
        <v>#NAME?</v>
      </c>
      <c r="G161" s="36"/>
      <c r="H161" s="161"/>
      <c r="I161" s="112"/>
      <c r="J161" s="137" t="s">
        <v>43</v>
      </c>
      <c r="K161" s="137" t="str">
        <f t="shared" si="20"/>
        <v>9F</v>
      </c>
      <c r="L161" s="139" t="str">
        <f t="shared" si="19"/>
        <v>EUR9F13Y</v>
      </c>
      <c r="M161" s="139" t="str">
        <v>EUR9F13Y=ICAP</v>
      </c>
      <c r="N161" s="78">
        <v>2.0470000000000002</v>
      </c>
      <c r="O161" s="111"/>
      <c r="P161" s="78">
        <v>2.0470000000000002</v>
      </c>
      <c r="Q161" s="111"/>
      <c r="R161" s="78">
        <v>2.0470000000000002</v>
      </c>
      <c r="S161" s="78" t="e">
        <f ca="1">_xll.cfyql_SimpleQuoteSetValue(E161,R161/100,Trigger)</f>
        <v>#NAME?</v>
      </c>
      <c r="T161" s="129"/>
      <c r="V161" s="160"/>
    </row>
    <row r="162" spans="1:22" x14ac:dyDescent="0.2">
      <c r="A162" s="134"/>
      <c r="B162" s="45" t="str">
        <f t="shared" si="16"/>
        <v>14Y</v>
      </c>
      <c r="C162" s="45" t="str">
        <f t="shared" si="17"/>
        <v>9F</v>
      </c>
      <c r="D162" s="43" t="str">
        <f t="shared" si="18"/>
        <v>EUR9F14Y_Quote</v>
      </c>
      <c r="E162" s="43" t="e">
        <f ca="1">_xll.cfyql_SimpleQuote(D162,,RateTickValue,Permanent,Trigger,ObjectOverwrite)</f>
        <v>#NAME?</v>
      </c>
      <c r="F162" s="42" t="e">
        <f ca="1">_xll.ohRangeRetrieveError(E162)</f>
        <v>#NAME?</v>
      </c>
      <c r="G162" s="36"/>
      <c r="H162" s="161"/>
      <c r="I162" s="112"/>
      <c r="J162" s="137" t="s">
        <v>42</v>
      </c>
      <c r="K162" s="137" t="str">
        <f t="shared" si="20"/>
        <v>9F</v>
      </c>
      <c r="L162" s="139" t="str">
        <f t="shared" si="19"/>
        <v>EUR9F14Y</v>
      </c>
      <c r="M162" s="139" t="str">
        <v>EUR9F14Y=ICAP</v>
      </c>
      <c r="N162" s="78">
        <v>2.0219999999999998</v>
      </c>
      <c r="O162" s="111"/>
      <c r="P162" s="78">
        <v>2.0219999999999998</v>
      </c>
      <c r="Q162" s="111"/>
      <c r="R162" s="78">
        <v>2.0219999999999998</v>
      </c>
      <c r="S162" s="78" t="e">
        <f ca="1">_xll.cfyql_SimpleQuoteSetValue(E162,R162/100,Trigger)</f>
        <v>#NAME?</v>
      </c>
      <c r="T162" s="129"/>
      <c r="V162" s="160"/>
    </row>
    <row r="163" spans="1:22" x14ac:dyDescent="0.2">
      <c r="A163" s="134"/>
      <c r="B163" s="45" t="str">
        <f t="shared" si="16"/>
        <v>15Y</v>
      </c>
      <c r="C163" s="45" t="str">
        <f t="shared" si="17"/>
        <v>9F</v>
      </c>
      <c r="D163" s="43" t="str">
        <f t="shared" si="18"/>
        <v>EUR9F15Y_Quote</v>
      </c>
      <c r="E163" s="43" t="e">
        <f ca="1">_xll.cfyql_SimpleQuote(D163,,RateTickValue,Permanent,Trigger,ObjectOverwrite)</f>
        <v>#NAME?</v>
      </c>
      <c r="F163" s="42" t="e">
        <f ca="1">_xll.ohRangeRetrieveError(E163)</f>
        <v>#NAME?</v>
      </c>
      <c r="G163" s="36"/>
      <c r="H163" s="161"/>
      <c r="I163" s="112"/>
      <c r="J163" s="137" t="s">
        <v>41</v>
      </c>
      <c r="K163" s="137" t="str">
        <f t="shared" si="20"/>
        <v>9F</v>
      </c>
      <c r="L163" s="139" t="str">
        <f t="shared" si="19"/>
        <v>EUR9F15Y</v>
      </c>
      <c r="M163" s="139" t="str">
        <v>EUR9F15Y=ICAP</v>
      </c>
      <c r="N163" s="78">
        <v>1.9990000000000001</v>
      </c>
      <c r="O163" s="111"/>
      <c r="P163" s="78">
        <v>1.9990000000000001</v>
      </c>
      <c r="Q163" s="111"/>
      <c r="R163" s="78">
        <v>1.9990000000000001</v>
      </c>
      <c r="S163" s="78" t="e">
        <f ca="1">_xll.cfyql_SimpleQuoteSetValue(E163,R163/100,Trigger)</f>
        <v>#NAME?</v>
      </c>
      <c r="T163" s="129"/>
      <c r="V163" s="160"/>
    </row>
    <row r="164" spans="1:22" x14ac:dyDescent="0.2">
      <c r="A164" s="134"/>
      <c r="B164" s="45" t="str">
        <f t="shared" si="16"/>
        <v>20Y</v>
      </c>
      <c r="C164" s="45" t="str">
        <f t="shared" si="17"/>
        <v>9F</v>
      </c>
      <c r="D164" s="43" t="str">
        <f t="shared" si="18"/>
        <v>EUR9F20Y_Quote</v>
      </c>
      <c r="E164" s="43" t="e">
        <f ca="1">_xll.cfyql_SimpleQuote(D164,,RateTickValue,Permanent,Trigger,ObjectOverwrite)</f>
        <v>#NAME?</v>
      </c>
      <c r="F164" s="42" t="e">
        <f ca="1">_xll.ohRangeRetrieveError(E164)</f>
        <v>#NAME?</v>
      </c>
      <c r="G164" s="36"/>
      <c r="H164" s="161"/>
      <c r="I164" s="112"/>
      <c r="J164" s="137" t="s">
        <v>36</v>
      </c>
      <c r="K164" s="137" t="str">
        <f t="shared" si="20"/>
        <v>9F</v>
      </c>
      <c r="L164" s="139" t="str">
        <f t="shared" si="19"/>
        <v>EUR9F20Y</v>
      </c>
      <c r="M164" s="139" t="str">
        <v>EUR9F20Y=ICAP</v>
      </c>
      <c r="N164" s="78">
        <v>1.9019999999999999</v>
      </c>
      <c r="O164" s="111"/>
      <c r="P164" s="78">
        <v>1.9019999999999999</v>
      </c>
      <c r="Q164" s="111"/>
      <c r="R164" s="78">
        <v>1.9019999999999999</v>
      </c>
      <c r="S164" s="78" t="e">
        <f ca="1">_xll.cfyql_SimpleQuoteSetValue(E164,R164/100,Trigger)</f>
        <v>#NAME?</v>
      </c>
      <c r="T164" s="129"/>
      <c r="V164" s="160"/>
    </row>
    <row r="165" spans="1:22" x14ac:dyDescent="0.2">
      <c r="A165" s="134"/>
      <c r="B165" s="45" t="str">
        <f t="shared" si="16"/>
        <v>25Y</v>
      </c>
      <c r="C165" s="45" t="str">
        <f t="shared" si="17"/>
        <v>9F</v>
      </c>
      <c r="D165" s="43" t="str">
        <f t="shared" si="18"/>
        <v>EUR9F25Y_Quote</v>
      </c>
      <c r="E165" s="43" t="e">
        <f ca="1">_xll.cfyql_SimpleQuote(D165,,RateTickValue,Permanent,Trigger,ObjectOverwrite)</f>
        <v>#NAME?</v>
      </c>
      <c r="F165" s="42" t="e">
        <f ca="1">_xll.ohRangeRetrieveError(E165)</f>
        <v>#NAME?</v>
      </c>
      <c r="G165" s="36"/>
      <c r="H165" s="161"/>
      <c r="I165" s="112"/>
      <c r="J165" s="137" t="s">
        <v>31</v>
      </c>
      <c r="K165" s="137" t="str">
        <f t="shared" si="20"/>
        <v>9F</v>
      </c>
      <c r="L165" s="139" t="str">
        <f t="shared" si="19"/>
        <v>EUR9F25Y</v>
      </c>
      <c r="M165" s="139" t="str">
        <v>EUR9F25Y=ICAP</v>
      </c>
      <c r="N165" s="78">
        <v>1.8480000000000001</v>
      </c>
      <c r="O165" s="111"/>
      <c r="P165" s="78">
        <v>1.8480000000000001</v>
      </c>
      <c r="Q165" s="111"/>
      <c r="R165" s="78">
        <v>1.8480000000000001</v>
      </c>
      <c r="S165" s="78" t="e">
        <f ca="1">_xll.cfyql_SimpleQuoteSetValue(E165,R165/100,Trigger)</f>
        <v>#NAME?</v>
      </c>
      <c r="T165" s="129"/>
      <c r="V165" s="160"/>
    </row>
    <row r="166" spans="1:22" x14ac:dyDescent="0.2">
      <c r="A166" s="134"/>
      <c r="B166" s="45" t="str">
        <f t="shared" si="16"/>
        <v>30Y</v>
      </c>
      <c r="C166" s="45" t="str">
        <f t="shared" si="17"/>
        <v>9F</v>
      </c>
      <c r="D166" s="43" t="str">
        <f t="shared" si="18"/>
        <v>EUR9F30Y_Quote</v>
      </c>
      <c r="E166" s="43" t="e">
        <f ca="1">_xll.cfyql_SimpleQuote(D166,,RateTickValue,Permanent,Trigger,ObjectOverwrite)</f>
        <v>#NAME?</v>
      </c>
      <c r="F166" s="42" t="e">
        <f ca="1">_xll.ohRangeRetrieveError(E166)</f>
        <v>#NAME?</v>
      </c>
      <c r="G166" s="36"/>
      <c r="H166" s="161"/>
      <c r="I166" s="112"/>
      <c r="J166" s="130" t="s">
        <v>26</v>
      </c>
      <c r="K166" s="130" t="str">
        <f t="shared" si="20"/>
        <v>9F</v>
      </c>
      <c r="L166" s="132" t="str">
        <f t="shared" si="19"/>
        <v>EUR9F30Y</v>
      </c>
      <c r="M166" s="132" t="str">
        <v>EUR9F30Y=ICAP</v>
      </c>
      <c r="N166" s="65">
        <v>1.8039999999999998</v>
      </c>
      <c r="O166" s="111"/>
      <c r="P166" s="65">
        <v>1.8039999999999998</v>
      </c>
      <c r="Q166" s="111"/>
      <c r="R166" s="65">
        <v>1.8039999999999998</v>
      </c>
      <c r="S166" s="65" t="e">
        <f ca="1">_xll.cfyql_SimpleQuoteSetValue(E166,R166/100,Trigger)</f>
        <v>#NAME?</v>
      </c>
      <c r="T166" s="129"/>
      <c r="V166" s="160"/>
    </row>
    <row r="167" spans="1:22" x14ac:dyDescent="0.2">
      <c r="A167" s="134"/>
      <c r="B167" s="45" t="str">
        <f t="shared" si="16"/>
        <v>1Y</v>
      </c>
      <c r="C167" s="45" t="str">
        <f t="shared" si="17"/>
        <v>10F</v>
      </c>
      <c r="D167" s="43" t="str">
        <f t="shared" si="18"/>
        <v>EUR10F1Y_Quote</v>
      </c>
      <c r="E167" s="43" t="e">
        <f ca="1">_xll.cfyql_SimpleQuote(D167,,RateTickValue,Permanent,Trigger,ObjectOverwrite)</f>
        <v>#NAME?</v>
      </c>
      <c r="F167" s="42" t="e">
        <f ca="1">_xll.ohRangeRetrieveError(E167)</f>
        <v>#NAME?</v>
      </c>
      <c r="G167" s="36"/>
      <c r="H167" s="161"/>
      <c r="I167" s="134">
        <v>10</v>
      </c>
      <c r="J167" s="163" t="s">
        <v>58</v>
      </c>
      <c r="K167" s="163" t="str">
        <f t="shared" ref="K167:K184" si="21">$I$167&amp;"F"</f>
        <v>10F</v>
      </c>
      <c r="L167" s="162" t="str">
        <f t="shared" si="19"/>
        <v>EUR10F1Y</v>
      </c>
      <c r="M167" s="162" t="str">
        <v>EUR10F1Y=ICAP</v>
      </c>
      <c r="N167" s="89">
        <v>2.0680000000000001</v>
      </c>
      <c r="O167" s="111"/>
      <c r="P167" s="89">
        <v>2.0680000000000001</v>
      </c>
      <c r="Q167" s="111"/>
      <c r="R167" s="89">
        <v>2.0680000000000001</v>
      </c>
      <c r="S167" s="89" t="e">
        <f ca="1">_xll.cfyql_SimpleQuoteSetValue(E167,R167/100,Trigger)</f>
        <v>#NAME?</v>
      </c>
      <c r="T167" s="129"/>
      <c r="V167" s="160"/>
    </row>
    <row r="168" spans="1:22" x14ac:dyDescent="0.2">
      <c r="A168" s="134"/>
      <c r="B168" s="45" t="str">
        <f t="shared" si="16"/>
        <v>2Y</v>
      </c>
      <c r="C168" s="45" t="str">
        <f t="shared" si="17"/>
        <v>10F</v>
      </c>
      <c r="D168" s="43" t="str">
        <f t="shared" si="18"/>
        <v>EUR10F2Y_Quote</v>
      </c>
      <c r="E168" s="43" t="e">
        <f ca="1">_xll.cfyql_SimpleQuote(D168,,RateTickValue,Permanent,Trigger,ObjectOverwrite)</f>
        <v>#NAME?</v>
      </c>
      <c r="F168" s="42" t="e">
        <f ca="1">_xll.ohRangeRetrieveError(E168)</f>
        <v>#NAME?</v>
      </c>
      <c r="G168" s="36"/>
      <c r="H168" s="161"/>
      <c r="I168" s="112"/>
      <c r="J168" s="137" t="s">
        <v>54</v>
      </c>
      <c r="K168" s="137" t="str">
        <f t="shared" si="21"/>
        <v>10F</v>
      </c>
      <c r="L168" s="139" t="str">
        <f t="shared" si="19"/>
        <v>EUR10F2Y</v>
      </c>
      <c r="M168" s="139" t="str">
        <v>EUR10F2Y=ICAP</v>
      </c>
      <c r="N168" s="78">
        <v>2.105</v>
      </c>
      <c r="O168" s="111"/>
      <c r="P168" s="78">
        <v>2.105</v>
      </c>
      <c r="Q168" s="111"/>
      <c r="R168" s="78">
        <v>2.105</v>
      </c>
      <c r="S168" s="78" t="e">
        <f ca="1">_xll.cfyql_SimpleQuoteSetValue(E168,R168/100,Trigger)</f>
        <v>#NAME?</v>
      </c>
      <c r="T168" s="129"/>
      <c r="V168" s="160"/>
    </row>
    <row r="169" spans="1:22" x14ac:dyDescent="0.2">
      <c r="A169" s="134"/>
      <c r="B169" s="45" t="str">
        <f t="shared" si="16"/>
        <v>3Y</v>
      </c>
      <c r="C169" s="45" t="str">
        <f t="shared" si="17"/>
        <v>10F</v>
      </c>
      <c r="D169" s="43" t="str">
        <f t="shared" si="18"/>
        <v>EUR10F3Y_Quote</v>
      </c>
      <c r="E169" s="43" t="e">
        <f ca="1">_xll.cfyql_SimpleQuote(D169,,RateTickValue,Permanent,Trigger,ObjectOverwrite)</f>
        <v>#NAME?</v>
      </c>
      <c r="F169" s="42" t="e">
        <f ca="1">_xll.ohRangeRetrieveError(E169)</f>
        <v>#NAME?</v>
      </c>
      <c r="G169" s="36"/>
      <c r="H169" s="161"/>
      <c r="I169" s="112"/>
      <c r="J169" s="137" t="s">
        <v>53</v>
      </c>
      <c r="K169" s="137" t="str">
        <f t="shared" si="21"/>
        <v>10F</v>
      </c>
      <c r="L169" s="139" t="str">
        <f t="shared" si="19"/>
        <v>EUR10F3Y</v>
      </c>
      <c r="M169" s="139" t="str">
        <v>EUR10F3Y=ICAP</v>
      </c>
      <c r="N169" s="78">
        <v>2.1320000000000001</v>
      </c>
      <c r="O169" s="111"/>
      <c r="P169" s="78">
        <v>2.1320000000000001</v>
      </c>
      <c r="Q169" s="111"/>
      <c r="R169" s="78">
        <v>2.1320000000000001</v>
      </c>
      <c r="S169" s="78" t="e">
        <f ca="1">_xll.cfyql_SimpleQuoteSetValue(E169,R169/100,Trigger)</f>
        <v>#NAME?</v>
      </c>
      <c r="T169" s="129"/>
      <c r="V169" s="160"/>
    </row>
    <row r="170" spans="1:22" x14ac:dyDescent="0.2">
      <c r="A170" s="134"/>
      <c r="B170" s="45" t="str">
        <f t="shared" si="16"/>
        <v>4Y</v>
      </c>
      <c r="C170" s="45" t="str">
        <f t="shared" si="17"/>
        <v>10F</v>
      </c>
      <c r="D170" s="43" t="str">
        <f t="shared" si="18"/>
        <v>EUR10F4Y_Quote</v>
      </c>
      <c r="E170" s="43" t="e">
        <f ca="1">_xll.cfyql_SimpleQuote(D170,,RateTickValue,Permanent,Trigger,ObjectOverwrite)</f>
        <v>#NAME?</v>
      </c>
      <c r="F170" s="42" t="e">
        <f ca="1">_xll.ohRangeRetrieveError(E170)</f>
        <v>#NAME?</v>
      </c>
      <c r="G170" s="36"/>
      <c r="H170" s="161"/>
      <c r="I170" s="112"/>
      <c r="J170" s="137" t="s">
        <v>52</v>
      </c>
      <c r="K170" s="137" t="str">
        <f t="shared" si="21"/>
        <v>10F</v>
      </c>
      <c r="L170" s="139" t="str">
        <f t="shared" si="19"/>
        <v>EUR10F4Y</v>
      </c>
      <c r="M170" s="139" t="str">
        <v>EUR10F4Y=ICAP</v>
      </c>
      <c r="N170" s="78">
        <v>2.1469999999999998</v>
      </c>
      <c r="O170" s="111"/>
      <c r="P170" s="78">
        <v>2.1469999999999998</v>
      </c>
      <c r="Q170" s="111"/>
      <c r="R170" s="78">
        <v>2.1469999999999998</v>
      </c>
      <c r="S170" s="78" t="e">
        <f ca="1">_xll.cfyql_SimpleQuoteSetValue(E170,R170/100,Trigger)</f>
        <v>#NAME?</v>
      </c>
      <c r="T170" s="129"/>
      <c r="V170" s="160"/>
    </row>
    <row r="171" spans="1:22" x14ac:dyDescent="0.2">
      <c r="A171" s="134"/>
      <c r="B171" s="45" t="str">
        <f t="shared" si="16"/>
        <v>5Y</v>
      </c>
      <c r="C171" s="45" t="str">
        <f t="shared" si="17"/>
        <v>10F</v>
      </c>
      <c r="D171" s="43" t="str">
        <f t="shared" si="18"/>
        <v>EUR10F5Y_Quote</v>
      </c>
      <c r="E171" s="43" t="e">
        <f ca="1">_xll.cfyql_SimpleQuote(D171,,RateTickValue,Permanent,Trigger,ObjectOverwrite)</f>
        <v>#NAME?</v>
      </c>
      <c r="F171" s="42" t="e">
        <f ca="1">_xll.ohRangeRetrieveError(E171)</f>
        <v>#NAME?</v>
      </c>
      <c r="G171" s="36"/>
      <c r="H171" s="161"/>
      <c r="I171" s="112"/>
      <c r="J171" s="137" t="s">
        <v>51</v>
      </c>
      <c r="K171" s="137" t="str">
        <f t="shared" si="21"/>
        <v>10F</v>
      </c>
      <c r="L171" s="139" t="str">
        <f t="shared" si="19"/>
        <v>EUR10F5Y</v>
      </c>
      <c r="M171" s="139" t="str">
        <v>EUR10F5Y=ICAP</v>
      </c>
      <c r="N171" s="78">
        <v>2.1549999999999998</v>
      </c>
      <c r="O171" s="111"/>
      <c r="P171" s="78">
        <v>2.1549999999999998</v>
      </c>
      <c r="Q171" s="111"/>
      <c r="R171" s="78">
        <v>2.1549999999999998</v>
      </c>
      <c r="S171" s="78" t="e">
        <f ca="1">_xll.cfyql_SimpleQuoteSetValue(E171,R171/100,Trigger)</f>
        <v>#NAME?</v>
      </c>
      <c r="T171" s="129"/>
      <c r="V171" s="160"/>
    </row>
    <row r="172" spans="1:22" x14ac:dyDescent="0.2">
      <c r="A172" s="134"/>
      <c r="B172" s="45" t="str">
        <f t="shared" si="16"/>
        <v>6Y</v>
      </c>
      <c r="C172" s="45" t="str">
        <f t="shared" si="17"/>
        <v>10F</v>
      </c>
      <c r="D172" s="43" t="str">
        <f t="shared" si="18"/>
        <v>EUR10F6Y_Quote</v>
      </c>
      <c r="E172" s="43" t="e">
        <f ca="1">_xll.cfyql_SimpleQuote(D172,,RateTickValue,Permanent,Trigger,ObjectOverwrite)</f>
        <v>#NAME?</v>
      </c>
      <c r="F172" s="42" t="e">
        <f ca="1">_xll.ohRangeRetrieveError(E172)</f>
        <v>#NAME?</v>
      </c>
      <c r="G172" s="36"/>
      <c r="H172" s="161"/>
      <c r="I172" s="112"/>
      <c r="J172" s="137" t="s">
        <v>50</v>
      </c>
      <c r="K172" s="137" t="str">
        <f t="shared" si="21"/>
        <v>10F</v>
      </c>
      <c r="L172" s="139" t="str">
        <f t="shared" si="19"/>
        <v>EUR10F6Y</v>
      </c>
      <c r="M172" s="139" t="str">
        <v>EUR10F6Y=ICAP</v>
      </c>
      <c r="N172" s="78">
        <v>2.1539999999999999</v>
      </c>
      <c r="O172" s="111"/>
      <c r="P172" s="78">
        <v>2.1539999999999999</v>
      </c>
      <c r="Q172" s="111"/>
      <c r="R172" s="78">
        <v>2.1539999999999999</v>
      </c>
      <c r="S172" s="78" t="e">
        <f ca="1">_xll.cfyql_SimpleQuoteSetValue(E172,R172/100,Trigger)</f>
        <v>#NAME?</v>
      </c>
      <c r="T172" s="129"/>
      <c r="V172" s="160"/>
    </row>
    <row r="173" spans="1:22" x14ac:dyDescent="0.2">
      <c r="A173" s="134"/>
      <c r="B173" s="45" t="str">
        <f t="shared" si="16"/>
        <v>7Y</v>
      </c>
      <c r="C173" s="45" t="str">
        <f t="shared" si="17"/>
        <v>10F</v>
      </c>
      <c r="D173" s="43" t="str">
        <f t="shared" si="18"/>
        <v>EUR10F7Y_Quote</v>
      </c>
      <c r="E173" s="43" t="e">
        <f ca="1">_xll.cfyql_SimpleQuote(D173,,RateTickValue,Permanent,Trigger,ObjectOverwrite)</f>
        <v>#NAME?</v>
      </c>
      <c r="F173" s="42" t="e">
        <f ca="1">_xll.ohRangeRetrieveError(E173)</f>
        <v>#NAME?</v>
      </c>
      <c r="G173" s="36"/>
      <c r="H173" s="161"/>
      <c r="I173" s="112"/>
      <c r="J173" s="137" t="s">
        <v>49</v>
      </c>
      <c r="K173" s="137" t="str">
        <f t="shared" si="21"/>
        <v>10F</v>
      </c>
      <c r="L173" s="139" t="str">
        <f t="shared" si="19"/>
        <v>EUR10F7Y</v>
      </c>
      <c r="M173" s="139" t="str">
        <v>EUR10F7Y=ICAP</v>
      </c>
      <c r="N173" s="78">
        <v>2.1520000000000001</v>
      </c>
      <c r="O173" s="111"/>
      <c r="P173" s="78">
        <v>2.1520000000000001</v>
      </c>
      <c r="Q173" s="111"/>
      <c r="R173" s="78">
        <v>2.1520000000000001</v>
      </c>
      <c r="S173" s="78" t="e">
        <f ca="1">_xll.cfyql_SimpleQuoteSetValue(E173,R173/100,Trigger)</f>
        <v>#NAME?</v>
      </c>
      <c r="T173" s="129"/>
      <c r="V173" s="160"/>
    </row>
    <row r="174" spans="1:22" x14ac:dyDescent="0.2">
      <c r="A174" s="134"/>
      <c r="B174" s="45" t="str">
        <f t="shared" si="16"/>
        <v>8Y</v>
      </c>
      <c r="C174" s="45" t="str">
        <f t="shared" si="17"/>
        <v>10F</v>
      </c>
      <c r="D174" s="43" t="str">
        <f t="shared" si="18"/>
        <v>EUR10F8Y_Quote</v>
      </c>
      <c r="E174" s="43" t="e">
        <f ca="1">_xll.cfyql_SimpleQuote(D174,,RateTickValue,Permanent,Trigger,ObjectOverwrite)</f>
        <v>#NAME?</v>
      </c>
      <c r="F174" s="42" t="e">
        <f ca="1">_xll.ohRangeRetrieveError(E174)</f>
        <v>#NAME?</v>
      </c>
      <c r="G174" s="36"/>
      <c r="H174" s="161"/>
      <c r="I174" s="112"/>
      <c r="J174" s="137" t="s">
        <v>48</v>
      </c>
      <c r="K174" s="137" t="str">
        <f t="shared" si="21"/>
        <v>10F</v>
      </c>
      <c r="L174" s="139" t="str">
        <f t="shared" si="19"/>
        <v>EUR10F8Y</v>
      </c>
      <c r="M174" s="139" t="str">
        <v>EUR10F8Y=ICAP</v>
      </c>
      <c r="N174" s="78">
        <v>2.14</v>
      </c>
      <c r="O174" s="111"/>
      <c r="P174" s="78">
        <v>2.14</v>
      </c>
      <c r="Q174" s="111"/>
      <c r="R174" s="78">
        <v>2.14</v>
      </c>
      <c r="S174" s="78" t="e">
        <f ca="1">_xll.cfyql_SimpleQuoteSetValue(E174,R174/100,Trigger)</f>
        <v>#NAME?</v>
      </c>
      <c r="T174" s="129"/>
      <c r="V174" s="160"/>
    </row>
    <row r="175" spans="1:22" x14ac:dyDescent="0.2">
      <c r="A175" s="134"/>
      <c r="B175" s="45" t="str">
        <f t="shared" si="16"/>
        <v>9Y</v>
      </c>
      <c r="C175" s="45" t="str">
        <f t="shared" si="17"/>
        <v>10F</v>
      </c>
      <c r="D175" s="43" t="str">
        <f t="shared" si="18"/>
        <v>EUR10F9Y_Quote</v>
      </c>
      <c r="E175" s="43" t="e">
        <f ca="1">_xll.cfyql_SimpleQuote(D175,,RateTickValue,Permanent,Trigger,ObjectOverwrite)</f>
        <v>#NAME?</v>
      </c>
      <c r="F175" s="42" t="e">
        <f ca="1">_xll.ohRangeRetrieveError(E175)</f>
        <v>#NAME?</v>
      </c>
      <c r="G175" s="36"/>
      <c r="H175" s="161"/>
      <c r="I175" s="112"/>
      <c r="J175" s="137" t="s">
        <v>47</v>
      </c>
      <c r="K175" s="137" t="str">
        <f t="shared" si="21"/>
        <v>10F</v>
      </c>
      <c r="L175" s="139" t="str">
        <f t="shared" si="19"/>
        <v>EUR10F9Y</v>
      </c>
      <c r="M175" s="139" t="str">
        <v>EUR10F9Y=ICAP</v>
      </c>
      <c r="N175" s="78">
        <v>2.1240000000000001</v>
      </c>
      <c r="O175" s="111"/>
      <c r="P175" s="78">
        <v>2.1240000000000001</v>
      </c>
      <c r="Q175" s="111"/>
      <c r="R175" s="78">
        <v>2.1240000000000001</v>
      </c>
      <c r="S175" s="78" t="e">
        <f ca="1">_xll.cfyql_SimpleQuoteSetValue(E175,R175/100,Trigger)</f>
        <v>#NAME?</v>
      </c>
      <c r="T175" s="129"/>
      <c r="V175" s="160"/>
    </row>
    <row r="176" spans="1:22" x14ac:dyDescent="0.2">
      <c r="A176" s="134"/>
      <c r="B176" s="45" t="str">
        <f t="shared" si="16"/>
        <v>10Y</v>
      </c>
      <c r="C176" s="45" t="str">
        <f t="shared" si="17"/>
        <v>10F</v>
      </c>
      <c r="D176" s="43" t="str">
        <f t="shared" si="18"/>
        <v>EUR10F10Y_Quote</v>
      </c>
      <c r="E176" s="43" t="e">
        <f ca="1">_xll.cfyql_SimpleQuote(D176,,RateTickValue,Permanent,Trigger,ObjectOverwrite)</f>
        <v>#NAME?</v>
      </c>
      <c r="F176" s="42" t="e">
        <f ca="1">_xll.ohRangeRetrieveError(E176)</f>
        <v>#NAME?</v>
      </c>
      <c r="G176" s="36"/>
      <c r="H176" s="161"/>
      <c r="I176" s="112"/>
      <c r="J176" s="137" t="s">
        <v>46</v>
      </c>
      <c r="K176" s="137" t="str">
        <f t="shared" si="21"/>
        <v>10F</v>
      </c>
      <c r="L176" s="139" t="str">
        <f t="shared" si="19"/>
        <v>EUR10F10Y</v>
      </c>
      <c r="M176" s="139" t="str">
        <v>EUR10F10Y=ICAP</v>
      </c>
      <c r="N176" s="78">
        <v>2.1030000000000002</v>
      </c>
      <c r="O176" s="111"/>
      <c r="P176" s="78">
        <v>2.1030000000000002</v>
      </c>
      <c r="Q176" s="111"/>
      <c r="R176" s="78">
        <v>2.1030000000000002</v>
      </c>
      <c r="S176" s="78" t="e">
        <f ca="1">_xll.cfyql_SimpleQuoteSetValue(E176,R176/100,Trigger)</f>
        <v>#NAME?</v>
      </c>
      <c r="T176" s="129"/>
      <c r="V176" s="160"/>
    </row>
    <row r="177" spans="1:22" x14ac:dyDescent="0.2">
      <c r="A177" s="134"/>
      <c r="B177" s="45" t="str">
        <f t="shared" si="16"/>
        <v>11Y</v>
      </c>
      <c r="C177" s="45" t="str">
        <f t="shared" si="17"/>
        <v>10F</v>
      </c>
      <c r="D177" s="43" t="str">
        <f t="shared" si="18"/>
        <v>EUR10F11Y_Quote</v>
      </c>
      <c r="E177" s="43" t="e">
        <f ca="1">_xll.cfyql_SimpleQuote(D177,,RateTickValue,Permanent,Trigger,ObjectOverwrite)</f>
        <v>#NAME?</v>
      </c>
      <c r="F177" s="42" t="e">
        <f ca="1">_xll.ohRangeRetrieveError(E177)</f>
        <v>#NAME?</v>
      </c>
      <c r="G177" s="36"/>
      <c r="H177" s="161"/>
      <c r="I177" s="112"/>
      <c r="J177" s="137" t="s">
        <v>45</v>
      </c>
      <c r="K177" s="137" t="str">
        <f t="shared" si="21"/>
        <v>10F</v>
      </c>
      <c r="L177" s="139" t="str">
        <f t="shared" si="19"/>
        <v>EUR10F11Y</v>
      </c>
      <c r="M177" s="139" t="str">
        <v>EUR10F11Y=ICAP</v>
      </c>
      <c r="N177" s="78">
        <v>2.0790000000000002</v>
      </c>
      <c r="O177" s="111"/>
      <c r="P177" s="78">
        <v>2.0790000000000002</v>
      </c>
      <c r="Q177" s="111"/>
      <c r="R177" s="78">
        <v>2.0790000000000002</v>
      </c>
      <c r="S177" s="78" t="e">
        <f ca="1">_xll.cfyql_SimpleQuoteSetValue(E177,R177/100,Trigger)</f>
        <v>#NAME?</v>
      </c>
      <c r="T177" s="129"/>
      <c r="V177" s="160"/>
    </row>
    <row r="178" spans="1:22" x14ac:dyDescent="0.2">
      <c r="A178" s="134"/>
      <c r="B178" s="45" t="str">
        <f t="shared" si="16"/>
        <v>12Y</v>
      </c>
      <c r="C178" s="45" t="str">
        <f t="shared" si="17"/>
        <v>10F</v>
      </c>
      <c r="D178" s="43" t="str">
        <f t="shared" si="18"/>
        <v>EUR10F12Y_Quote</v>
      </c>
      <c r="E178" s="43" t="e">
        <f ca="1">_xll.cfyql_SimpleQuote(D178,,RateTickValue,Permanent,Trigger,ObjectOverwrite)</f>
        <v>#NAME?</v>
      </c>
      <c r="F178" s="42" t="e">
        <f ca="1">_xll.ohRangeRetrieveError(E178)</f>
        <v>#NAME?</v>
      </c>
      <c r="G178" s="36"/>
      <c r="H178" s="161"/>
      <c r="I178" s="112"/>
      <c r="J178" s="137" t="s">
        <v>44</v>
      </c>
      <c r="K178" s="137" t="str">
        <f t="shared" si="21"/>
        <v>10F</v>
      </c>
      <c r="L178" s="139" t="str">
        <f t="shared" si="19"/>
        <v>EUR10F12Y</v>
      </c>
      <c r="M178" s="139" t="str">
        <v>EUR10F12Y=ICAP</v>
      </c>
      <c r="N178" s="78">
        <v>2.056</v>
      </c>
      <c r="O178" s="111"/>
      <c r="P178" s="78">
        <v>2.056</v>
      </c>
      <c r="Q178" s="111"/>
      <c r="R178" s="78">
        <v>2.056</v>
      </c>
      <c r="S178" s="78" t="e">
        <f ca="1">_xll.cfyql_SimpleQuoteSetValue(E178,R178/100,Trigger)</f>
        <v>#NAME?</v>
      </c>
      <c r="T178" s="129"/>
      <c r="V178" s="160"/>
    </row>
    <row r="179" spans="1:22" x14ac:dyDescent="0.2">
      <c r="A179" s="134"/>
      <c r="B179" s="45" t="str">
        <f t="shared" si="16"/>
        <v>13Y</v>
      </c>
      <c r="C179" s="45" t="str">
        <f t="shared" si="17"/>
        <v>10F</v>
      </c>
      <c r="D179" s="43" t="str">
        <f t="shared" si="18"/>
        <v>EUR10F13Y_Quote</v>
      </c>
      <c r="E179" s="43" t="e">
        <f ca="1">_xll.cfyql_SimpleQuote(D179,,RateTickValue,Permanent,Trigger,ObjectOverwrite)</f>
        <v>#NAME?</v>
      </c>
      <c r="F179" s="42" t="e">
        <f ca="1">_xll.ohRangeRetrieveError(E179)</f>
        <v>#NAME?</v>
      </c>
      <c r="G179" s="36"/>
      <c r="H179" s="161"/>
      <c r="I179" s="112"/>
      <c r="J179" s="137" t="s">
        <v>43</v>
      </c>
      <c r="K179" s="137" t="str">
        <f t="shared" si="21"/>
        <v>10F</v>
      </c>
      <c r="L179" s="139" t="str">
        <f t="shared" si="19"/>
        <v>EUR10F13Y</v>
      </c>
      <c r="M179" s="139" t="str">
        <v>EUR10F13Y=ICAP</v>
      </c>
      <c r="N179" s="78">
        <v>2.028</v>
      </c>
      <c r="O179" s="111"/>
      <c r="P179" s="78">
        <v>2.028</v>
      </c>
      <c r="Q179" s="111"/>
      <c r="R179" s="78">
        <v>2.028</v>
      </c>
      <c r="S179" s="78" t="e">
        <f ca="1">_xll.cfyql_SimpleQuoteSetValue(E179,R179/100,Trigger)</f>
        <v>#NAME?</v>
      </c>
      <c r="T179" s="129"/>
      <c r="V179" s="160"/>
    </row>
    <row r="180" spans="1:22" x14ac:dyDescent="0.2">
      <c r="A180" s="134"/>
      <c r="B180" s="45" t="str">
        <f t="shared" si="16"/>
        <v>14Y</v>
      </c>
      <c r="C180" s="45" t="str">
        <f t="shared" si="17"/>
        <v>10F</v>
      </c>
      <c r="D180" s="43" t="str">
        <f t="shared" si="18"/>
        <v>EUR10F14Y_Quote</v>
      </c>
      <c r="E180" s="43" t="e">
        <f ca="1">_xll.cfyql_SimpleQuote(D180,,RateTickValue,Permanent,Trigger,ObjectOverwrite)</f>
        <v>#NAME?</v>
      </c>
      <c r="F180" s="42" t="e">
        <f ca="1">_xll.ohRangeRetrieveError(E180)</f>
        <v>#NAME?</v>
      </c>
      <c r="G180" s="36"/>
      <c r="H180" s="161"/>
      <c r="I180" s="112"/>
      <c r="J180" s="137" t="s">
        <v>42</v>
      </c>
      <c r="K180" s="137" t="str">
        <f t="shared" si="21"/>
        <v>10F</v>
      </c>
      <c r="L180" s="139" t="str">
        <f t="shared" si="19"/>
        <v>EUR10F14Y</v>
      </c>
      <c r="M180" s="139" t="str">
        <v>EUR10F14Y=ICAP</v>
      </c>
      <c r="N180" s="78">
        <v>2.0030000000000001</v>
      </c>
      <c r="O180" s="111"/>
      <c r="P180" s="78">
        <v>2.0030000000000001</v>
      </c>
      <c r="Q180" s="111"/>
      <c r="R180" s="78">
        <v>2.0030000000000001</v>
      </c>
      <c r="S180" s="78" t="e">
        <f ca="1">_xll.cfyql_SimpleQuoteSetValue(E180,R180/100,Trigger)</f>
        <v>#NAME?</v>
      </c>
      <c r="T180" s="129"/>
      <c r="V180" s="160"/>
    </row>
    <row r="181" spans="1:22" x14ac:dyDescent="0.2">
      <c r="A181" s="134"/>
      <c r="B181" s="45" t="str">
        <f t="shared" si="16"/>
        <v>15Y</v>
      </c>
      <c r="C181" s="45" t="str">
        <f t="shared" si="17"/>
        <v>10F</v>
      </c>
      <c r="D181" s="43" t="str">
        <f t="shared" si="18"/>
        <v>EUR10F15Y_Quote</v>
      </c>
      <c r="E181" s="43" t="e">
        <f ca="1">_xll.cfyql_SimpleQuote(D181,,RateTickValue,Permanent,Trigger,ObjectOverwrite)</f>
        <v>#NAME?</v>
      </c>
      <c r="F181" s="42" t="e">
        <f ca="1">_xll.ohRangeRetrieveError(E181)</f>
        <v>#NAME?</v>
      </c>
      <c r="G181" s="36"/>
      <c r="H181" s="161"/>
      <c r="I181" s="112"/>
      <c r="J181" s="137" t="s">
        <v>41</v>
      </c>
      <c r="K181" s="137" t="str">
        <f t="shared" si="21"/>
        <v>10F</v>
      </c>
      <c r="L181" s="139" t="str">
        <f t="shared" si="19"/>
        <v>EUR10F15Y</v>
      </c>
      <c r="M181" s="139" t="str">
        <v>EUR10F15Y=ICAP</v>
      </c>
      <c r="N181" s="78">
        <v>1.978</v>
      </c>
      <c r="O181" s="111"/>
      <c r="P181" s="78">
        <v>1.978</v>
      </c>
      <c r="Q181" s="111"/>
      <c r="R181" s="78">
        <v>1.978</v>
      </c>
      <c r="S181" s="78" t="e">
        <f ca="1">_xll.cfyql_SimpleQuoteSetValue(E181,R181/100,Trigger)</f>
        <v>#NAME?</v>
      </c>
      <c r="T181" s="129"/>
      <c r="V181" s="160"/>
    </row>
    <row r="182" spans="1:22" x14ac:dyDescent="0.2">
      <c r="A182" s="134"/>
      <c r="B182" s="45" t="str">
        <f t="shared" si="16"/>
        <v>20Y</v>
      </c>
      <c r="C182" s="45" t="str">
        <f t="shared" si="17"/>
        <v>10F</v>
      </c>
      <c r="D182" s="43" t="str">
        <f t="shared" si="18"/>
        <v>EUR10F20Y_Quote</v>
      </c>
      <c r="E182" s="43" t="e">
        <f ca="1">_xll.cfyql_SimpleQuote(D182,,RateTickValue,Permanent,Trigger,ObjectOverwrite)</f>
        <v>#NAME?</v>
      </c>
      <c r="F182" s="42" t="e">
        <f ca="1">_xll.ohRangeRetrieveError(E182)</f>
        <v>#NAME?</v>
      </c>
      <c r="G182" s="36"/>
      <c r="H182" s="161"/>
      <c r="I182" s="112"/>
      <c r="J182" s="137" t="s">
        <v>36</v>
      </c>
      <c r="K182" s="137" t="str">
        <f t="shared" si="21"/>
        <v>10F</v>
      </c>
      <c r="L182" s="139" t="str">
        <f t="shared" si="19"/>
        <v>EUR10F20Y</v>
      </c>
      <c r="M182" s="139" t="str">
        <v>EUR10F20Y=ICAP</v>
      </c>
      <c r="N182" s="78">
        <v>1.885</v>
      </c>
      <c r="O182" s="111"/>
      <c r="P182" s="78">
        <v>1.885</v>
      </c>
      <c r="Q182" s="111"/>
      <c r="R182" s="78">
        <v>1.885</v>
      </c>
      <c r="S182" s="78" t="e">
        <f ca="1">_xll.cfyql_SimpleQuoteSetValue(E182,R182/100,Trigger)</f>
        <v>#NAME?</v>
      </c>
      <c r="T182" s="129"/>
      <c r="V182" s="160"/>
    </row>
    <row r="183" spans="1:22" x14ac:dyDescent="0.2">
      <c r="A183" s="134"/>
      <c r="B183" s="45" t="str">
        <f t="shared" si="16"/>
        <v>25Y</v>
      </c>
      <c r="C183" s="45" t="str">
        <f t="shared" si="17"/>
        <v>10F</v>
      </c>
      <c r="D183" s="43" t="str">
        <f t="shared" si="18"/>
        <v>EUR10F25Y_Quote</v>
      </c>
      <c r="E183" s="43" t="e">
        <f ca="1">_xll.cfyql_SimpleQuote(D183,,RateTickValue,Permanent,Trigger,ObjectOverwrite)</f>
        <v>#NAME?</v>
      </c>
      <c r="F183" s="42" t="e">
        <f ca="1">_xll.ohRangeRetrieveError(E183)</f>
        <v>#NAME?</v>
      </c>
      <c r="G183" s="36"/>
      <c r="H183" s="161"/>
      <c r="I183" s="112"/>
      <c r="J183" s="137" t="s">
        <v>31</v>
      </c>
      <c r="K183" s="137" t="str">
        <f t="shared" si="21"/>
        <v>10F</v>
      </c>
      <c r="L183" s="139" t="str">
        <f t="shared" si="19"/>
        <v>EUR10F25Y</v>
      </c>
      <c r="M183" s="139" t="str">
        <v>EUR10F25Y=ICAP</v>
      </c>
      <c r="N183" s="78">
        <v>1.833</v>
      </c>
      <c r="O183" s="111"/>
      <c r="P183" s="78">
        <v>1.833</v>
      </c>
      <c r="Q183" s="111"/>
      <c r="R183" s="78">
        <v>1.833</v>
      </c>
      <c r="S183" s="78" t="e">
        <f ca="1">_xll.cfyql_SimpleQuoteSetValue(E183,R183/100,Trigger)</f>
        <v>#NAME?</v>
      </c>
      <c r="T183" s="129"/>
      <c r="V183" s="160"/>
    </row>
    <row r="184" spans="1:22" x14ac:dyDescent="0.2">
      <c r="A184" s="134"/>
      <c r="B184" s="45" t="str">
        <f t="shared" si="16"/>
        <v>30Y</v>
      </c>
      <c r="C184" s="45" t="str">
        <f t="shared" si="17"/>
        <v>10F</v>
      </c>
      <c r="D184" s="43" t="str">
        <f t="shared" si="18"/>
        <v>EUR10F30Y_Quote</v>
      </c>
      <c r="E184" s="43" t="e">
        <f ca="1">_xll.cfyql_SimpleQuote(D184,,RateTickValue,Permanent,Trigger,ObjectOverwrite)</f>
        <v>#NAME?</v>
      </c>
      <c r="F184" s="42" t="e">
        <f ca="1">_xll.ohRangeRetrieveError(E184)</f>
        <v>#NAME?</v>
      </c>
      <c r="G184" s="36"/>
      <c r="H184" s="161"/>
      <c r="I184" s="112"/>
      <c r="J184" s="130" t="s">
        <v>26</v>
      </c>
      <c r="K184" s="130" t="str">
        <f t="shared" si="21"/>
        <v>10F</v>
      </c>
      <c r="L184" s="132" t="str">
        <f t="shared" si="19"/>
        <v>EUR10F30Y</v>
      </c>
      <c r="M184" s="132" t="str">
        <v>EUR10F30Y=ICAP</v>
      </c>
      <c r="N184" s="65">
        <v>1.788</v>
      </c>
      <c r="O184" s="111"/>
      <c r="P184" s="65">
        <v>1.788</v>
      </c>
      <c r="Q184" s="111"/>
      <c r="R184" s="65">
        <v>1.788</v>
      </c>
      <c r="S184" s="65" t="e">
        <f ca="1">_xll.cfyql_SimpleQuoteSetValue(E184,R184/100,Trigger)</f>
        <v>#NAME?</v>
      </c>
      <c r="T184" s="129"/>
      <c r="V184" s="160"/>
    </row>
    <row r="185" spans="1:22" x14ac:dyDescent="0.2">
      <c r="A185" s="134"/>
      <c r="B185" s="45" t="str">
        <f t="shared" si="16"/>
        <v>1Y</v>
      </c>
      <c r="C185" s="45" t="str">
        <f t="shared" si="17"/>
        <v>11F</v>
      </c>
      <c r="D185" s="43" t="str">
        <f t="shared" si="18"/>
        <v>EUR11F1Y_Quote</v>
      </c>
      <c r="E185" s="43" t="e">
        <f ca="1">_xll.cfyql_SimpleQuote(D185,,RateTickValue,Permanent,Trigger,ObjectOverwrite)</f>
        <v>#NAME?</v>
      </c>
      <c r="F185" s="42" t="e">
        <f ca="1">_xll.ohRangeRetrieveError(E185)</f>
        <v>#NAME?</v>
      </c>
      <c r="G185" s="36"/>
      <c r="H185" s="161"/>
      <c r="I185" s="134">
        <v>11</v>
      </c>
      <c r="J185" s="163" t="s">
        <v>58</v>
      </c>
      <c r="K185" s="163" t="str">
        <f t="shared" ref="K185:K202" si="22">$I$185&amp;"F"</f>
        <v>11F</v>
      </c>
      <c r="L185" s="162" t="str">
        <f t="shared" si="19"/>
        <v>EUR11F1Y</v>
      </c>
      <c r="M185" s="162" t="str">
        <v>EUR11F1Y=ICAP</v>
      </c>
      <c r="N185" s="89">
        <v>2.1429999999999998</v>
      </c>
      <c r="O185" s="111"/>
      <c r="P185" s="89">
        <v>2.1429999999999998</v>
      </c>
      <c r="Q185" s="111"/>
      <c r="R185" s="89">
        <v>2.1429999999999998</v>
      </c>
      <c r="S185" s="89" t="e">
        <f ca="1">_xll.cfyql_SimpleQuoteSetValue(E185,R185/100,Trigger)</f>
        <v>#NAME?</v>
      </c>
      <c r="T185" s="129"/>
      <c r="V185" s="160"/>
    </row>
    <row r="186" spans="1:22" x14ac:dyDescent="0.2">
      <c r="A186" s="134"/>
      <c r="B186" s="45" t="str">
        <f t="shared" si="16"/>
        <v>2Y</v>
      </c>
      <c r="C186" s="45" t="str">
        <f t="shared" si="17"/>
        <v>11F</v>
      </c>
      <c r="D186" s="43" t="str">
        <f t="shared" si="18"/>
        <v>EUR11F2Y_Quote</v>
      </c>
      <c r="E186" s="43" t="e">
        <f ca="1">_xll.cfyql_SimpleQuote(D186,,RateTickValue,Permanent,Trigger,ObjectOverwrite)</f>
        <v>#NAME?</v>
      </c>
      <c r="F186" s="42" t="e">
        <f ca="1">_xll.ohRangeRetrieveError(E186)</f>
        <v>#NAME?</v>
      </c>
      <c r="G186" s="36"/>
      <c r="H186" s="161"/>
      <c r="I186" s="112"/>
      <c r="J186" s="137" t="s">
        <v>54</v>
      </c>
      <c r="K186" s="137" t="str">
        <f t="shared" si="22"/>
        <v>11F</v>
      </c>
      <c r="L186" s="139" t="str">
        <f t="shared" si="19"/>
        <v>EUR11F2Y</v>
      </c>
      <c r="M186" s="139" t="str">
        <v>EUR11F2Y=ICAP</v>
      </c>
      <c r="N186" s="78">
        <v>2.165</v>
      </c>
      <c r="O186" s="111"/>
      <c r="P186" s="78">
        <v>2.165</v>
      </c>
      <c r="Q186" s="111"/>
      <c r="R186" s="78">
        <v>2.165</v>
      </c>
      <c r="S186" s="78" t="e">
        <f ca="1">_xll.cfyql_SimpleQuoteSetValue(E186,R186/100,Trigger)</f>
        <v>#NAME?</v>
      </c>
      <c r="T186" s="129"/>
      <c r="V186" s="160"/>
    </row>
    <row r="187" spans="1:22" x14ac:dyDescent="0.2">
      <c r="A187" s="134"/>
      <c r="B187" s="45" t="str">
        <f t="shared" si="16"/>
        <v>3Y</v>
      </c>
      <c r="C187" s="45" t="str">
        <f t="shared" si="17"/>
        <v>11F</v>
      </c>
      <c r="D187" s="43" t="str">
        <f t="shared" si="18"/>
        <v>EUR11F3Y_Quote</v>
      </c>
      <c r="E187" s="43" t="e">
        <f ca="1">_xll.cfyql_SimpleQuote(D187,,RateTickValue,Permanent,Trigger,ObjectOverwrite)</f>
        <v>#NAME?</v>
      </c>
      <c r="F187" s="42" t="e">
        <f ca="1">_xll.ohRangeRetrieveError(E187)</f>
        <v>#NAME?</v>
      </c>
      <c r="G187" s="36"/>
      <c r="H187" s="161"/>
      <c r="I187" s="112"/>
      <c r="J187" s="137" t="s">
        <v>53</v>
      </c>
      <c r="K187" s="137" t="str">
        <f t="shared" si="22"/>
        <v>11F</v>
      </c>
      <c r="L187" s="139" t="str">
        <f t="shared" si="19"/>
        <v>EUR11F3Y</v>
      </c>
      <c r="M187" s="139" t="str">
        <v>EUR11F3Y=ICAP</v>
      </c>
      <c r="N187" s="78">
        <v>2.1739999999999999</v>
      </c>
      <c r="O187" s="111"/>
      <c r="P187" s="78">
        <v>2.1739999999999999</v>
      </c>
      <c r="Q187" s="111"/>
      <c r="R187" s="78">
        <v>2.1739999999999999</v>
      </c>
      <c r="S187" s="78" t="e">
        <f ca="1">_xll.cfyql_SimpleQuoteSetValue(E187,R187/100,Trigger)</f>
        <v>#NAME?</v>
      </c>
      <c r="T187" s="129"/>
      <c r="V187" s="160"/>
    </row>
    <row r="188" spans="1:22" x14ac:dyDescent="0.2">
      <c r="A188" s="134"/>
      <c r="B188" s="45" t="str">
        <f t="shared" si="16"/>
        <v>4Y</v>
      </c>
      <c r="C188" s="45" t="str">
        <f t="shared" si="17"/>
        <v>11F</v>
      </c>
      <c r="D188" s="43" t="str">
        <f t="shared" si="18"/>
        <v>EUR11F4Y_Quote</v>
      </c>
      <c r="E188" s="43" t="e">
        <f ca="1">_xll.cfyql_SimpleQuote(D188,,RateTickValue,Permanent,Trigger,ObjectOverwrite)</f>
        <v>#NAME?</v>
      </c>
      <c r="F188" s="42" t="e">
        <f ca="1">_xll.ohRangeRetrieveError(E188)</f>
        <v>#NAME?</v>
      </c>
      <c r="G188" s="36"/>
      <c r="H188" s="161"/>
      <c r="I188" s="112"/>
      <c r="J188" s="137" t="s">
        <v>52</v>
      </c>
      <c r="K188" s="137" t="str">
        <f t="shared" si="22"/>
        <v>11F</v>
      </c>
      <c r="L188" s="139" t="str">
        <f t="shared" si="19"/>
        <v>EUR11F4Y</v>
      </c>
      <c r="M188" s="139" t="str">
        <v>EUR11F4Y=ICAP</v>
      </c>
      <c r="N188" s="78">
        <v>2.1779999999999999</v>
      </c>
      <c r="O188" s="111"/>
      <c r="P188" s="78">
        <v>2.1779999999999999</v>
      </c>
      <c r="Q188" s="111"/>
      <c r="R188" s="78">
        <v>2.1779999999999999</v>
      </c>
      <c r="S188" s="78" t="e">
        <f ca="1">_xll.cfyql_SimpleQuoteSetValue(E188,R188/100,Trigger)</f>
        <v>#NAME?</v>
      </c>
      <c r="T188" s="129"/>
      <c r="V188" s="160"/>
    </row>
    <row r="189" spans="1:22" x14ac:dyDescent="0.2">
      <c r="A189" s="134"/>
      <c r="B189" s="45" t="str">
        <f t="shared" si="16"/>
        <v>5Y</v>
      </c>
      <c r="C189" s="45" t="str">
        <f t="shared" si="17"/>
        <v>11F</v>
      </c>
      <c r="D189" s="43" t="str">
        <f t="shared" si="18"/>
        <v>EUR11F5Y_Quote</v>
      </c>
      <c r="E189" s="43" t="e">
        <f ca="1">_xll.cfyql_SimpleQuote(D189,,RateTickValue,Permanent,Trigger,ObjectOverwrite)</f>
        <v>#NAME?</v>
      </c>
      <c r="F189" s="42" t="e">
        <f ca="1">_xll.ohRangeRetrieveError(E189)</f>
        <v>#NAME?</v>
      </c>
      <c r="G189" s="36"/>
      <c r="H189" s="161"/>
      <c r="I189" s="112"/>
      <c r="J189" s="137" t="s">
        <v>51</v>
      </c>
      <c r="K189" s="137" t="str">
        <f t="shared" si="22"/>
        <v>11F</v>
      </c>
      <c r="L189" s="139" t="str">
        <f t="shared" si="19"/>
        <v>EUR11F5Y</v>
      </c>
      <c r="M189" s="139" t="str">
        <v>EUR11F5Y=ICAP</v>
      </c>
      <c r="N189" s="78">
        <v>2.1720000000000002</v>
      </c>
      <c r="O189" s="111"/>
      <c r="P189" s="78">
        <v>2.1720000000000002</v>
      </c>
      <c r="Q189" s="111"/>
      <c r="R189" s="78">
        <v>2.1720000000000002</v>
      </c>
      <c r="S189" s="78" t="e">
        <f ca="1">_xll.cfyql_SimpleQuoteSetValue(E189,R189/100,Trigger)</f>
        <v>#NAME?</v>
      </c>
      <c r="T189" s="129"/>
      <c r="V189" s="160"/>
    </row>
    <row r="190" spans="1:22" x14ac:dyDescent="0.2">
      <c r="A190" s="134"/>
      <c r="B190" s="45" t="str">
        <f t="shared" si="16"/>
        <v>6Y</v>
      </c>
      <c r="C190" s="45" t="str">
        <f t="shared" si="17"/>
        <v>11F</v>
      </c>
      <c r="D190" s="43" t="str">
        <f t="shared" si="18"/>
        <v>EUR11F6Y_Quote</v>
      </c>
      <c r="E190" s="43" t="e">
        <f ca="1">_xll.cfyql_SimpleQuote(D190,,RateTickValue,Permanent,Trigger,ObjectOverwrite)</f>
        <v>#NAME?</v>
      </c>
      <c r="F190" s="42" t="e">
        <f ca="1">_xll.ohRangeRetrieveError(E190)</f>
        <v>#NAME?</v>
      </c>
      <c r="G190" s="36"/>
      <c r="H190" s="161"/>
      <c r="I190" s="112"/>
      <c r="J190" s="137" t="s">
        <v>50</v>
      </c>
      <c r="K190" s="137" t="str">
        <f t="shared" si="22"/>
        <v>11F</v>
      </c>
      <c r="L190" s="139" t="str">
        <f t="shared" si="19"/>
        <v>EUR11F6Y</v>
      </c>
      <c r="M190" s="139" t="str">
        <v>EUR11F6Y=ICAP</v>
      </c>
      <c r="N190" s="78">
        <v>2.1669999999999998</v>
      </c>
      <c r="O190" s="111"/>
      <c r="P190" s="78">
        <v>2.1669999999999998</v>
      </c>
      <c r="Q190" s="111"/>
      <c r="R190" s="78">
        <v>2.1669999999999998</v>
      </c>
      <c r="S190" s="78" t="e">
        <f ca="1">_xll.cfyql_SimpleQuoteSetValue(E190,R190/100,Trigger)</f>
        <v>#NAME?</v>
      </c>
      <c r="T190" s="129"/>
      <c r="V190" s="160"/>
    </row>
    <row r="191" spans="1:22" x14ac:dyDescent="0.2">
      <c r="A191" s="134"/>
      <c r="B191" s="45" t="str">
        <f t="shared" si="16"/>
        <v>7Y</v>
      </c>
      <c r="C191" s="45" t="str">
        <f t="shared" si="17"/>
        <v>11F</v>
      </c>
      <c r="D191" s="43" t="str">
        <f t="shared" si="18"/>
        <v>EUR11F7Y_Quote</v>
      </c>
      <c r="E191" s="43" t="e">
        <f ca="1">_xll.cfyql_SimpleQuote(D191,,RateTickValue,Permanent,Trigger,ObjectOverwrite)</f>
        <v>#NAME?</v>
      </c>
      <c r="F191" s="42" t="e">
        <f ca="1">_xll.ohRangeRetrieveError(E191)</f>
        <v>#NAME?</v>
      </c>
      <c r="G191" s="36"/>
      <c r="H191" s="161"/>
      <c r="I191" s="112"/>
      <c r="J191" s="137" t="s">
        <v>49</v>
      </c>
      <c r="K191" s="137" t="str">
        <f t="shared" si="22"/>
        <v>11F</v>
      </c>
      <c r="L191" s="139" t="str">
        <f t="shared" si="19"/>
        <v>EUR11F7Y</v>
      </c>
      <c r="M191" s="139" t="str">
        <v>EUR11F7Y=ICAP</v>
      </c>
      <c r="N191" s="78">
        <v>2.1509999999999998</v>
      </c>
      <c r="O191" s="111"/>
      <c r="P191" s="78">
        <v>2.1509999999999998</v>
      </c>
      <c r="Q191" s="111"/>
      <c r="R191" s="78">
        <v>2.1509999999999998</v>
      </c>
      <c r="S191" s="78" t="e">
        <f ca="1">_xll.cfyql_SimpleQuoteSetValue(E191,R191/100,Trigger)</f>
        <v>#NAME?</v>
      </c>
      <c r="T191" s="129"/>
      <c r="V191" s="160"/>
    </row>
    <row r="192" spans="1:22" x14ac:dyDescent="0.2">
      <c r="A192" s="134"/>
      <c r="B192" s="45" t="str">
        <f t="shared" si="16"/>
        <v>8Y</v>
      </c>
      <c r="C192" s="45" t="str">
        <f t="shared" si="17"/>
        <v>11F</v>
      </c>
      <c r="D192" s="43" t="str">
        <f t="shared" si="18"/>
        <v>EUR11F8Y_Quote</v>
      </c>
      <c r="E192" s="43" t="e">
        <f ca="1">_xll.cfyql_SimpleQuote(D192,,RateTickValue,Permanent,Trigger,ObjectOverwrite)</f>
        <v>#NAME?</v>
      </c>
      <c r="F192" s="42" t="e">
        <f ca="1">_xll.ohRangeRetrieveError(E192)</f>
        <v>#NAME?</v>
      </c>
      <c r="G192" s="36"/>
      <c r="H192" s="161"/>
      <c r="I192" s="112"/>
      <c r="J192" s="137" t="s">
        <v>48</v>
      </c>
      <c r="K192" s="137" t="str">
        <f t="shared" si="22"/>
        <v>11F</v>
      </c>
      <c r="L192" s="139" t="str">
        <f t="shared" si="19"/>
        <v>EUR11F8Y</v>
      </c>
      <c r="M192" s="139" t="str">
        <v>EUR11F8Y=ICAP</v>
      </c>
      <c r="N192" s="78">
        <v>2.1310000000000002</v>
      </c>
      <c r="O192" s="111"/>
      <c r="P192" s="78">
        <v>2.1310000000000002</v>
      </c>
      <c r="Q192" s="111"/>
      <c r="R192" s="78">
        <v>2.1310000000000002</v>
      </c>
      <c r="S192" s="78" t="e">
        <f ca="1">_xll.cfyql_SimpleQuoteSetValue(E192,R192/100,Trigger)</f>
        <v>#NAME?</v>
      </c>
      <c r="T192" s="129"/>
      <c r="V192" s="160"/>
    </row>
    <row r="193" spans="1:22" x14ac:dyDescent="0.2">
      <c r="A193" s="134"/>
      <c r="B193" s="45" t="str">
        <f t="shared" si="16"/>
        <v>9Y</v>
      </c>
      <c r="C193" s="45" t="str">
        <f t="shared" si="17"/>
        <v>11F</v>
      </c>
      <c r="D193" s="43" t="str">
        <f t="shared" si="18"/>
        <v>EUR11F9Y_Quote</v>
      </c>
      <c r="E193" s="43" t="e">
        <f ca="1">_xll.cfyql_SimpleQuote(D193,,RateTickValue,Permanent,Trigger,ObjectOverwrite)</f>
        <v>#NAME?</v>
      </c>
      <c r="F193" s="42" t="e">
        <f ca="1">_xll.ohRangeRetrieveError(E193)</f>
        <v>#NAME?</v>
      </c>
      <c r="G193" s="36"/>
      <c r="H193" s="161"/>
      <c r="I193" s="112"/>
      <c r="J193" s="137" t="s">
        <v>47</v>
      </c>
      <c r="K193" s="137" t="str">
        <f t="shared" si="22"/>
        <v>11F</v>
      </c>
      <c r="L193" s="139" t="str">
        <f t="shared" si="19"/>
        <v>EUR11F9Y</v>
      </c>
      <c r="M193" s="139" t="str">
        <v>EUR11F9Y=ICAP</v>
      </c>
      <c r="N193" s="78">
        <v>2.1070000000000002</v>
      </c>
      <c r="O193" s="111"/>
      <c r="P193" s="78">
        <v>2.1070000000000002</v>
      </c>
      <c r="Q193" s="111"/>
      <c r="R193" s="78">
        <v>2.1070000000000002</v>
      </c>
      <c r="S193" s="78" t="e">
        <f ca="1">_xll.cfyql_SimpleQuoteSetValue(E193,R193/100,Trigger)</f>
        <v>#NAME?</v>
      </c>
      <c r="T193" s="129"/>
      <c r="V193" s="160"/>
    </row>
    <row r="194" spans="1:22" x14ac:dyDescent="0.2">
      <c r="A194" s="134"/>
      <c r="B194" s="45" t="str">
        <f t="shared" si="16"/>
        <v>10Y</v>
      </c>
      <c r="C194" s="45" t="str">
        <f t="shared" si="17"/>
        <v>11F</v>
      </c>
      <c r="D194" s="43" t="str">
        <f t="shared" si="18"/>
        <v>EUR11F10Y_Quote</v>
      </c>
      <c r="E194" s="43" t="e">
        <f ca="1">_xll.cfyql_SimpleQuote(D194,,RateTickValue,Permanent,Trigger,ObjectOverwrite)</f>
        <v>#NAME?</v>
      </c>
      <c r="F194" s="42" t="e">
        <f ca="1">_xll.ohRangeRetrieveError(E194)</f>
        <v>#NAME?</v>
      </c>
      <c r="G194" s="36"/>
      <c r="H194" s="161"/>
      <c r="I194" s="112"/>
      <c r="J194" s="137" t="s">
        <v>46</v>
      </c>
      <c r="K194" s="137" t="str">
        <f t="shared" si="22"/>
        <v>11F</v>
      </c>
      <c r="L194" s="139" t="str">
        <f t="shared" si="19"/>
        <v>EUR11F10Y</v>
      </c>
      <c r="M194" s="139" t="str">
        <v>EUR11F10Y=ICAP</v>
      </c>
      <c r="N194" s="78">
        <v>2.081</v>
      </c>
      <c r="O194" s="111"/>
      <c r="P194" s="78">
        <v>2.081</v>
      </c>
      <c r="Q194" s="111"/>
      <c r="R194" s="78">
        <v>2.081</v>
      </c>
      <c r="S194" s="78" t="e">
        <f ca="1">_xll.cfyql_SimpleQuoteSetValue(E194,R194/100,Trigger)</f>
        <v>#NAME?</v>
      </c>
      <c r="T194" s="129"/>
      <c r="V194" s="160"/>
    </row>
    <row r="195" spans="1:22" x14ac:dyDescent="0.2">
      <c r="A195" s="134"/>
      <c r="B195" s="45" t="str">
        <f t="shared" si="16"/>
        <v>11Y</v>
      </c>
      <c r="C195" s="45" t="str">
        <f t="shared" si="17"/>
        <v>11F</v>
      </c>
      <c r="D195" s="43" t="str">
        <f t="shared" si="18"/>
        <v>EUR11F11Y_Quote</v>
      </c>
      <c r="E195" s="43" t="e">
        <f ca="1">_xll.cfyql_SimpleQuote(D195,,RateTickValue,Permanent,Trigger,ObjectOverwrite)</f>
        <v>#NAME?</v>
      </c>
      <c r="F195" s="42" t="e">
        <f ca="1">_xll.ohRangeRetrieveError(E195)</f>
        <v>#NAME?</v>
      </c>
      <c r="G195" s="36"/>
      <c r="H195" s="161"/>
      <c r="I195" s="112"/>
      <c r="J195" s="137" t="s">
        <v>45</v>
      </c>
      <c r="K195" s="137" t="str">
        <f t="shared" si="22"/>
        <v>11F</v>
      </c>
      <c r="L195" s="139" t="str">
        <f t="shared" si="19"/>
        <v>EUR11F11Y</v>
      </c>
      <c r="M195" s="139" t="str">
        <v>EUR11F11Y=ICAP</v>
      </c>
      <c r="N195" s="78">
        <v>2.0550000000000002</v>
      </c>
      <c r="O195" s="111"/>
      <c r="P195" s="78">
        <v>2.0550000000000002</v>
      </c>
      <c r="Q195" s="111"/>
      <c r="R195" s="78">
        <v>2.0550000000000002</v>
      </c>
      <c r="S195" s="78" t="e">
        <f ca="1">_xll.cfyql_SimpleQuoteSetValue(E195,R195/100,Trigger)</f>
        <v>#NAME?</v>
      </c>
      <c r="T195" s="129"/>
      <c r="V195" s="160"/>
    </row>
    <row r="196" spans="1:22" x14ac:dyDescent="0.2">
      <c r="A196" s="134"/>
      <c r="B196" s="45" t="str">
        <f t="shared" si="16"/>
        <v>12Y</v>
      </c>
      <c r="C196" s="45" t="str">
        <f t="shared" si="17"/>
        <v>11F</v>
      </c>
      <c r="D196" s="43" t="str">
        <f t="shared" si="18"/>
        <v>EUR11F12Y_Quote</v>
      </c>
      <c r="E196" s="43" t="e">
        <f ca="1">_xll.cfyql_SimpleQuote(D196,,RateTickValue,Permanent,Trigger,ObjectOverwrite)</f>
        <v>#NAME?</v>
      </c>
      <c r="F196" s="42" t="e">
        <f ca="1">_xll.ohRangeRetrieveError(E196)</f>
        <v>#NAME?</v>
      </c>
      <c r="G196" s="36"/>
      <c r="H196" s="161"/>
      <c r="I196" s="112"/>
      <c r="J196" s="137" t="s">
        <v>44</v>
      </c>
      <c r="K196" s="137" t="str">
        <f t="shared" si="22"/>
        <v>11F</v>
      </c>
      <c r="L196" s="139" t="str">
        <f t="shared" si="19"/>
        <v>EUR11F12Y</v>
      </c>
      <c r="M196" s="139" t="str">
        <v>EUR11F12Y=ICAP</v>
      </c>
      <c r="N196" s="78">
        <v>2.024</v>
      </c>
      <c r="O196" s="111"/>
      <c r="P196" s="78">
        <v>2.024</v>
      </c>
      <c r="Q196" s="111"/>
      <c r="R196" s="78">
        <v>2.024</v>
      </c>
      <c r="S196" s="78" t="e">
        <f ca="1">_xll.cfyql_SimpleQuoteSetValue(E196,R196/100,Trigger)</f>
        <v>#NAME?</v>
      </c>
      <c r="T196" s="129"/>
      <c r="V196" s="160"/>
    </row>
    <row r="197" spans="1:22" x14ac:dyDescent="0.2">
      <c r="A197" s="134"/>
      <c r="B197" s="45" t="str">
        <f t="shared" ref="B197:B260" si="23">J197</f>
        <v>13Y</v>
      </c>
      <c r="C197" s="45" t="str">
        <f t="shared" ref="C197:C260" si="24">K197</f>
        <v>11F</v>
      </c>
      <c r="D197" s="43" t="str">
        <f t="shared" ref="D197:D260" si="25">Currency&amp;$C197&amp;B197&amp;QuoteSuffix</f>
        <v>EUR11F13Y_Quote</v>
      </c>
      <c r="E197" s="43" t="e">
        <f ca="1">_xll.cfyql_SimpleQuote(D197,,RateTickValue,Permanent,Trigger,ObjectOverwrite)</f>
        <v>#NAME?</v>
      </c>
      <c r="F197" s="42" t="e">
        <f ca="1">_xll.ohRangeRetrieveError(E197)</f>
        <v>#NAME?</v>
      </c>
      <c r="G197" s="36"/>
      <c r="H197" s="161"/>
      <c r="I197" s="112"/>
      <c r="J197" s="137" t="s">
        <v>43</v>
      </c>
      <c r="K197" s="137" t="str">
        <f t="shared" si="22"/>
        <v>11F</v>
      </c>
      <c r="L197" s="139" t="str">
        <f t="shared" ref="L197:L260" si="26">Currency&amp;$K197&amp;$J197</f>
        <v>EUR11F13Y</v>
      </c>
      <c r="M197" s="139" t="str">
        <v>EUR11F13Y=ICAP</v>
      </c>
      <c r="N197" s="78">
        <v>1.9970000000000001</v>
      </c>
      <c r="O197" s="111"/>
      <c r="P197" s="78">
        <v>1.9970000000000001</v>
      </c>
      <c r="Q197" s="111"/>
      <c r="R197" s="78">
        <v>1.9970000000000001</v>
      </c>
      <c r="S197" s="78" t="e">
        <f ca="1">_xll.cfyql_SimpleQuoteSetValue(E197,R197/100,Trigger)</f>
        <v>#NAME?</v>
      </c>
      <c r="T197" s="129"/>
      <c r="V197" s="160"/>
    </row>
    <row r="198" spans="1:22" x14ac:dyDescent="0.2">
      <c r="A198" s="134"/>
      <c r="B198" s="45" t="str">
        <f t="shared" si="23"/>
        <v>14Y</v>
      </c>
      <c r="C198" s="45" t="str">
        <f t="shared" si="24"/>
        <v>11F</v>
      </c>
      <c r="D198" s="43" t="str">
        <f t="shared" si="25"/>
        <v>EUR11F14Y_Quote</v>
      </c>
      <c r="E198" s="43" t="e">
        <f ca="1">_xll.cfyql_SimpleQuote(D198,,RateTickValue,Permanent,Trigger,ObjectOverwrite)</f>
        <v>#NAME?</v>
      </c>
      <c r="F198" s="42" t="e">
        <f ca="1">_xll.ohRangeRetrieveError(E198)</f>
        <v>#NAME?</v>
      </c>
      <c r="G198" s="36"/>
      <c r="H198" s="161"/>
      <c r="I198" s="112"/>
      <c r="J198" s="137" t="s">
        <v>42</v>
      </c>
      <c r="K198" s="137" t="str">
        <f t="shared" si="22"/>
        <v>11F</v>
      </c>
      <c r="L198" s="139" t="str">
        <f t="shared" si="26"/>
        <v>EUR11F14Y</v>
      </c>
      <c r="M198" s="139" t="str">
        <v>EUR11F14Y=ICAP</v>
      </c>
      <c r="N198" s="78">
        <v>1.9710000000000001</v>
      </c>
      <c r="O198" s="111"/>
      <c r="P198" s="78">
        <v>1.9710000000000001</v>
      </c>
      <c r="Q198" s="111"/>
      <c r="R198" s="78">
        <v>1.9710000000000001</v>
      </c>
      <c r="S198" s="78" t="e">
        <f ca="1">_xll.cfyql_SimpleQuoteSetValue(E198,R198/100,Trigger)</f>
        <v>#NAME?</v>
      </c>
      <c r="T198" s="129"/>
      <c r="V198" s="160"/>
    </row>
    <row r="199" spans="1:22" x14ac:dyDescent="0.2">
      <c r="A199" s="134"/>
      <c r="B199" s="45" t="str">
        <f t="shared" si="23"/>
        <v>15Y</v>
      </c>
      <c r="C199" s="45" t="str">
        <f t="shared" si="24"/>
        <v>11F</v>
      </c>
      <c r="D199" s="43" t="str">
        <f t="shared" si="25"/>
        <v>EUR11F15Y_Quote</v>
      </c>
      <c r="E199" s="43" t="e">
        <f ca="1">_xll.cfyql_SimpleQuote(D199,,RateTickValue,Permanent,Trigger,ObjectOverwrite)</f>
        <v>#NAME?</v>
      </c>
      <c r="F199" s="42" t="e">
        <f ca="1">_xll.ohRangeRetrieveError(E199)</f>
        <v>#NAME?</v>
      </c>
      <c r="G199" s="36"/>
      <c r="H199" s="161"/>
      <c r="I199" s="112"/>
      <c r="J199" s="137" t="s">
        <v>41</v>
      </c>
      <c r="K199" s="137" t="str">
        <f t="shared" si="22"/>
        <v>11F</v>
      </c>
      <c r="L199" s="139" t="str">
        <f t="shared" si="26"/>
        <v>EUR11F15Y</v>
      </c>
      <c r="M199" s="139" t="str">
        <v>EUR11F15Y=ICAP</v>
      </c>
      <c r="N199" s="78">
        <v>1.9460000000000002</v>
      </c>
      <c r="O199" s="111"/>
      <c r="P199" s="78">
        <v>1.9460000000000002</v>
      </c>
      <c r="Q199" s="111"/>
      <c r="R199" s="78">
        <v>1.9460000000000002</v>
      </c>
      <c r="S199" s="78" t="e">
        <f ca="1">_xll.cfyql_SimpleQuoteSetValue(E199,R199/100,Trigger)</f>
        <v>#NAME?</v>
      </c>
      <c r="T199" s="129"/>
      <c r="V199" s="160"/>
    </row>
    <row r="200" spans="1:22" x14ac:dyDescent="0.2">
      <c r="A200" s="134"/>
      <c r="B200" s="45" t="str">
        <f t="shared" si="23"/>
        <v>20Y</v>
      </c>
      <c r="C200" s="45" t="str">
        <f t="shared" si="24"/>
        <v>11F</v>
      </c>
      <c r="D200" s="43" t="str">
        <f t="shared" si="25"/>
        <v>EUR11F20Y_Quote</v>
      </c>
      <c r="E200" s="43" t="e">
        <f ca="1">_xll.cfyql_SimpleQuote(D200,,RateTickValue,Permanent,Trigger,ObjectOverwrite)</f>
        <v>#NAME?</v>
      </c>
      <c r="F200" s="42" t="e">
        <f ca="1">_xll.ohRangeRetrieveError(E200)</f>
        <v>#NAME?</v>
      </c>
      <c r="G200" s="36"/>
      <c r="H200" s="161"/>
      <c r="I200" s="112"/>
      <c r="J200" s="137" t="s">
        <v>36</v>
      </c>
      <c r="K200" s="137" t="str">
        <f t="shared" si="22"/>
        <v>11F</v>
      </c>
      <c r="L200" s="139" t="str">
        <f t="shared" si="26"/>
        <v>EUR11F20Y</v>
      </c>
      <c r="M200" s="139" t="str">
        <v>EUR11F20Y=ICAP</v>
      </c>
      <c r="N200" s="78">
        <v>1.8599999999999999</v>
      </c>
      <c r="O200" s="111"/>
      <c r="P200" s="78">
        <v>1.8599999999999999</v>
      </c>
      <c r="Q200" s="111"/>
      <c r="R200" s="78">
        <v>1.8599999999999999</v>
      </c>
      <c r="S200" s="78" t="e">
        <f ca="1">_xll.cfyql_SimpleQuoteSetValue(E200,R200/100,Trigger)</f>
        <v>#NAME?</v>
      </c>
      <c r="T200" s="129"/>
      <c r="V200" s="160"/>
    </row>
    <row r="201" spans="1:22" x14ac:dyDescent="0.2">
      <c r="A201" s="134"/>
      <c r="B201" s="45" t="str">
        <f t="shared" si="23"/>
        <v>25Y</v>
      </c>
      <c r="C201" s="45" t="str">
        <f t="shared" si="24"/>
        <v>11F</v>
      </c>
      <c r="D201" s="43" t="str">
        <f t="shared" si="25"/>
        <v>EUR11F25Y_Quote</v>
      </c>
      <c r="E201" s="43" t="e">
        <f ca="1">_xll.cfyql_SimpleQuote(D201,,RateTickValue,Permanent,Trigger,ObjectOverwrite)</f>
        <v>#NAME?</v>
      </c>
      <c r="F201" s="42" t="e">
        <f ca="1">_xll.ohRangeRetrieveError(E201)</f>
        <v>#NAME?</v>
      </c>
      <c r="G201" s="36"/>
      <c r="H201" s="161"/>
      <c r="I201" s="112"/>
      <c r="J201" s="137" t="s">
        <v>31</v>
      </c>
      <c r="K201" s="137" t="str">
        <f t="shared" si="22"/>
        <v>11F</v>
      </c>
      <c r="L201" s="139" t="str">
        <f t="shared" si="26"/>
        <v>EUR11F25Y</v>
      </c>
      <c r="M201" s="139" t="str">
        <v>EUR11F25Y=ICAP</v>
      </c>
      <c r="N201" s="78">
        <v>1.8119999999999998</v>
      </c>
      <c r="O201" s="111"/>
      <c r="P201" s="78">
        <v>1.8119999999999998</v>
      </c>
      <c r="Q201" s="111"/>
      <c r="R201" s="78">
        <v>1.8119999999999998</v>
      </c>
      <c r="S201" s="78" t="e">
        <f ca="1">_xll.cfyql_SimpleQuoteSetValue(E201,R201/100,Trigger)</f>
        <v>#NAME?</v>
      </c>
      <c r="T201" s="129"/>
      <c r="V201" s="160"/>
    </row>
    <row r="202" spans="1:22" x14ac:dyDescent="0.2">
      <c r="A202" s="134"/>
      <c r="B202" s="45" t="str">
        <f t="shared" si="23"/>
        <v>30Y</v>
      </c>
      <c r="C202" s="45" t="str">
        <f t="shared" si="24"/>
        <v>11F</v>
      </c>
      <c r="D202" s="43" t="str">
        <f t="shared" si="25"/>
        <v>EUR11F30Y_Quote</v>
      </c>
      <c r="E202" s="43" t="e">
        <f ca="1">_xll.cfyql_SimpleQuote(D202,,RateTickValue,Permanent,Trigger,ObjectOverwrite)</f>
        <v>#NAME?</v>
      </c>
      <c r="F202" s="42" t="e">
        <f ca="1">_xll.ohRangeRetrieveError(E202)</f>
        <v>#NAME?</v>
      </c>
      <c r="G202" s="36"/>
      <c r="H202" s="161"/>
      <c r="I202" s="112"/>
      <c r="J202" s="130" t="s">
        <v>26</v>
      </c>
      <c r="K202" s="130" t="str">
        <f t="shared" si="22"/>
        <v>11F</v>
      </c>
      <c r="L202" s="132" t="str">
        <f t="shared" si="26"/>
        <v>EUR11F30Y</v>
      </c>
      <c r="M202" s="132" t="str">
        <v>EUR11F30Y=ICAP</v>
      </c>
      <c r="N202" s="65">
        <v>1.766</v>
      </c>
      <c r="O202" s="111"/>
      <c r="P202" s="65">
        <v>1.766</v>
      </c>
      <c r="Q202" s="111"/>
      <c r="R202" s="65">
        <v>1.766</v>
      </c>
      <c r="S202" s="65" t="e">
        <f ca="1">_xll.cfyql_SimpleQuoteSetValue(E202,R202/100,Trigger)</f>
        <v>#NAME?</v>
      </c>
      <c r="T202" s="129"/>
      <c r="V202" s="160"/>
    </row>
    <row r="203" spans="1:22" x14ac:dyDescent="0.2">
      <c r="A203" s="134"/>
      <c r="B203" s="45" t="str">
        <f t="shared" si="23"/>
        <v>1Y</v>
      </c>
      <c r="C203" s="45" t="str">
        <f t="shared" si="24"/>
        <v>12F</v>
      </c>
      <c r="D203" s="43" t="str">
        <f t="shared" si="25"/>
        <v>EUR12F1Y_Quote</v>
      </c>
      <c r="E203" s="43" t="e">
        <f ca="1">_xll.cfyql_SimpleQuote(D203,,RateTickValue,Permanent,Trigger,ObjectOverwrite)</f>
        <v>#NAME?</v>
      </c>
      <c r="F203" s="42" t="e">
        <f ca="1">_xll.ohRangeRetrieveError(E203)</f>
        <v>#NAME?</v>
      </c>
      <c r="G203" s="36"/>
      <c r="H203" s="161"/>
      <c r="I203" s="134">
        <v>12</v>
      </c>
      <c r="J203" s="163" t="s">
        <v>58</v>
      </c>
      <c r="K203" s="163" t="str">
        <f t="shared" ref="K203:K220" si="27">$I$203&amp;"F"</f>
        <v>12F</v>
      </c>
      <c r="L203" s="162" t="str">
        <f t="shared" si="26"/>
        <v>EUR12F1Y</v>
      </c>
      <c r="M203" s="162" t="str">
        <v>EUR12F1Y=ICAP</v>
      </c>
      <c r="N203" s="89">
        <v>2.1869999999999998</v>
      </c>
      <c r="O203" s="111"/>
      <c r="P203" s="89">
        <v>2.1869999999999998</v>
      </c>
      <c r="Q203" s="111"/>
      <c r="R203" s="89">
        <v>2.1869999999999998</v>
      </c>
      <c r="S203" s="89" t="e">
        <f ca="1">_xll.cfyql_SimpleQuoteSetValue(E203,R203/100,Trigger)</f>
        <v>#NAME?</v>
      </c>
      <c r="T203" s="129"/>
      <c r="V203" s="160"/>
    </row>
    <row r="204" spans="1:22" x14ac:dyDescent="0.2">
      <c r="A204" s="134"/>
      <c r="B204" s="45" t="str">
        <f t="shared" si="23"/>
        <v>2Y</v>
      </c>
      <c r="C204" s="45" t="str">
        <f t="shared" si="24"/>
        <v>12F</v>
      </c>
      <c r="D204" s="43" t="str">
        <f t="shared" si="25"/>
        <v>EUR12F2Y_Quote</v>
      </c>
      <c r="E204" s="43" t="e">
        <f ca="1">_xll.cfyql_SimpleQuote(D204,,RateTickValue,Permanent,Trigger,ObjectOverwrite)</f>
        <v>#NAME?</v>
      </c>
      <c r="F204" s="42" t="e">
        <f ca="1">_xll.ohRangeRetrieveError(E204)</f>
        <v>#NAME?</v>
      </c>
      <c r="G204" s="36"/>
      <c r="H204" s="161"/>
      <c r="I204" s="112"/>
      <c r="J204" s="137" t="s">
        <v>54</v>
      </c>
      <c r="K204" s="137" t="str">
        <f t="shared" si="27"/>
        <v>12F</v>
      </c>
      <c r="L204" s="139" t="str">
        <f t="shared" si="26"/>
        <v>EUR12F2Y</v>
      </c>
      <c r="M204" s="139" t="str">
        <v>EUR12F2Y=ICAP</v>
      </c>
      <c r="N204" s="78">
        <v>2.1909999999999998</v>
      </c>
      <c r="O204" s="111"/>
      <c r="P204" s="78">
        <v>2.1909999999999998</v>
      </c>
      <c r="Q204" s="111"/>
      <c r="R204" s="78">
        <v>2.1909999999999998</v>
      </c>
      <c r="S204" s="78" t="e">
        <f ca="1">_xll.cfyql_SimpleQuoteSetValue(E204,R204/100,Trigger)</f>
        <v>#NAME?</v>
      </c>
      <c r="T204" s="129"/>
      <c r="V204" s="160"/>
    </row>
    <row r="205" spans="1:22" x14ac:dyDescent="0.2">
      <c r="A205" s="134"/>
      <c r="B205" s="45" t="str">
        <f t="shared" si="23"/>
        <v>3Y</v>
      </c>
      <c r="C205" s="45" t="str">
        <f t="shared" si="24"/>
        <v>12F</v>
      </c>
      <c r="D205" s="43" t="str">
        <f t="shared" si="25"/>
        <v>EUR12F3Y_Quote</v>
      </c>
      <c r="E205" s="43" t="e">
        <f ca="1">_xll.cfyql_SimpleQuote(D205,,RateTickValue,Permanent,Trigger,ObjectOverwrite)</f>
        <v>#NAME?</v>
      </c>
      <c r="F205" s="42" t="e">
        <f ca="1">_xll.ohRangeRetrieveError(E205)</f>
        <v>#NAME?</v>
      </c>
      <c r="G205" s="36"/>
      <c r="H205" s="161"/>
      <c r="I205" s="112"/>
      <c r="J205" s="137" t="s">
        <v>53</v>
      </c>
      <c r="K205" s="137" t="str">
        <f t="shared" si="27"/>
        <v>12F</v>
      </c>
      <c r="L205" s="139" t="str">
        <f t="shared" si="26"/>
        <v>EUR12F3Y</v>
      </c>
      <c r="M205" s="139" t="str">
        <v>EUR12F3Y=ICAP</v>
      </c>
      <c r="N205" s="78">
        <v>2.19</v>
      </c>
      <c r="O205" s="111"/>
      <c r="P205" s="78">
        <v>2.19</v>
      </c>
      <c r="Q205" s="111"/>
      <c r="R205" s="78">
        <v>2.19</v>
      </c>
      <c r="S205" s="78" t="e">
        <f ca="1">_xll.cfyql_SimpleQuoteSetValue(E205,R205/100,Trigger)</f>
        <v>#NAME?</v>
      </c>
      <c r="T205" s="129"/>
      <c r="V205" s="160"/>
    </row>
    <row r="206" spans="1:22" x14ac:dyDescent="0.2">
      <c r="A206" s="134"/>
      <c r="B206" s="45" t="str">
        <f t="shared" si="23"/>
        <v>4Y</v>
      </c>
      <c r="C206" s="45" t="str">
        <f t="shared" si="24"/>
        <v>12F</v>
      </c>
      <c r="D206" s="43" t="str">
        <f t="shared" si="25"/>
        <v>EUR12F4Y_Quote</v>
      </c>
      <c r="E206" s="43" t="e">
        <f ca="1">_xll.cfyql_SimpleQuote(D206,,RateTickValue,Permanent,Trigger,ObjectOverwrite)</f>
        <v>#NAME?</v>
      </c>
      <c r="F206" s="42" t="e">
        <f ca="1">_xll.ohRangeRetrieveError(E206)</f>
        <v>#NAME?</v>
      </c>
      <c r="G206" s="36"/>
      <c r="H206" s="161"/>
      <c r="I206" s="112"/>
      <c r="J206" s="137" t="s">
        <v>52</v>
      </c>
      <c r="K206" s="137" t="str">
        <f t="shared" si="27"/>
        <v>12F</v>
      </c>
      <c r="L206" s="139" t="str">
        <f t="shared" si="26"/>
        <v>EUR12F4Y</v>
      </c>
      <c r="M206" s="139" t="str">
        <v>EUR12F4Y=ICAP</v>
      </c>
      <c r="N206" s="78">
        <v>2.1800000000000002</v>
      </c>
      <c r="O206" s="111"/>
      <c r="P206" s="78">
        <v>2.1800000000000002</v>
      </c>
      <c r="Q206" s="111"/>
      <c r="R206" s="78">
        <v>2.1800000000000002</v>
      </c>
      <c r="S206" s="78" t="e">
        <f ca="1">_xll.cfyql_SimpleQuoteSetValue(E206,R206/100,Trigger)</f>
        <v>#NAME?</v>
      </c>
      <c r="T206" s="129"/>
      <c r="V206" s="160"/>
    </row>
    <row r="207" spans="1:22" x14ac:dyDescent="0.2">
      <c r="A207" s="134"/>
      <c r="B207" s="45" t="str">
        <f t="shared" si="23"/>
        <v>5Y</v>
      </c>
      <c r="C207" s="45" t="str">
        <f t="shared" si="24"/>
        <v>12F</v>
      </c>
      <c r="D207" s="43" t="str">
        <f t="shared" si="25"/>
        <v>EUR12F5Y_Quote</v>
      </c>
      <c r="E207" s="43" t="e">
        <f ca="1">_xll.cfyql_SimpleQuote(D207,,RateTickValue,Permanent,Trigger,ObjectOverwrite)</f>
        <v>#NAME?</v>
      </c>
      <c r="F207" s="42" t="e">
        <f ca="1">_xll.ohRangeRetrieveError(E207)</f>
        <v>#NAME?</v>
      </c>
      <c r="G207" s="36"/>
      <c r="H207" s="161"/>
      <c r="I207" s="112"/>
      <c r="J207" s="137" t="s">
        <v>51</v>
      </c>
      <c r="K207" s="137" t="str">
        <f t="shared" si="27"/>
        <v>12F</v>
      </c>
      <c r="L207" s="139" t="str">
        <f t="shared" si="26"/>
        <v>EUR12F5Y</v>
      </c>
      <c r="M207" s="139" t="str">
        <v>EUR12F5Y=ICAP</v>
      </c>
      <c r="N207" s="78">
        <v>2.1720000000000002</v>
      </c>
      <c r="O207" s="111"/>
      <c r="P207" s="78">
        <v>2.1720000000000002</v>
      </c>
      <c r="Q207" s="111"/>
      <c r="R207" s="78">
        <v>2.1720000000000002</v>
      </c>
      <c r="S207" s="78" t="e">
        <f ca="1">_xll.cfyql_SimpleQuoteSetValue(E207,R207/100,Trigger)</f>
        <v>#NAME?</v>
      </c>
      <c r="T207" s="129"/>
      <c r="V207" s="160"/>
    </row>
    <row r="208" spans="1:22" x14ac:dyDescent="0.2">
      <c r="A208" s="134"/>
      <c r="B208" s="45" t="str">
        <f t="shared" si="23"/>
        <v>6Y</v>
      </c>
      <c r="C208" s="45" t="str">
        <f t="shared" si="24"/>
        <v>12F</v>
      </c>
      <c r="D208" s="43" t="str">
        <f t="shared" si="25"/>
        <v>EUR12F6Y_Quote</v>
      </c>
      <c r="E208" s="43" t="e">
        <f ca="1">_xll.cfyql_SimpleQuote(D208,,RateTickValue,Permanent,Trigger,ObjectOverwrite)</f>
        <v>#NAME?</v>
      </c>
      <c r="F208" s="42" t="e">
        <f ca="1">_xll.ohRangeRetrieveError(E208)</f>
        <v>#NAME?</v>
      </c>
      <c r="G208" s="36"/>
      <c r="H208" s="161"/>
      <c r="I208" s="112"/>
      <c r="J208" s="137" t="s">
        <v>50</v>
      </c>
      <c r="K208" s="137" t="str">
        <f t="shared" si="27"/>
        <v>12F</v>
      </c>
      <c r="L208" s="139" t="str">
        <f t="shared" si="26"/>
        <v>EUR12F6Y</v>
      </c>
      <c r="M208" s="139" t="str">
        <v>EUR12F6Y=ICAP</v>
      </c>
      <c r="N208" s="78">
        <v>2.1520000000000001</v>
      </c>
      <c r="O208" s="111"/>
      <c r="P208" s="78">
        <v>2.1520000000000001</v>
      </c>
      <c r="Q208" s="111"/>
      <c r="R208" s="78">
        <v>2.1520000000000001</v>
      </c>
      <c r="S208" s="78" t="e">
        <f ca="1">_xll.cfyql_SimpleQuoteSetValue(E208,R208/100,Trigger)</f>
        <v>#NAME?</v>
      </c>
      <c r="T208" s="129"/>
      <c r="V208" s="160"/>
    </row>
    <row r="209" spans="1:22" x14ac:dyDescent="0.2">
      <c r="A209" s="134"/>
      <c r="B209" s="45" t="str">
        <f t="shared" si="23"/>
        <v>7Y</v>
      </c>
      <c r="C209" s="45" t="str">
        <f t="shared" si="24"/>
        <v>12F</v>
      </c>
      <c r="D209" s="43" t="str">
        <f t="shared" si="25"/>
        <v>EUR12F7Y_Quote</v>
      </c>
      <c r="E209" s="43" t="e">
        <f ca="1">_xll.cfyql_SimpleQuote(D209,,RateTickValue,Permanent,Trigger,ObjectOverwrite)</f>
        <v>#NAME?</v>
      </c>
      <c r="F209" s="42" t="e">
        <f ca="1">_xll.ohRangeRetrieveError(E209)</f>
        <v>#NAME?</v>
      </c>
      <c r="G209" s="36"/>
      <c r="H209" s="161"/>
      <c r="I209" s="112"/>
      <c r="J209" s="137" t="s">
        <v>49</v>
      </c>
      <c r="K209" s="137" t="str">
        <f t="shared" si="27"/>
        <v>12F</v>
      </c>
      <c r="L209" s="139" t="str">
        <f t="shared" si="26"/>
        <v>EUR12F7Y</v>
      </c>
      <c r="M209" s="139" t="str">
        <v>EUR12F7Y=ICAP</v>
      </c>
      <c r="N209" s="78">
        <v>2.13</v>
      </c>
      <c r="O209" s="111"/>
      <c r="P209" s="78">
        <v>2.13</v>
      </c>
      <c r="Q209" s="111"/>
      <c r="R209" s="78">
        <v>2.13</v>
      </c>
      <c r="S209" s="78" t="e">
        <f ca="1">_xll.cfyql_SimpleQuoteSetValue(E209,R209/100,Trigger)</f>
        <v>#NAME?</v>
      </c>
      <c r="T209" s="129"/>
      <c r="V209" s="160"/>
    </row>
    <row r="210" spans="1:22" x14ac:dyDescent="0.2">
      <c r="A210" s="134"/>
      <c r="B210" s="45" t="str">
        <f t="shared" si="23"/>
        <v>8Y</v>
      </c>
      <c r="C210" s="45" t="str">
        <f t="shared" si="24"/>
        <v>12F</v>
      </c>
      <c r="D210" s="43" t="str">
        <f t="shared" si="25"/>
        <v>EUR12F8Y_Quote</v>
      </c>
      <c r="E210" s="43" t="e">
        <f ca="1">_xll.cfyql_SimpleQuote(D210,,RateTickValue,Permanent,Trigger,ObjectOverwrite)</f>
        <v>#NAME?</v>
      </c>
      <c r="F210" s="42" t="e">
        <f ca="1">_xll.ohRangeRetrieveError(E210)</f>
        <v>#NAME?</v>
      </c>
      <c r="G210" s="36"/>
      <c r="H210" s="161"/>
      <c r="I210" s="112"/>
      <c r="J210" s="137" t="s">
        <v>48</v>
      </c>
      <c r="K210" s="137" t="str">
        <f t="shared" si="27"/>
        <v>12F</v>
      </c>
      <c r="L210" s="139" t="str">
        <f t="shared" si="26"/>
        <v>EUR12F8Y</v>
      </c>
      <c r="M210" s="139" t="str">
        <v>EUR12F8Y=ICAP</v>
      </c>
      <c r="N210" s="78">
        <v>2.1019999999999999</v>
      </c>
      <c r="O210" s="111"/>
      <c r="P210" s="78">
        <v>2.1019999999999999</v>
      </c>
      <c r="Q210" s="111"/>
      <c r="R210" s="78">
        <v>2.1019999999999999</v>
      </c>
      <c r="S210" s="78" t="e">
        <f ca="1">_xll.cfyql_SimpleQuoteSetValue(E210,R210/100,Trigger)</f>
        <v>#NAME?</v>
      </c>
      <c r="T210" s="129"/>
      <c r="V210" s="160"/>
    </row>
    <row r="211" spans="1:22" x14ac:dyDescent="0.2">
      <c r="A211" s="134"/>
      <c r="B211" s="45" t="str">
        <f t="shared" si="23"/>
        <v>9Y</v>
      </c>
      <c r="C211" s="45" t="str">
        <f t="shared" si="24"/>
        <v>12F</v>
      </c>
      <c r="D211" s="43" t="str">
        <f t="shared" si="25"/>
        <v>EUR12F9Y_Quote</v>
      </c>
      <c r="E211" s="43" t="e">
        <f ca="1">_xll.cfyql_SimpleQuote(D211,,RateTickValue,Permanent,Trigger,ObjectOverwrite)</f>
        <v>#NAME?</v>
      </c>
      <c r="F211" s="42" t="e">
        <f ca="1">_xll.ohRangeRetrieveError(E211)</f>
        <v>#NAME?</v>
      </c>
      <c r="G211" s="36"/>
      <c r="H211" s="161"/>
      <c r="I211" s="112"/>
      <c r="J211" s="137" t="s">
        <v>47</v>
      </c>
      <c r="K211" s="137" t="str">
        <f t="shared" si="27"/>
        <v>12F</v>
      </c>
      <c r="L211" s="139" t="str">
        <f t="shared" si="26"/>
        <v>EUR12F9Y</v>
      </c>
      <c r="M211" s="139" t="str">
        <v>EUR12F9Y=ICAP</v>
      </c>
      <c r="N211" s="78">
        <v>2.073</v>
      </c>
      <c r="O211" s="111"/>
      <c r="P211" s="78">
        <v>2.073</v>
      </c>
      <c r="Q211" s="111"/>
      <c r="R211" s="78">
        <v>2.073</v>
      </c>
      <c r="S211" s="78" t="e">
        <f ca="1">_xll.cfyql_SimpleQuoteSetValue(E211,R211/100,Trigger)</f>
        <v>#NAME?</v>
      </c>
      <c r="T211" s="129"/>
      <c r="V211" s="160"/>
    </row>
    <row r="212" spans="1:22" x14ac:dyDescent="0.2">
      <c r="A212" s="134"/>
      <c r="B212" s="45" t="str">
        <f t="shared" si="23"/>
        <v>10Y</v>
      </c>
      <c r="C212" s="45" t="str">
        <f t="shared" si="24"/>
        <v>12F</v>
      </c>
      <c r="D212" s="43" t="str">
        <f t="shared" si="25"/>
        <v>EUR12F10Y_Quote</v>
      </c>
      <c r="E212" s="43" t="e">
        <f ca="1">_xll.cfyql_SimpleQuote(D212,,RateTickValue,Permanent,Trigger,ObjectOverwrite)</f>
        <v>#NAME?</v>
      </c>
      <c r="F212" s="42" t="e">
        <f ca="1">_xll.ohRangeRetrieveError(E212)</f>
        <v>#NAME?</v>
      </c>
      <c r="G212" s="36"/>
      <c r="H212" s="161"/>
      <c r="I212" s="112"/>
      <c r="J212" s="137" t="s">
        <v>46</v>
      </c>
      <c r="K212" s="137" t="str">
        <f t="shared" si="27"/>
        <v>12F</v>
      </c>
      <c r="L212" s="139" t="str">
        <f t="shared" si="26"/>
        <v>EUR12F10Y</v>
      </c>
      <c r="M212" s="139" t="str">
        <v>EUR12F10Y=ICAP</v>
      </c>
      <c r="N212" s="78">
        <v>2.0449999999999999</v>
      </c>
      <c r="O212" s="111"/>
      <c r="P212" s="78">
        <v>2.0449999999999999</v>
      </c>
      <c r="Q212" s="111"/>
      <c r="R212" s="78">
        <v>2.0449999999999999</v>
      </c>
      <c r="S212" s="78" t="e">
        <f ca="1">_xll.cfyql_SimpleQuoteSetValue(E212,R212/100,Trigger)</f>
        <v>#NAME?</v>
      </c>
      <c r="T212" s="129"/>
      <c r="V212" s="160"/>
    </row>
    <row r="213" spans="1:22" x14ac:dyDescent="0.2">
      <c r="A213" s="134"/>
      <c r="B213" s="45" t="str">
        <f t="shared" si="23"/>
        <v>11Y</v>
      </c>
      <c r="C213" s="45" t="str">
        <f t="shared" si="24"/>
        <v>12F</v>
      </c>
      <c r="D213" s="43" t="str">
        <f t="shared" si="25"/>
        <v>EUR12F11Y_Quote</v>
      </c>
      <c r="E213" s="43" t="e">
        <f ca="1">_xll.cfyql_SimpleQuote(D213,,RateTickValue,Permanent,Trigger,ObjectOverwrite)</f>
        <v>#NAME?</v>
      </c>
      <c r="F213" s="42" t="e">
        <f ca="1">_xll.ohRangeRetrieveError(E213)</f>
        <v>#NAME?</v>
      </c>
      <c r="G213" s="36"/>
      <c r="H213" s="161"/>
      <c r="I213" s="112"/>
      <c r="J213" s="137" t="s">
        <v>45</v>
      </c>
      <c r="K213" s="137" t="str">
        <f t="shared" si="27"/>
        <v>12F</v>
      </c>
      <c r="L213" s="139" t="str">
        <f t="shared" si="26"/>
        <v>EUR12F11Y</v>
      </c>
      <c r="M213" s="139" t="str">
        <v>EUR12F11Y=ICAP</v>
      </c>
      <c r="N213" s="78">
        <v>2.012</v>
      </c>
      <c r="O213" s="111"/>
      <c r="P213" s="78">
        <v>2.012</v>
      </c>
      <c r="Q213" s="111"/>
      <c r="R213" s="78">
        <v>2.012</v>
      </c>
      <c r="S213" s="78" t="e">
        <f ca="1">_xll.cfyql_SimpleQuoteSetValue(E213,R213/100,Trigger)</f>
        <v>#NAME?</v>
      </c>
      <c r="T213" s="129"/>
      <c r="V213" s="160"/>
    </row>
    <row r="214" spans="1:22" x14ac:dyDescent="0.2">
      <c r="A214" s="134"/>
      <c r="B214" s="45" t="str">
        <f t="shared" si="23"/>
        <v>12Y</v>
      </c>
      <c r="C214" s="45" t="str">
        <f t="shared" si="24"/>
        <v>12F</v>
      </c>
      <c r="D214" s="43" t="str">
        <f t="shared" si="25"/>
        <v>EUR12F12Y_Quote</v>
      </c>
      <c r="E214" s="43" t="e">
        <f ca="1">_xll.cfyql_SimpleQuote(D214,,RateTickValue,Permanent,Trigger,ObjectOverwrite)</f>
        <v>#NAME?</v>
      </c>
      <c r="F214" s="42" t="e">
        <f ca="1">_xll.ohRangeRetrieveError(E214)</f>
        <v>#NAME?</v>
      </c>
      <c r="G214" s="36"/>
      <c r="H214" s="161"/>
      <c r="I214" s="112"/>
      <c r="J214" s="137" t="s">
        <v>44</v>
      </c>
      <c r="K214" s="137" t="str">
        <f t="shared" si="27"/>
        <v>12F</v>
      </c>
      <c r="L214" s="139" t="str">
        <f t="shared" si="26"/>
        <v>EUR12F12Y</v>
      </c>
      <c r="M214" s="139" t="str">
        <v>EUR12F12Y=ICAP</v>
      </c>
      <c r="N214" s="78">
        <v>1.9830000000000001</v>
      </c>
      <c r="O214" s="111"/>
      <c r="P214" s="78">
        <v>1.9830000000000001</v>
      </c>
      <c r="Q214" s="111"/>
      <c r="R214" s="78">
        <v>1.9830000000000001</v>
      </c>
      <c r="S214" s="78" t="e">
        <f ca="1">_xll.cfyql_SimpleQuoteSetValue(E214,R214/100,Trigger)</f>
        <v>#NAME?</v>
      </c>
      <c r="T214" s="129"/>
      <c r="V214" s="160"/>
    </row>
    <row r="215" spans="1:22" x14ac:dyDescent="0.2">
      <c r="A215" s="134"/>
      <c r="B215" s="45" t="str">
        <f t="shared" si="23"/>
        <v>13Y</v>
      </c>
      <c r="C215" s="45" t="str">
        <f t="shared" si="24"/>
        <v>12F</v>
      </c>
      <c r="D215" s="43" t="str">
        <f t="shared" si="25"/>
        <v>EUR12F13Y_Quote</v>
      </c>
      <c r="E215" s="43" t="e">
        <f ca="1">_xll.cfyql_SimpleQuote(D215,,RateTickValue,Permanent,Trigger,ObjectOverwrite)</f>
        <v>#NAME?</v>
      </c>
      <c r="F215" s="42" t="e">
        <f ca="1">_xll.ohRangeRetrieveError(E215)</f>
        <v>#NAME?</v>
      </c>
      <c r="G215" s="36"/>
      <c r="H215" s="161"/>
      <c r="I215" s="112"/>
      <c r="J215" s="137" t="s">
        <v>43</v>
      </c>
      <c r="K215" s="137" t="str">
        <f t="shared" si="27"/>
        <v>12F</v>
      </c>
      <c r="L215" s="139" t="str">
        <f t="shared" si="26"/>
        <v>EUR12F13Y</v>
      </c>
      <c r="M215" s="139" t="str">
        <v>EUR12F13Y=ICAP</v>
      </c>
      <c r="N215" s="78">
        <v>1.956</v>
      </c>
      <c r="O215" s="111"/>
      <c r="P215" s="78">
        <v>1.956</v>
      </c>
      <c r="Q215" s="111"/>
      <c r="R215" s="78">
        <v>1.956</v>
      </c>
      <c r="S215" s="78" t="e">
        <f ca="1">_xll.cfyql_SimpleQuoteSetValue(E215,R215/100,Trigger)</f>
        <v>#NAME?</v>
      </c>
      <c r="T215" s="129"/>
      <c r="V215" s="160"/>
    </row>
    <row r="216" spans="1:22" x14ac:dyDescent="0.2">
      <c r="A216" s="134"/>
      <c r="B216" s="45" t="str">
        <f t="shared" si="23"/>
        <v>14Y</v>
      </c>
      <c r="C216" s="45" t="str">
        <f t="shared" si="24"/>
        <v>12F</v>
      </c>
      <c r="D216" s="43" t="str">
        <f t="shared" si="25"/>
        <v>EUR12F14Y_Quote</v>
      </c>
      <c r="E216" s="43" t="e">
        <f ca="1">_xll.cfyql_SimpleQuote(D216,,RateTickValue,Permanent,Trigger,ObjectOverwrite)</f>
        <v>#NAME?</v>
      </c>
      <c r="F216" s="42" t="e">
        <f ca="1">_xll.ohRangeRetrieveError(E216)</f>
        <v>#NAME?</v>
      </c>
      <c r="G216" s="36"/>
      <c r="H216" s="161"/>
      <c r="I216" s="112"/>
      <c r="J216" s="137" t="s">
        <v>42</v>
      </c>
      <c r="K216" s="137" t="str">
        <f t="shared" si="27"/>
        <v>12F</v>
      </c>
      <c r="L216" s="139" t="str">
        <f t="shared" si="26"/>
        <v>EUR12F14Y</v>
      </c>
      <c r="M216" s="139" t="str">
        <v>EUR12F14Y=ICAP</v>
      </c>
      <c r="N216" s="78">
        <v>1.9300000000000002</v>
      </c>
      <c r="O216" s="111"/>
      <c r="P216" s="78">
        <v>1.9300000000000002</v>
      </c>
      <c r="Q216" s="111"/>
      <c r="R216" s="78">
        <v>1.9300000000000002</v>
      </c>
      <c r="S216" s="78" t="e">
        <f ca="1">_xll.cfyql_SimpleQuoteSetValue(E216,R216/100,Trigger)</f>
        <v>#NAME?</v>
      </c>
      <c r="T216" s="129"/>
      <c r="V216" s="160"/>
    </row>
    <row r="217" spans="1:22" x14ac:dyDescent="0.2">
      <c r="A217" s="134"/>
      <c r="B217" s="45" t="str">
        <f t="shared" si="23"/>
        <v>15Y</v>
      </c>
      <c r="C217" s="45" t="str">
        <f t="shared" si="24"/>
        <v>12F</v>
      </c>
      <c r="D217" s="43" t="str">
        <f t="shared" si="25"/>
        <v>EUR12F15Y_Quote</v>
      </c>
      <c r="E217" s="43" t="e">
        <f ca="1">_xll.cfyql_SimpleQuote(D217,,RateTickValue,Permanent,Trigger,ObjectOverwrite)</f>
        <v>#NAME?</v>
      </c>
      <c r="F217" s="42" t="e">
        <f ca="1">_xll.ohRangeRetrieveError(E217)</f>
        <v>#NAME?</v>
      </c>
      <c r="G217" s="36"/>
      <c r="H217" s="161"/>
      <c r="I217" s="112"/>
      <c r="J217" s="137" t="s">
        <v>41</v>
      </c>
      <c r="K217" s="137" t="str">
        <f t="shared" si="27"/>
        <v>12F</v>
      </c>
      <c r="L217" s="139" t="str">
        <f t="shared" si="26"/>
        <v>EUR12F15Y</v>
      </c>
      <c r="M217" s="139" t="str">
        <v>EUR12F15Y=ICAP</v>
      </c>
      <c r="N217" s="78">
        <v>1.9079999999999999</v>
      </c>
      <c r="O217" s="111"/>
      <c r="P217" s="78">
        <v>1.9079999999999999</v>
      </c>
      <c r="Q217" s="111"/>
      <c r="R217" s="78">
        <v>1.9079999999999999</v>
      </c>
      <c r="S217" s="78" t="e">
        <f ca="1">_xll.cfyql_SimpleQuoteSetValue(E217,R217/100,Trigger)</f>
        <v>#NAME?</v>
      </c>
      <c r="T217" s="129"/>
      <c r="V217" s="160"/>
    </row>
    <row r="218" spans="1:22" x14ac:dyDescent="0.2">
      <c r="A218" s="134"/>
      <c r="B218" s="45" t="str">
        <f t="shared" si="23"/>
        <v>20Y</v>
      </c>
      <c r="C218" s="45" t="str">
        <f t="shared" si="24"/>
        <v>12F</v>
      </c>
      <c r="D218" s="43" t="str">
        <f t="shared" si="25"/>
        <v>EUR12F20Y_Quote</v>
      </c>
      <c r="E218" s="43" t="e">
        <f ca="1">_xll.cfyql_SimpleQuote(D218,,RateTickValue,Permanent,Trigger,ObjectOverwrite)</f>
        <v>#NAME?</v>
      </c>
      <c r="F218" s="42" t="e">
        <f ca="1">_xll.ohRangeRetrieveError(E218)</f>
        <v>#NAME?</v>
      </c>
      <c r="G218" s="36"/>
      <c r="H218" s="161"/>
      <c r="I218" s="112"/>
      <c r="J218" s="137" t="s">
        <v>36</v>
      </c>
      <c r="K218" s="137" t="str">
        <f t="shared" si="27"/>
        <v>12F</v>
      </c>
      <c r="L218" s="139" t="str">
        <f t="shared" si="26"/>
        <v>EUR12F20Y</v>
      </c>
      <c r="M218" s="139" t="str">
        <v>EUR12F20Y=ICAP</v>
      </c>
      <c r="N218" s="78">
        <v>1.831</v>
      </c>
      <c r="O218" s="111"/>
      <c r="P218" s="78">
        <v>1.831</v>
      </c>
      <c r="Q218" s="111"/>
      <c r="R218" s="78">
        <v>1.831</v>
      </c>
      <c r="S218" s="78" t="e">
        <f ca="1">_xll.cfyql_SimpleQuoteSetValue(E218,R218/100,Trigger)</f>
        <v>#NAME?</v>
      </c>
      <c r="T218" s="129"/>
      <c r="V218" s="160"/>
    </row>
    <row r="219" spans="1:22" x14ac:dyDescent="0.2">
      <c r="A219" s="134"/>
      <c r="B219" s="45" t="str">
        <f t="shared" si="23"/>
        <v>25Y</v>
      </c>
      <c r="C219" s="45" t="str">
        <f t="shared" si="24"/>
        <v>12F</v>
      </c>
      <c r="D219" s="43" t="str">
        <f t="shared" si="25"/>
        <v>EUR12F25Y_Quote</v>
      </c>
      <c r="E219" s="43" t="e">
        <f ca="1">_xll.cfyql_SimpleQuote(D219,,RateTickValue,Permanent,Trigger,ObjectOverwrite)</f>
        <v>#NAME?</v>
      </c>
      <c r="F219" s="42" t="e">
        <f ca="1">_xll.ohRangeRetrieveError(E219)</f>
        <v>#NAME?</v>
      </c>
      <c r="G219" s="36"/>
      <c r="H219" s="161"/>
      <c r="I219" s="112"/>
      <c r="J219" s="137" t="s">
        <v>31</v>
      </c>
      <c r="K219" s="137" t="str">
        <f t="shared" si="27"/>
        <v>12F</v>
      </c>
      <c r="L219" s="139" t="str">
        <f t="shared" si="26"/>
        <v>EUR12F25Y</v>
      </c>
      <c r="M219" s="139" t="str">
        <v>EUR12F25Y=ICAP</v>
      </c>
      <c r="N219" s="78">
        <v>1.786</v>
      </c>
      <c r="O219" s="111"/>
      <c r="P219" s="78">
        <v>1.786</v>
      </c>
      <c r="Q219" s="111"/>
      <c r="R219" s="78">
        <v>1.786</v>
      </c>
      <c r="S219" s="78" t="e">
        <f ca="1">_xll.cfyql_SimpleQuoteSetValue(E219,R219/100,Trigger)</f>
        <v>#NAME?</v>
      </c>
      <c r="T219" s="129"/>
      <c r="V219" s="160"/>
    </row>
    <row r="220" spans="1:22" x14ac:dyDescent="0.2">
      <c r="A220" s="134"/>
      <c r="B220" s="45" t="str">
        <f t="shared" si="23"/>
        <v>30Y</v>
      </c>
      <c r="C220" s="45" t="str">
        <f t="shared" si="24"/>
        <v>12F</v>
      </c>
      <c r="D220" s="43" t="str">
        <f t="shared" si="25"/>
        <v>EUR12F30Y_Quote</v>
      </c>
      <c r="E220" s="43" t="e">
        <f ca="1">_xll.cfyql_SimpleQuote(D220,,RateTickValue,Permanent,Trigger,ObjectOverwrite)</f>
        <v>#NAME?</v>
      </c>
      <c r="F220" s="42" t="e">
        <f ca="1">_xll.ohRangeRetrieveError(E220)</f>
        <v>#NAME?</v>
      </c>
      <c r="G220" s="36"/>
      <c r="H220" s="161"/>
      <c r="I220" s="112"/>
      <c r="J220" s="130" t="s">
        <v>26</v>
      </c>
      <c r="K220" s="130" t="str">
        <f t="shared" si="27"/>
        <v>12F</v>
      </c>
      <c r="L220" s="132" t="str">
        <f t="shared" si="26"/>
        <v>EUR12F30Y</v>
      </c>
      <c r="M220" s="132" t="str">
        <v>EUR12F30Y=ICAP</v>
      </c>
      <c r="N220" s="65">
        <v>1.74</v>
      </c>
      <c r="O220" s="111"/>
      <c r="P220" s="65">
        <v>1.74</v>
      </c>
      <c r="Q220" s="111"/>
      <c r="R220" s="65">
        <v>1.74</v>
      </c>
      <c r="S220" s="65" t="e">
        <f ca="1">_xll.cfyql_SimpleQuoteSetValue(E220,R220/100,Trigger)</f>
        <v>#NAME?</v>
      </c>
      <c r="T220" s="129"/>
      <c r="V220" s="160"/>
    </row>
    <row r="221" spans="1:22" x14ac:dyDescent="0.2">
      <c r="A221" s="134"/>
      <c r="B221" s="45" t="str">
        <f t="shared" si="23"/>
        <v>1Y</v>
      </c>
      <c r="C221" s="45" t="str">
        <f t="shared" si="24"/>
        <v>13F</v>
      </c>
      <c r="D221" s="43" t="str">
        <f t="shared" si="25"/>
        <v>EUR13F1Y_Quote</v>
      </c>
      <c r="E221" s="43" t="e">
        <f ca="1">_xll.cfyql_SimpleQuote(D221,,RateTickValue,Permanent,Trigger,ObjectOverwrite)</f>
        <v>#NAME?</v>
      </c>
      <c r="F221" s="42" t="e">
        <f ca="1">_xll.ohRangeRetrieveError(E221)</f>
        <v>#NAME?</v>
      </c>
      <c r="G221" s="36"/>
      <c r="H221" s="161"/>
      <c r="I221" s="134">
        <v>13</v>
      </c>
      <c r="J221" s="163" t="s">
        <v>58</v>
      </c>
      <c r="K221" s="163" t="str">
        <f t="shared" ref="K221:K238" si="28">$I$221&amp;"F"</f>
        <v>13F</v>
      </c>
      <c r="L221" s="162" t="str">
        <f t="shared" si="26"/>
        <v>EUR13F1Y</v>
      </c>
      <c r="M221" s="162" t="str">
        <v>EUR13F1Y=ICAP</v>
      </c>
      <c r="N221" s="89">
        <v>2.194</v>
      </c>
      <c r="O221" s="111"/>
      <c r="P221" s="89">
        <v>2.194</v>
      </c>
      <c r="Q221" s="111"/>
      <c r="R221" s="89">
        <v>2.194</v>
      </c>
      <c r="S221" s="89" t="e">
        <f ca="1">_xll.cfyql_SimpleQuoteSetValue(E221,R221/100,Trigger)</f>
        <v>#NAME?</v>
      </c>
      <c r="T221" s="129"/>
      <c r="V221" s="160"/>
    </row>
    <row r="222" spans="1:22" x14ac:dyDescent="0.2">
      <c r="A222" s="134"/>
      <c r="B222" s="45" t="str">
        <f t="shared" si="23"/>
        <v>2Y</v>
      </c>
      <c r="C222" s="45" t="str">
        <f t="shared" si="24"/>
        <v>13F</v>
      </c>
      <c r="D222" s="43" t="str">
        <f t="shared" si="25"/>
        <v>EUR13F2Y_Quote</v>
      </c>
      <c r="E222" s="43" t="e">
        <f ca="1">_xll.cfyql_SimpleQuote(D222,,RateTickValue,Permanent,Trigger,ObjectOverwrite)</f>
        <v>#NAME?</v>
      </c>
      <c r="F222" s="42" t="e">
        <f ca="1">_xll.ohRangeRetrieveError(E222)</f>
        <v>#NAME?</v>
      </c>
      <c r="G222" s="36"/>
      <c r="H222" s="161"/>
      <c r="I222" s="112"/>
      <c r="J222" s="137" t="s">
        <v>54</v>
      </c>
      <c r="K222" s="137" t="str">
        <f t="shared" si="28"/>
        <v>13F</v>
      </c>
      <c r="L222" s="139" t="str">
        <f t="shared" si="26"/>
        <v>EUR13F2Y</v>
      </c>
      <c r="M222" s="139" t="str">
        <v>EUR13F2Y=ICAP</v>
      </c>
      <c r="N222" s="78">
        <v>2.1909999999999998</v>
      </c>
      <c r="O222" s="111"/>
      <c r="P222" s="78">
        <v>2.1909999999999998</v>
      </c>
      <c r="Q222" s="111"/>
      <c r="R222" s="78">
        <v>2.1909999999999998</v>
      </c>
      <c r="S222" s="78" t="e">
        <f ca="1">_xll.cfyql_SimpleQuoteSetValue(E222,R222/100,Trigger)</f>
        <v>#NAME?</v>
      </c>
      <c r="T222" s="129"/>
      <c r="V222" s="160"/>
    </row>
    <row r="223" spans="1:22" x14ac:dyDescent="0.2">
      <c r="A223" s="134"/>
      <c r="B223" s="45" t="str">
        <f t="shared" si="23"/>
        <v>3Y</v>
      </c>
      <c r="C223" s="45" t="str">
        <f t="shared" si="24"/>
        <v>13F</v>
      </c>
      <c r="D223" s="43" t="str">
        <f t="shared" si="25"/>
        <v>EUR13F3Y_Quote</v>
      </c>
      <c r="E223" s="43" t="e">
        <f ca="1">_xll.cfyql_SimpleQuote(D223,,RateTickValue,Permanent,Trigger,ObjectOverwrite)</f>
        <v>#NAME?</v>
      </c>
      <c r="F223" s="42" t="e">
        <f ca="1">_xll.ohRangeRetrieveError(E223)</f>
        <v>#NAME?</v>
      </c>
      <c r="G223" s="36"/>
      <c r="H223" s="161"/>
      <c r="I223" s="112"/>
      <c r="J223" s="137" t="s">
        <v>53</v>
      </c>
      <c r="K223" s="137" t="str">
        <f t="shared" si="28"/>
        <v>13F</v>
      </c>
      <c r="L223" s="139" t="str">
        <f t="shared" si="26"/>
        <v>EUR13F3Y</v>
      </c>
      <c r="M223" s="139" t="str">
        <v>EUR13F3Y=ICAP</v>
      </c>
      <c r="N223" s="78">
        <v>2.1779999999999999</v>
      </c>
      <c r="O223" s="111"/>
      <c r="P223" s="78">
        <v>2.1779999999999999</v>
      </c>
      <c r="Q223" s="111"/>
      <c r="R223" s="78">
        <v>2.1779999999999999</v>
      </c>
      <c r="S223" s="78" t="e">
        <f ca="1">_xll.cfyql_SimpleQuoteSetValue(E223,R223/100,Trigger)</f>
        <v>#NAME?</v>
      </c>
      <c r="T223" s="129"/>
      <c r="V223" s="160"/>
    </row>
    <row r="224" spans="1:22" x14ac:dyDescent="0.2">
      <c r="A224" s="134"/>
      <c r="B224" s="45" t="str">
        <f t="shared" si="23"/>
        <v>4Y</v>
      </c>
      <c r="C224" s="45" t="str">
        <f t="shared" si="24"/>
        <v>13F</v>
      </c>
      <c r="D224" s="43" t="str">
        <f t="shared" si="25"/>
        <v>EUR13F4Y_Quote</v>
      </c>
      <c r="E224" s="43" t="e">
        <f ca="1">_xll.cfyql_SimpleQuote(D224,,RateTickValue,Permanent,Trigger,ObjectOverwrite)</f>
        <v>#NAME?</v>
      </c>
      <c r="F224" s="42" t="e">
        <f ca="1">_xll.ohRangeRetrieveError(E224)</f>
        <v>#NAME?</v>
      </c>
      <c r="G224" s="36"/>
      <c r="H224" s="161"/>
      <c r="I224" s="112"/>
      <c r="J224" s="137" t="s">
        <v>52</v>
      </c>
      <c r="K224" s="137" t="str">
        <f t="shared" si="28"/>
        <v>13F</v>
      </c>
      <c r="L224" s="139" t="str">
        <f t="shared" si="26"/>
        <v>EUR13F4Y</v>
      </c>
      <c r="M224" s="139" t="str">
        <v>EUR13F4Y=ICAP</v>
      </c>
      <c r="N224" s="78">
        <v>2.1680000000000001</v>
      </c>
      <c r="O224" s="111"/>
      <c r="P224" s="78">
        <v>2.1680000000000001</v>
      </c>
      <c r="Q224" s="111"/>
      <c r="R224" s="78">
        <v>2.1680000000000001</v>
      </c>
      <c r="S224" s="78" t="e">
        <f ca="1">_xll.cfyql_SimpleQuoteSetValue(E224,R224/100,Trigger)</f>
        <v>#NAME?</v>
      </c>
      <c r="T224" s="129"/>
      <c r="V224" s="160"/>
    </row>
    <row r="225" spans="1:22" x14ac:dyDescent="0.2">
      <c r="A225" s="134"/>
      <c r="B225" s="45" t="str">
        <f t="shared" si="23"/>
        <v>5Y</v>
      </c>
      <c r="C225" s="45" t="str">
        <f t="shared" si="24"/>
        <v>13F</v>
      </c>
      <c r="D225" s="43" t="str">
        <f t="shared" si="25"/>
        <v>EUR13F5Y_Quote</v>
      </c>
      <c r="E225" s="43" t="e">
        <f ca="1">_xll.cfyql_SimpleQuote(D225,,RateTickValue,Permanent,Trigger,ObjectOverwrite)</f>
        <v>#NAME?</v>
      </c>
      <c r="F225" s="42" t="e">
        <f ca="1">_xll.ohRangeRetrieveError(E225)</f>
        <v>#NAME?</v>
      </c>
      <c r="G225" s="36"/>
      <c r="H225" s="161"/>
      <c r="I225" s="112"/>
      <c r="J225" s="137" t="s">
        <v>51</v>
      </c>
      <c r="K225" s="137" t="str">
        <f t="shared" si="28"/>
        <v>13F</v>
      </c>
      <c r="L225" s="139" t="str">
        <f t="shared" si="26"/>
        <v>EUR13F5Y</v>
      </c>
      <c r="M225" s="139" t="str">
        <v>EUR13F5Y=ICAP</v>
      </c>
      <c r="N225" s="78">
        <v>2.145</v>
      </c>
      <c r="O225" s="111"/>
      <c r="P225" s="78">
        <v>2.145</v>
      </c>
      <c r="Q225" s="111"/>
      <c r="R225" s="78">
        <v>2.145</v>
      </c>
      <c r="S225" s="78" t="e">
        <f ca="1">_xll.cfyql_SimpleQuoteSetValue(E225,R225/100,Trigger)</f>
        <v>#NAME?</v>
      </c>
      <c r="T225" s="129"/>
      <c r="V225" s="160"/>
    </row>
    <row r="226" spans="1:22" x14ac:dyDescent="0.2">
      <c r="A226" s="134"/>
      <c r="B226" s="45" t="str">
        <f t="shared" si="23"/>
        <v>6Y</v>
      </c>
      <c r="C226" s="45" t="str">
        <f t="shared" si="24"/>
        <v>13F</v>
      </c>
      <c r="D226" s="43" t="str">
        <f t="shared" si="25"/>
        <v>EUR13F6Y_Quote</v>
      </c>
      <c r="E226" s="43" t="e">
        <f ca="1">_xll.cfyql_SimpleQuote(D226,,RateTickValue,Permanent,Trigger,ObjectOverwrite)</f>
        <v>#NAME?</v>
      </c>
      <c r="F226" s="42" t="e">
        <f ca="1">_xll.ohRangeRetrieveError(E226)</f>
        <v>#NAME?</v>
      </c>
      <c r="G226" s="36"/>
      <c r="H226" s="161"/>
      <c r="I226" s="112"/>
      <c r="J226" s="137" t="s">
        <v>50</v>
      </c>
      <c r="K226" s="137" t="str">
        <f t="shared" si="28"/>
        <v>13F</v>
      </c>
      <c r="L226" s="139" t="str">
        <f t="shared" si="26"/>
        <v>EUR13F6Y</v>
      </c>
      <c r="M226" s="139" t="str">
        <v>EUR13F6Y=ICAP</v>
      </c>
      <c r="N226" s="78">
        <v>2.1189999999999998</v>
      </c>
      <c r="O226" s="111"/>
      <c r="P226" s="78">
        <v>2.1189999999999998</v>
      </c>
      <c r="Q226" s="111"/>
      <c r="R226" s="78">
        <v>2.1189999999999998</v>
      </c>
      <c r="S226" s="78" t="e">
        <f ca="1">_xll.cfyql_SimpleQuoteSetValue(E226,R226/100,Trigger)</f>
        <v>#NAME?</v>
      </c>
      <c r="T226" s="129"/>
      <c r="V226" s="160"/>
    </row>
    <row r="227" spans="1:22" x14ac:dyDescent="0.2">
      <c r="A227" s="134"/>
      <c r="B227" s="45" t="str">
        <f t="shared" si="23"/>
        <v>7Y</v>
      </c>
      <c r="C227" s="45" t="str">
        <f t="shared" si="24"/>
        <v>13F</v>
      </c>
      <c r="D227" s="43" t="str">
        <f t="shared" si="25"/>
        <v>EUR13F7Y_Quote</v>
      </c>
      <c r="E227" s="43" t="e">
        <f ca="1">_xll.cfyql_SimpleQuote(D227,,RateTickValue,Permanent,Trigger,ObjectOverwrite)</f>
        <v>#NAME?</v>
      </c>
      <c r="F227" s="42" t="e">
        <f ca="1">_xll.ohRangeRetrieveError(E227)</f>
        <v>#NAME?</v>
      </c>
      <c r="G227" s="36"/>
      <c r="H227" s="161"/>
      <c r="I227" s="112"/>
      <c r="J227" s="137" t="s">
        <v>49</v>
      </c>
      <c r="K227" s="137" t="str">
        <f t="shared" si="28"/>
        <v>13F</v>
      </c>
      <c r="L227" s="139" t="str">
        <f t="shared" si="26"/>
        <v>EUR13F7Y</v>
      </c>
      <c r="M227" s="139" t="str">
        <v>EUR13F7Y=ICAP</v>
      </c>
      <c r="N227" s="78">
        <v>2.089</v>
      </c>
      <c r="O227" s="111"/>
      <c r="P227" s="78">
        <v>2.089</v>
      </c>
      <c r="Q227" s="111"/>
      <c r="R227" s="78">
        <v>2.089</v>
      </c>
      <c r="S227" s="78" t="e">
        <f ca="1">_xll.cfyql_SimpleQuoteSetValue(E227,R227/100,Trigger)</f>
        <v>#NAME?</v>
      </c>
      <c r="T227" s="129"/>
      <c r="V227" s="160"/>
    </row>
    <row r="228" spans="1:22" x14ac:dyDescent="0.2">
      <c r="A228" s="134"/>
      <c r="B228" s="45" t="str">
        <f t="shared" si="23"/>
        <v>8Y</v>
      </c>
      <c r="C228" s="45" t="str">
        <f t="shared" si="24"/>
        <v>13F</v>
      </c>
      <c r="D228" s="43" t="str">
        <f t="shared" si="25"/>
        <v>EUR13F8Y_Quote</v>
      </c>
      <c r="E228" s="43" t="e">
        <f ca="1">_xll.cfyql_SimpleQuote(D228,,RateTickValue,Permanent,Trigger,ObjectOverwrite)</f>
        <v>#NAME?</v>
      </c>
      <c r="F228" s="42" t="e">
        <f ca="1">_xll.ohRangeRetrieveError(E228)</f>
        <v>#NAME?</v>
      </c>
      <c r="G228" s="36"/>
      <c r="H228" s="161"/>
      <c r="I228" s="112"/>
      <c r="J228" s="137" t="s">
        <v>48</v>
      </c>
      <c r="K228" s="137" t="str">
        <f t="shared" si="28"/>
        <v>13F</v>
      </c>
      <c r="L228" s="139" t="str">
        <f t="shared" si="26"/>
        <v>EUR13F8Y</v>
      </c>
      <c r="M228" s="139" t="str">
        <v>EUR13F8Y=ICAP</v>
      </c>
      <c r="N228" s="78">
        <v>2.0569999999999999</v>
      </c>
      <c r="O228" s="111"/>
      <c r="P228" s="78">
        <v>2.0569999999999999</v>
      </c>
      <c r="Q228" s="111"/>
      <c r="R228" s="78">
        <v>2.0569999999999999</v>
      </c>
      <c r="S228" s="78" t="e">
        <f ca="1">_xll.cfyql_SimpleQuoteSetValue(E228,R228/100,Trigger)</f>
        <v>#NAME?</v>
      </c>
      <c r="T228" s="129"/>
      <c r="V228" s="160"/>
    </row>
    <row r="229" spans="1:22" x14ac:dyDescent="0.2">
      <c r="A229" s="134"/>
      <c r="B229" s="45" t="str">
        <f t="shared" si="23"/>
        <v>9Y</v>
      </c>
      <c r="C229" s="45" t="str">
        <f t="shared" si="24"/>
        <v>13F</v>
      </c>
      <c r="D229" s="43" t="str">
        <f t="shared" si="25"/>
        <v>EUR13F9Y_Quote</v>
      </c>
      <c r="E229" s="43" t="e">
        <f ca="1">_xll.cfyql_SimpleQuote(D229,,RateTickValue,Permanent,Trigger,ObjectOverwrite)</f>
        <v>#NAME?</v>
      </c>
      <c r="F229" s="42" t="e">
        <f ca="1">_xll.ohRangeRetrieveError(E229)</f>
        <v>#NAME?</v>
      </c>
      <c r="G229" s="36"/>
      <c r="H229" s="161"/>
      <c r="I229" s="112"/>
      <c r="J229" s="137" t="s">
        <v>47</v>
      </c>
      <c r="K229" s="137" t="str">
        <f t="shared" si="28"/>
        <v>13F</v>
      </c>
      <c r="L229" s="139" t="str">
        <f t="shared" si="26"/>
        <v>EUR13F9Y</v>
      </c>
      <c r="M229" s="139" t="str">
        <v>EUR13F9Y=ICAP</v>
      </c>
      <c r="N229" s="78">
        <v>2.0270000000000001</v>
      </c>
      <c r="O229" s="111"/>
      <c r="P229" s="78">
        <v>2.0270000000000001</v>
      </c>
      <c r="Q229" s="111"/>
      <c r="R229" s="78">
        <v>2.0270000000000001</v>
      </c>
      <c r="S229" s="78" t="e">
        <f ca="1">_xll.cfyql_SimpleQuoteSetValue(E229,R229/100,Trigger)</f>
        <v>#NAME?</v>
      </c>
      <c r="T229" s="129"/>
      <c r="V229" s="160"/>
    </row>
    <row r="230" spans="1:22" x14ac:dyDescent="0.2">
      <c r="A230" s="134"/>
      <c r="B230" s="45" t="str">
        <f t="shared" si="23"/>
        <v>10Y</v>
      </c>
      <c r="C230" s="45" t="str">
        <f t="shared" si="24"/>
        <v>13F</v>
      </c>
      <c r="D230" s="43" t="str">
        <f t="shared" si="25"/>
        <v>EUR13F10Y_Quote</v>
      </c>
      <c r="E230" s="43" t="e">
        <f ca="1">_xll.cfyql_SimpleQuote(D230,,RateTickValue,Permanent,Trigger,ObjectOverwrite)</f>
        <v>#NAME?</v>
      </c>
      <c r="F230" s="42" t="e">
        <f ca="1">_xll.ohRangeRetrieveError(E230)</f>
        <v>#NAME?</v>
      </c>
      <c r="G230" s="36"/>
      <c r="H230" s="161"/>
      <c r="I230" s="112"/>
      <c r="J230" s="137" t="s">
        <v>46</v>
      </c>
      <c r="K230" s="137" t="str">
        <f t="shared" si="28"/>
        <v>13F</v>
      </c>
      <c r="L230" s="139" t="str">
        <f t="shared" si="26"/>
        <v>EUR13F10Y</v>
      </c>
      <c r="M230" s="139" t="str">
        <v>EUR13F10Y=ICAP</v>
      </c>
      <c r="N230" s="78">
        <v>1.9929999999999999</v>
      </c>
      <c r="O230" s="111"/>
      <c r="P230" s="78">
        <v>1.9929999999999999</v>
      </c>
      <c r="Q230" s="111"/>
      <c r="R230" s="78">
        <v>1.9929999999999999</v>
      </c>
      <c r="S230" s="78" t="e">
        <f ca="1">_xll.cfyql_SimpleQuoteSetValue(E230,R230/100,Trigger)</f>
        <v>#NAME?</v>
      </c>
      <c r="T230" s="129"/>
      <c r="V230" s="160"/>
    </row>
    <row r="231" spans="1:22" x14ac:dyDescent="0.2">
      <c r="A231" s="134"/>
      <c r="B231" s="45" t="str">
        <f t="shared" si="23"/>
        <v>11Y</v>
      </c>
      <c r="C231" s="45" t="str">
        <f t="shared" si="24"/>
        <v>13F</v>
      </c>
      <c r="D231" s="43" t="str">
        <f t="shared" si="25"/>
        <v>EUR13F11Y_Quote</v>
      </c>
      <c r="E231" s="43" t="e">
        <f ca="1">_xll.cfyql_SimpleQuote(D231,,RateTickValue,Permanent,Trigger,ObjectOverwrite)</f>
        <v>#NAME?</v>
      </c>
      <c r="F231" s="42" t="e">
        <f ca="1">_xll.ohRangeRetrieveError(E231)</f>
        <v>#NAME?</v>
      </c>
      <c r="G231" s="36"/>
      <c r="H231" s="161"/>
      <c r="I231" s="112"/>
      <c r="J231" s="137" t="s">
        <v>45</v>
      </c>
      <c r="K231" s="137" t="str">
        <f t="shared" si="28"/>
        <v>13F</v>
      </c>
      <c r="L231" s="139" t="str">
        <f t="shared" si="26"/>
        <v>EUR13F11Y</v>
      </c>
      <c r="M231" s="139" t="str">
        <v>EUR13F11Y=ICAP</v>
      </c>
      <c r="N231" s="78">
        <v>1.9630000000000001</v>
      </c>
      <c r="O231" s="111"/>
      <c r="P231" s="78">
        <v>1.9630000000000001</v>
      </c>
      <c r="Q231" s="111"/>
      <c r="R231" s="78">
        <v>1.9630000000000001</v>
      </c>
      <c r="S231" s="78" t="e">
        <f ca="1">_xll.cfyql_SimpleQuoteSetValue(E231,R231/100,Trigger)</f>
        <v>#NAME?</v>
      </c>
      <c r="T231" s="129"/>
      <c r="V231" s="160"/>
    </row>
    <row r="232" spans="1:22" x14ac:dyDescent="0.2">
      <c r="A232" s="134"/>
      <c r="B232" s="45" t="str">
        <f t="shared" si="23"/>
        <v>12Y</v>
      </c>
      <c r="C232" s="45" t="str">
        <f t="shared" si="24"/>
        <v>13F</v>
      </c>
      <c r="D232" s="43" t="str">
        <f t="shared" si="25"/>
        <v>EUR13F12Y_Quote</v>
      </c>
      <c r="E232" s="43" t="e">
        <f ca="1">_xll.cfyql_SimpleQuote(D232,,RateTickValue,Permanent,Trigger,ObjectOverwrite)</f>
        <v>#NAME?</v>
      </c>
      <c r="F232" s="42" t="e">
        <f ca="1">_xll.ohRangeRetrieveError(E232)</f>
        <v>#NAME?</v>
      </c>
      <c r="G232" s="36"/>
      <c r="H232" s="161"/>
      <c r="I232" s="112"/>
      <c r="J232" s="137" t="s">
        <v>44</v>
      </c>
      <c r="K232" s="137" t="str">
        <f t="shared" si="28"/>
        <v>13F</v>
      </c>
      <c r="L232" s="139" t="str">
        <f t="shared" si="26"/>
        <v>EUR13F12Y</v>
      </c>
      <c r="M232" s="139" t="str">
        <v>EUR13F12Y=ICAP</v>
      </c>
      <c r="N232" s="78">
        <v>1.9339999999999999</v>
      </c>
      <c r="O232" s="111"/>
      <c r="P232" s="78">
        <v>1.9339999999999999</v>
      </c>
      <c r="Q232" s="111"/>
      <c r="R232" s="78">
        <v>1.9339999999999999</v>
      </c>
      <c r="S232" s="78" t="e">
        <f ca="1">_xll.cfyql_SimpleQuoteSetValue(E232,R232/100,Trigger)</f>
        <v>#NAME?</v>
      </c>
      <c r="T232" s="129"/>
      <c r="V232" s="160"/>
    </row>
    <row r="233" spans="1:22" x14ac:dyDescent="0.2">
      <c r="A233" s="134"/>
      <c r="B233" s="45" t="str">
        <f t="shared" si="23"/>
        <v>13Y</v>
      </c>
      <c r="C233" s="45" t="str">
        <f t="shared" si="24"/>
        <v>13F</v>
      </c>
      <c r="D233" s="43" t="str">
        <f t="shared" si="25"/>
        <v>EUR13F13Y_Quote</v>
      </c>
      <c r="E233" s="43" t="e">
        <f ca="1">_xll.cfyql_SimpleQuote(D233,,RateTickValue,Permanent,Trigger,ObjectOverwrite)</f>
        <v>#NAME?</v>
      </c>
      <c r="F233" s="42" t="e">
        <f ca="1">_xll.ohRangeRetrieveError(E233)</f>
        <v>#NAME?</v>
      </c>
      <c r="G233" s="36"/>
      <c r="H233" s="161"/>
      <c r="I233" s="112"/>
      <c r="J233" s="137" t="s">
        <v>43</v>
      </c>
      <c r="K233" s="137" t="str">
        <f t="shared" si="28"/>
        <v>13F</v>
      </c>
      <c r="L233" s="139" t="str">
        <f t="shared" si="26"/>
        <v>EUR13F13Y</v>
      </c>
      <c r="M233" s="139" t="str">
        <v>EUR13F13Y=ICAP</v>
      </c>
      <c r="N233" s="78">
        <v>1.9079999999999999</v>
      </c>
      <c r="O233" s="111"/>
      <c r="P233" s="78">
        <v>1.9079999999999999</v>
      </c>
      <c r="Q233" s="111"/>
      <c r="R233" s="78">
        <v>1.9079999999999999</v>
      </c>
      <c r="S233" s="78" t="e">
        <f ca="1">_xll.cfyql_SimpleQuoteSetValue(E233,R233/100,Trigger)</f>
        <v>#NAME?</v>
      </c>
      <c r="T233" s="129"/>
      <c r="V233" s="160"/>
    </row>
    <row r="234" spans="1:22" x14ac:dyDescent="0.2">
      <c r="A234" s="134"/>
      <c r="B234" s="45" t="str">
        <f t="shared" si="23"/>
        <v>14Y</v>
      </c>
      <c r="C234" s="45" t="str">
        <f t="shared" si="24"/>
        <v>13F</v>
      </c>
      <c r="D234" s="43" t="str">
        <f t="shared" si="25"/>
        <v>EUR13F14Y_Quote</v>
      </c>
      <c r="E234" s="43" t="e">
        <f ca="1">_xll.cfyql_SimpleQuote(D234,,RateTickValue,Permanent,Trigger,ObjectOverwrite)</f>
        <v>#NAME?</v>
      </c>
      <c r="F234" s="42" t="e">
        <f ca="1">_xll.ohRangeRetrieveError(E234)</f>
        <v>#NAME?</v>
      </c>
      <c r="G234" s="36"/>
      <c r="H234" s="161"/>
      <c r="I234" s="112"/>
      <c r="J234" s="137" t="s">
        <v>42</v>
      </c>
      <c r="K234" s="137" t="str">
        <f t="shared" si="28"/>
        <v>13F</v>
      </c>
      <c r="L234" s="139" t="str">
        <f t="shared" si="26"/>
        <v>EUR13F14Y</v>
      </c>
      <c r="M234" s="139" t="str">
        <v>EUR13F14Y=ICAP</v>
      </c>
      <c r="N234" s="78">
        <v>1.885</v>
      </c>
      <c r="O234" s="111"/>
      <c r="P234" s="78">
        <v>1.885</v>
      </c>
      <c r="Q234" s="111"/>
      <c r="R234" s="78">
        <v>1.885</v>
      </c>
      <c r="S234" s="78" t="e">
        <f ca="1">_xll.cfyql_SimpleQuoteSetValue(E234,R234/100,Trigger)</f>
        <v>#NAME?</v>
      </c>
      <c r="T234" s="129"/>
      <c r="V234" s="160"/>
    </row>
    <row r="235" spans="1:22" x14ac:dyDescent="0.2">
      <c r="A235" s="134"/>
      <c r="B235" s="45" t="str">
        <f t="shared" si="23"/>
        <v>15Y</v>
      </c>
      <c r="C235" s="45" t="str">
        <f t="shared" si="24"/>
        <v>13F</v>
      </c>
      <c r="D235" s="43" t="str">
        <f t="shared" si="25"/>
        <v>EUR13F15Y_Quote</v>
      </c>
      <c r="E235" s="43" t="e">
        <f ca="1">_xll.cfyql_SimpleQuote(D235,,RateTickValue,Permanent,Trigger,ObjectOverwrite)</f>
        <v>#NAME?</v>
      </c>
      <c r="F235" s="42" t="e">
        <f ca="1">_xll.ohRangeRetrieveError(E235)</f>
        <v>#NAME?</v>
      </c>
      <c r="G235" s="36"/>
      <c r="H235" s="161"/>
      <c r="I235" s="112"/>
      <c r="J235" s="137" t="s">
        <v>41</v>
      </c>
      <c r="K235" s="137" t="str">
        <f t="shared" si="28"/>
        <v>13F</v>
      </c>
      <c r="L235" s="139" t="str">
        <f t="shared" si="26"/>
        <v>EUR13F15Y</v>
      </c>
      <c r="M235" s="139" t="str">
        <v>EUR13F15Y=ICAP</v>
      </c>
      <c r="N235" s="78">
        <v>1.8660000000000001</v>
      </c>
      <c r="O235" s="111"/>
      <c r="P235" s="78">
        <v>1.8660000000000001</v>
      </c>
      <c r="Q235" s="111"/>
      <c r="R235" s="78">
        <v>1.8660000000000001</v>
      </c>
      <c r="S235" s="78" t="e">
        <f ca="1">_xll.cfyql_SimpleQuoteSetValue(E235,R235/100,Trigger)</f>
        <v>#NAME?</v>
      </c>
      <c r="T235" s="129"/>
      <c r="V235" s="160"/>
    </row>
    <row r="236" spans="1:22" x14ac:dyDescent="0.2">
      <c r="A236" s="134"/>
      <c r="B236" s="45" t="str">
        <f t="shared" si="23"/>
        <v>20Y</v>
      </c>
      <c r="C236" s="45" t="str">
        <f t="shared" si="24"/>
        <v>13F</v>
      </c>
      <c r="D236" s="43" t="str">
        <f t="shared" si="25"/>
        <v>EUR13F20Y_Quote</v>
      </c>
      <c r="E236" s="43" t="e">
        <f ca="1">_xll.cfyql_SimpleQuote(D236,,RateTickValue,Permanent,Trigger,ObjectOverwrite)</f>
        <v>#NAME?</v>
      </c>
      <c r="F236" s="42" t="e">
        <f ca="1">_xll.ohRangeRetrieveError(E236)</f>
        <v>#NAME?</v>
      </c>
      <c r="G236" s="36"/>
      <c r="H236" s="161"/>
      <c r="I236" s="112"/>
      <c r="J236" s="137" t="s">
        <v>36</v>
      </c>
      <c r="K236" s="137" t="str">
        <f t="shared" si="28"/>
        <v>13F</v>
      </c>
      <c r="L236" s="139" t="str">
        <f t="shared" si="26"/>
        <v>EUR13F20Y</v>
      </c>
      <c r="M236" s="139" t="str">
        <v>EUR13F20Y=ICAP</v>
      </c>
      <c r="N236" s="78">
        <v>1.8</v>
      </c>
      <c r="O236" s="111"/>
      <c r="P236" s="78">
        <v>1.8</v>
      </c>
      <c r="Q236" s="111"/>
      <c r="R236" s="78">
        <v>1.8</v>
      </c>
      <c r="S236" s="78" t="e">
        <f ca="1">_xll.cfyql_SimpleQuoteSetValue(E236,R236/100,Trigger)</f>
        <v>#NAME?</v>
      </c>
      <c r="T236" s="129"/>
      <c r="V236" s="160"/>
    </row>
    <row r="237" spans="1:22" x14ac:dyDescent="0.2">
      <c r="A237" s="134"/>
      <c r="B237" s="45" t="str">
        <f t="shared" si="23"/>
        <v>25Y</v>
      </c>
      <c r="C237" s="45" t="str">
        <f t="shared" si="24"/>
        <v>13F</v>
      </c>
      <c r="D237" s="43" t="str">
        <f t="shared" si="25"/>
        <v>EUR13F25Y_Quote</v>
      </c>
      <c r="E237" s="43" t="e">
        <f ca="1">_xll.cfyql_SimpleQuote(D237,,RateTickValue,Permanent,Trigger,ObjectOverwrite)</f>
        <v>#NAME?</v>
      </c>
      <c r="F237" s="42" t="e">
        <f ca="1">_xll.ohRangeRetrieveError(E237)</f>
        <v>#NAME?</v>
      </c>
      <c r="G237" s="36"/>
      <c r="H237" s="161"/>
      <c r="I237" s="112"/>
      <c r="J237" s="137" t="s">
        <v>31</v>
      </c>
      <c r="K237" s="137" t="str">
        <f t="shared" si="28"/>
        <v>13F</v>
      </c>
      <c r="L237" s="139" t="str">
        <f t="shared" si="26"/>
        <v>EUR13F25Y</v>
      </c>
      <c r="M237" s="139" t="str">
        <v>EUR13F25Y=ICAP</v>
      </c>
      <c r="N237" s="78">
        <v>1.7570000000000001</v>
      </c>
      <c r="O237" s="111"/>
      <c r="P237" s="78">
        <v>1.7570000000000001</v>
      </c>
      <c r="Q237" s="111"/>
      <c r="R237" s="78">
        <v>1.7570000000000001</v>
      </c>
      <c r="S237" s="78" t="e">
        <f ca="1">_xll.cfyql_SimpleQuoteSetValue(E237,R237/100,Trigger)</f>
        <v>#NAME?</v>
      </c>
      <c r="T237" s="129"/>
      <c r="V237" s="160"/>
    </row>
    <row r="238" spans="1:22" x14ac:dyDescent="0.2">
      <c r="A238" s="134"/>
      <c r="B238" s="45" t="str">
        <f t="shared" si="23"/>
        <v>30Y</v>
      </c>
      <c r="C238" s="45" t="str">
        <f t="shared" si="24"/>
        <v>13F</v>
      </c>
      <c r="D238" s="43" t="str">
        <f t="shared" si="25"/>
        <v>EUR13F30Y_Quote</v>
      </c>
      <c r="E238" s="43" t="e">
        <f ca="1">_xll.cfyql_SimpleQuote(D238,,RateTickValue,Permanent,Trigger,ObjectOverwrite)</f>
        <v>#NAME?</v>
      </c>
      <c r="F238" s="42" t="e">
        <f ca="1">_xll.ohRangeRetrieveError(E238)</f>
        <v>#NAME?</v>
      </c>
      <c r="G238" s="36"/>
      <c r="H238" s="161"/>
      <c r="I238" s="112"/>
      <c r="J238" s="130" t="s">
        <v>26</v>
      </c>
      <c r="K238" s="130" t="str">
        <f t="shared" si="28"/>
        <v>13F</v>
      </c>
      <c r="L238" s="132" t="str">
        <f t="shared" si="26"/>
        <v>EUR13F30Y</v>
      </c>
      <c r="M238" s="132" t="str">
        <v>EUR13F30Y=ICAP</v>
      </c>
      <c r="N238" s="65">
        <v>1.71</v>
      </c>
      <c r="O238" s="111"/>
      <c r="P238" s="65">
        <v>1.71</v>
      </c>
      <c r="Q238" s="111"/>
      <c r="R238" s="65">
        <v>1.71</v>
      </c>
      <c r="S238" s="65" t="e">
        <f ca="1">_xll.cfyql_SimpleQuoteSetValue(E238,R238/100,Trigger)</f>
        <v>#NAME?</v>
      </c>
      <c r="T238" s="129"/>
      <c r="V238" s="160"/>
    </row>
    <row r="239" spans="1:22" x14ac:dyDescent="0.2">
      <c r="A239" s="134"/>
      <c r="B239" s="45" t="str">
        <f t="shared" si="23"/>
        <v>1Y</v>
      </c>
      <c r="C239" s="45" t="str">
        <f t="shared" si="24"/>
        <v>14F</v>
      </c>
      <c r="D239" s="43" t="str">
        <f t="shared" si="25"/>
        <v>EUR14F1Y_Quote</v>
      </c>
      <c r="E239" s="43" t="e">
        <f ca="1">_xll.cfyql_SimpleQuote(D239,,RateTickValue,Permanent,Trigger,ObjectOverwrite)</f>
        <v>#NAME?</v>
      </c>
      <c r="F239" s="42" t="e">
        <f ca="1">_xll.ohRangeRetrieveError(E239)</f>
        <v>#NAME?</v>
      </c>
      <c r="G239" s="36"/>
      <c r="H239" s="161"/>
      <c r="I239" s="134">
        <v>14</v>
      </c>
      <c r="J239" s="163" t="s">
        <v>58</v>
      </c>
      <c r="K239" s="163" t="str">
        <f t="shared" ref="K239:K256" si="29">$I$239&amp;"F"</f>
        <v>14F</v>
      </c>
      <c r="L239" s="162" t="str">
        <f t="shared" si="26"/>
        <v>EUR14F1Y</v>
      </c>
      <c r="M239" s="162" t="str">
        <v>EUR14F1Y=ICAP</v>
      </c>
      <c r="N239" s="89">
        <v>2.1880000000000002</v>
      </c>
      <c r="O239" s="111"/>
      <c r="P239" s="89">
        <v>2.1880000000000002</v>
      </c>
      <c r="Q239" s="111"/>
      <c r="R239" s="89">
        <v>2.1880000000000002</v>
      </c>
      <c r="S239" s="89" t="e">
        <f ca="1">_xll.cfyql_SimpleQuoteSetValue(E239,R239/100,Trigger)</f>
        <v>#NAME?</v>
      </c>
      <c r="T239" s="129"/>
      <c r="V239" s="160"/>
    </row>
    <row r="240" spans="1:22" x14ac:dyDescent="0.2">
      <c r="A240" s="134"/>
      <c r="B240" s="45" t="str">
        <f t="shared" si="23"/>
        <v>2Y</v>
      </c>
      <c r="C240" s="45" t="str">
        <f t="shared" si="24"/>
        <v>14F</v>
      </c>
      <c r="D240" s="43" t="str">
        <f t="shared" si="25"/>
        <v>EUR14F2Y_Quote</v>
      </c>
      <c r="E240" s="43" t="e">
        <f ca="1">_xll.cfyql_SimpleQuote(D240,,RateTickValue,Permanent,Trigger,ObjectOverwrite)</f>
        <v>#NAME?</v>
      </c>
      <c r="F240" s="42" t="e">
        <f ca="1">_xll.ohRangeRetrieveError(E240)</f>
        <v>#NAME?</v>
      </c>
      <c r="G240" s="36"/>
      <c r="H240" s="161"/>
      <c r="I240" s="112"/>
      <c r="J240" s="137" t="s">
        <v>54</v>
      </c>
      <c r="K240" s="137" t="str">
        <f t="shared" si="29"/>
        <v>14F</v>
      </c>
      <c r="L240" s="139" t="str">
        <f t="shared" si="26"/>
        <v>EUR14F2Y</v>
      </c>
      <c r="M240" s="139" t="str">
        <v>EUR14F2Y=ICAP</v>
      </c>
      <c r="N240" s="78">
        <v>2.17</v>
      </c>
      <c r="O240" s="111"/>
      <c r="P240" s="78">
        <v>2.17</v>
      </c>
      <c r="Q240" s="111"/>
      <c r="R240" s="78">
        <v>2.17</v>
      </c>
      <c r="S240" s="78" t="e">
        <f ca="1">_xll.cfyql_SimpleQuoteSetValue(E240,R240/100,Trigger)</f>
        <v>#NAME?</v>
      </c>
      <c r="T240" s="129"/>
      <c r="V240" s="160"/>
    </row>
    <row r="241" spans="1:22" x14ac:dyDescent="0.2">
      <c r="A241" s="134"/>
      <c r="B241" s="45" t="str">
        <f t="shared" si="23"/>
        <v>3Y</v>
      </c>
      <c r="C241" s="45" t="str">
        <f t="shared" si="24"/>
        <v>14F</v>
      </c>
      <c r="D241" s="43" t="str">
        <f t="shared" si="25"/>
        <v>EUR14F3Y_Quote</v>
      </c>
      <c r="E241" s="43" t="e">
        <f ca="1">_xll.cfyql_SimpleQuote(D241,,RateTickValue,Permanent,Trigger,ObjectOverwrite)</f>
        <v>#NAME?</v>
      </c>
      <c r="F241" s="42" t="e">
        <f ca="1">_xll.ohRangeRetrieveError(E241)</f>
        <v>#NAME?</v>
      </c>
      <c r="G241" s="36"/>
      <c r="H241" s="161"/>
      <c r="I241" s="112"/>
      <c r="J241" s="137" t="s">
        <v>53</v>
      </c>
      <c r="K241" s="137" t="str">
        <f t="shared" si="29"/>
        <v>14F</v>
      </c>
      <c r="L241" s="139" t="str">
        <f t="shared" si="26"/>
        <v>EUR14F3Y</v>
      </c>
      <c r="M241" s="139" t="str">
        <v>EUR14F3Y=ICAP</v>
      </c>
      <c r="N241" s="78">
        <v>2.1589999999999998</v>
      </c>
      <c r="O241" s="111"/>
      <c r="P241" s="78">
        <v>2.1589999999999998</v>
      </c>
      <c r="Q241" s="111"/>
      <c r="R241" s="78">
        <v>2.1589999999999998</v>
      </c>
      <c r="S241" s="78" t="e">
        <f ca="1">_xll.cfyql_SimpleQuoteSetValue(E241,R241/100,Trigger)</f>
        <v>#NAME?</v>
      </c>
      <c r="T241" s="129"/>
      <c r="V241" s="160"/>
    </row>
    <row r="242" spans="1:22" x14ac:dyDescent="0.2">
      <c r="A242" s="134"/>
      <c r="B242" s="45" t="str">
        <f t="shared" si="23"/>
        <v>4Y</v>
      </c>
      <c r="C242" s="45" t="str">
        <f t="shared" si="24"/>
        <v>14F</v>
      </c>
      <c r="D242" s="43" t="str">
        <f t="shared" si="25"/>
        <v>EUR14F4Y_Quote</v>
      </c>
      <c r="E242" s="43" t="e">
        <f ca="1">_xll.cfyql_SimpleQuote(D242,,RateTickValue,Permanent,Trigger,ObjectOverwrite)</f>
        <v>#NAME?</v>
      </c>
      <c r="F242" s="42" t="e">
        <f ca="1">_xll.ohRangeRetrieveError(E242)</f>
        <v>#NAME?</v>
      </c>
      <c r="G242" s="36"/>
      <c r="H242" s="161"/>
      <c r="I242" s="112"/>
      <c r="J242" s="137" t="s">
        <v>52</v>
      </c>
      <c r="K242" s="137" t="str">
        <f t="shared" si="29"/>
        <v>14F</v>
      </c>
      <c r="L242" s="139" t="str">
        <f t="shared" si="26"/>
        <v>EUR14F4Y</v>
      </c>
      <c r="M242" s="139" t="str">
        <v>EUR14F4Y=ICAP</v>
      </c>
      <c r="N242" s="78">
        <v>2.1320000000000001</v>
      </c>
      <c r="O242" s="111"/>
      <c r="P242" s="78">
        <v>2.1320000000000001</v>
      </c>
      <c r="Q242" s="111"/>
      <c r="R242" s="78">
        <v>2.1320000000000001</v>
      </c>
      <c r="S242" s="78" t="e">
        <f ca="1">_xll.cfyql_SimpleQuoteSetValue(E242,R242/100,Trigger)</f>
        <v>#NAME?</v>
      </c>
      <c r="T242" s="129"/>
      <c r="V242" s="160"/>
    </row>
    <row r="243" spans="1:22" x14ac:dyDescent="0.2">
      <c r="A243" s="134"/>
      <c r="B243" s="45" t="str">
        <f t="shared" si="23"/>
        <v>5Y</v>
      </c>
      <c r="C243" s="45" t="str">
        <f t="shared" si="24"/>
        <v>14F</v>
      </c>
      <c r="D243" s="43" t="str">
        <f t="shared" si="25"/>
        <v>EUR14F5Y_Quote</v>
      </c>
      <c r="E243" s="43" t="e">
        <f ca="1">_xll.cfyql_SimpleQuote(D243,,RateTickValue,Permanent,Trigger,ObjectOverwrite)</f>
        <v>#NAME?</v>
      </c>
      <c r="F243" s="42" t="e">
        <f ca="1">_xll.ohRangeRetrieveError(E243)</f>
        <v>#NAME?</v>
      </c>
      <c r="G243" s="36"/>
      <c r="H243" s="161"/>
      <c r="I243" s="112"/>
      <c r="J243" s="137" t="s">
        <v>51</v>
      </c>
      <c r="K243" s="137" t="str">
        <f t="shared" si="29"/>
        <v>14F</v>
      </c>
      <c r="L243" s="139" t="str">
        <f t="shared" si="26"/>
        <v>EUR14F5Y</v>
      </c>
      <c r="M243" s="139" t="str">
        <v>EUR14F5Y=ICAP</v>
      </c>
      <c r="N243" s="78">
        <v>2.1030000000000002</v>
      </c>
      <c r="O243" s="111"/>
      <c r="P243" s="78">
        <v>2.1030000000000002</v>
      </c>
      <c r="Q243" s="111"/>
      <c r="R243" s="78">
        <v>2.1030000000000002</v>
      </c>
      <c r="S243" s="78" t="e">
        <f ca="1">_xll.cfyql_SimpleQuoteSetValue(E243,R243/100,Trigger)</f>
        <v>#NAME?</v>
      </c>
      <c r="T243" s="129"/>
      <c r="V243" s="160"/>
    </row>
    <row r="244" spans="1:22" x14ac:dyDescent="0.2">
      <c r="A244" s="134"/>
      <c r="B244" s="45" t="str">
        <f t="shared" si="23"/>
        <v>6Y</v>
      </c>
      <c r="C244" s="45" t="str">
        <f t="shared" si="24"/>
        <v>14F</v>
      </c>
      <c r="D244" s="43" t="str">
        <f t="shared" si="25"/>
        <v>EUR14F6Y_Quote</v>
      </c>
      <c r="E244" s="43" t="e">
        <f ca="1">_xll.cfyql_SimpleQuote(D244,,RateTickValue,Permanent,Trigger,ObjectOverwrite)</f>
        <v>#NAME?</v>
      </c>
      <c r="F244" s="42" t="e">
        <f ca="1">_xll.ohRangeRetrieveError(E244)</f>
        <v>#NAME?</v>
      </c>
      <c r="G244" s="36"/>
      <c r="H244" s="161"/>
      <c r="I244" s="112"/>
      <c r="J244" s="137" t="s">
        <v>50</v>
      </c>
      <c r="K244" s="137" t="str">
        <f t="shared" si="29"/>
        <v>14F</v>
      </c>
      <c r="L244" s="139" t="str">
        <f t="shared" si="26"/>
        <v>EUR14F6Y</v>
      </c>
      <c r="M244" s="139" t="str">
        <v>EUR14F6Y=ICAP</v>
      </c>
      <c r="N244" s="78">
        <v>2.0710000000000002</v>
      </c>
      <c r="O244" s="111"/>
      <c r="P244" s="78">
        <v>2.0710000000000002</v>
      </c>
      <c r="Q244" s="111"/>
      <c r="R244" s="78">
        <v>2.0710000000000002</v>
      </c>
      <c r="S244" s="78" t="e">
        <f ca="1">_xll.cfyql_SimpleQuoteSetValue(E244,R244/100,Trigger)</f>
        <v>#NAME?</v>
      </c>
      <c r="T244" s="129"/>
      <c r="V244" s="160"/>
    </row>
    <row r="245" spans="1:22" x14ac:dyDescent="0.2">
      <c r="A245" s="134"/>
      <c r="B245" s="45" t="str">
        <f t="shared" si="23"/>
        <v>7Y</v>
      </c>
      <c r="C245" s="45" t="str">
        <f t="shared" si="24"/>
        <v>14F</v>
      </c>
      <c r="D245" s="43" t="str">
        <f t="shared" si="25"/>
        <v>EUR14F7Y_Quote</v>
      </c>
      <c r="E245" s="43" t="e">
        <f ca="1">_xll.cfyql_SimpleQuote(D245,,RateTickValue,Permanent,Trigger,ObjectOverwrite)</f>
        <v>#NAME?</v>
      </c>
      <c r="F245" s="42" t="e">
        <f ca="1">_xll.ohRangeRetrieveError(E245)</f>
        <v>#NAME?</v>
      </c>
      <c r="G245" s="36"/>
      <c r="H245" s="161"/>
      <c r="I245" s="112"/>
      <c r="J245" s="137" t="s">
        <v>49</v>
      </c>
      <c r="K245" s="137" t="str">
        <f t="shared" si="29"/>
        <v>14F</v>
      </c>
      <c r="L245" s="139" t="str">
        <f t="shared" si="26"/>
        <v>EUR14F7Y</v>
      </c>
      <c r="M245" s="139" t="str">
        <v>EUR14F7Y=ICAP</v>
      </c>
      <c r="N245" s="78">
        <v>2.036</v>
      </c>
      <c r="O245" s="111"/>
      <c r="P245" s="78">
        <v>2.036</v>
      </c>
      <c r="Q245" s="111"/>
      <c r="R245" s="78">
        <v>2.036</v>
      </c>
      <c r="S245" s="78" t="e">
        <f ca="1">_xll.cfyql_SimpleQuoteSetValue(E245,R245/100,Trigger)</f>
        <v>#NAME?</v>
      </c>
      <c r="T245" s="129"/>
      <c r="V245" s="160"/>
    </row>
    <row r="246" spans="1:22" x14ac:dyDescent="0.2">
      <c r="A246" s="134"/>
      <c r="B246" s="45" t="str">
        <f t="shared" si="23"/>
        <v>8Y</v>
      </c>
      <c r="C246" s="45" t="str">
        <f t="shared" si="24"/>
        <v>14F</v>
      </c>
      <c r="D246" s="43" t="str">
        <f t="shared" si="25"/>
        <v>EUR14F8Y_Quote</v>
      </c>
      <c r="E246" s="43" t="e">
        <f ca="1">_xll.cfyql_SimpleQuote(D246,,RateTickValue,Permanent,Trigger,ObjectOverwrite)</f>
        <v>#NAME?</v>
      </c>
      <c r="F246" s="42" t="e">
        <f ca="1">_xll.ohRangeRetrieveError(E246)</f>
        <v>#NAME?</v>
      </c>
      <c r="G246" s="36"/>
      <c r="H246" s="161"/>
      <c r="I246" s="112"/>
      <c r="J246" s="137" t="s">
        <v>48</v>
      </c>
      <c r="K246" s="137" t="str">
        <f t="shared" si="29"/>
        <v>14F</v>
      </c>
      <c r="L246" s="139" t="str">
        <f t="shared" si="26"/>
        <v>EUR14F8Y</v>
      </c>
      <c r="M246" s="139" t="str">
        <v>EUR14F8Y=ICAP</v>
      </c>
      <c r="N246" s="78">
        <v>2.0049999999999999</v>
      </c>
      <c r="O246" s="111"/>
      <c r="P246" s="78">
        <v>2.0049999999999999</v>
      </c>
      <c r="Q246" s="111"/>
      <c r="R246" s="78">
        <v>2.0049999999999999</v>
      </c>
      <c r="S246" s="78" t="e">
        <f ca="1">_xll.cfyql_SimpleQuoteSetValue(E246,R246/100,Trigger)</f>
        <v>#NAME?</v>
      </c>
      <c r="T246" s="129"/>
      <c r="V246" s="160"/>
    </row>
    <row r="247" spans="1:22" x14ac:dyDescent="0.2">
      <c r="A247" s="134"/>
      <c r="B247" s="45" t="str">
        <f t="shared" si="23"/>
        <v>9Y</v>
      </c>
      <c r="C247" s="45" t="str">
        <f t="shared" si="24"/>
        <v>14F</v>
      </c>
      <c r="D247" s="43" t="str">
        <f t="shared" si="25"/>
        <v>EUR14F9Y_Quote</v>
      </c>
      <c r="E247" s="43" t="e">
        <f ca="1">_xll.cfyql_SimpleQuote(D247,,RateTickValue,Permanent,Trigger,ObjectOverwrite)</f>
        <v>#NAME?</v>
      </c>
      <c r="F247" s="42" t="e">
        <f ca="1">_xll.ohRangeRetrieveError(E247)</f>
        <v>#NAME?</v>
      </c>
      <c r="G247" s="36"/>
      <c r="H247" s="161"/>
      <c r="I247" s="112"/>
      <c r="J247" s="137" t="s">
        <v>47</v>
      </c>
      <c r="K247" s="137" t="str">
        <f t="shared" si="29"/>
        <v>14F</v>
      </c>
      <c r="L247" s="139" t="str">
        <f t="shared" si="26"/>
        <v>EUR14F9Y</v>
      </c>
      <c r="M247" s="139" t="str">
        <v>EUR14F9Y=ICAP</v>
      </c>
      <c r="N247" s="78">
        <v>1.968</v>
      </c>
      <c r="O247" s="111"/>
      <c r="P247" s="78">
        <v>1.968</v>
      </c>
      <c r="Q247" s="111"/>
      <c r="R247" s="78">
        <v>1.968</v>
      </c>
      <c r="S247" s="78" t="e">
        <f ca="1">_xll.cfyql_SimpleQuoteSetValue(E247,R247/100,Trigger)</f>
        <v>#NAME?</v>
      </c>
      <c r="T247" s="129"/>
      <c r="V247" s="160"/>
    </row>
    <row r="248" spans="1:22" x14ac:dyDescent="0.2">
      <c r="A248" s="134"/>
      <c r="B248" s="45" t="str">
        <f t="shared" si="23"/>
        <v>10Y</v>
      </c>
      <c r="C248" s="45" t="str">
        <f t="shared" si="24"/>
        <v>14F</v>
      </c>
      <c r="D248" s="43" t="str">
        <f t="shared" si="25"/>
        <v>EUR14F10Y_Quote</v>
      </c>
      <c r="E248" s="43" t="e">
        <f ca="1">_xll.cfyql_SimpleQuote(D248,,RateTickValue,Permanent,Trigger,ObjectOverwrite)</f>
        <v>#NAME?</v>
      </c>
      <c r="F248" s="42" t="e">
        <f ca="1">_xll.ohRangeRetrieveError(E248)</f>
        <v>#NAME?</v>
      </c>
      <c r="G248" s="36"/>
      <c r="H248" s="161"/>
      <c r="I248" s="112"/>
      <c r="J248" s="137" t="s">
        <v>46</v>
      </c>
      <c r="K248" s="137" t="str">
        <f t="shared" si="29"/>
        <v>14F</v>
      </c>
      <c r="L248" s="139" t="str">
        <f t="shared" si="26"/>
        <v>EUR14F10Y</v>
      </c>
      <c r="M248" s="139" t="str">
        <v>EUR14F10Y=ICAP</v>
      </c>
      <c r="N248" s="78">
        <v>1.9369999999999998</v>
      </c>
      <c r="O248" s="111"/>
      <c r="P248" s="78">
        <v>1.9369999999999998</v>
      </c>
      <c r="Q248" s="111"/>
      <c r="R248" s="78">
        <v>1.9369999999999998</v>
      </c>
      <c r="S248" s="78" t="e">
        <f ca="1">_xll.cfyql_SimpleQuoteSetValue(E248,R248/100,Trigger)</f>
        <v>#NAME?</v>
      </c>
      <c r="T248" s="129"/>
      <c r="V248" s="160"/>
    </row>
    <row r="249" spans="1:22" x14ac:dyDescent="0.2">
      <c r="A249" s="134"/>
      <c r="B249" s="45" t="str">
        <f t="shared" si="23"/>
        <v>11Y</v>
      </c>
      <c r="C249" s="45" t="str">
        <f t="shared" si="24"/>
        <v>14F</v>
      </c>
      <c r="D249" s="43" t="str">
        <f t="shared" si="25"/>
        <v>EUR14F11Y_Quote</v>
      </c>
      <c r="E249" s="43" t="e">
        <f ca="1">_xll.cfyql_SimpleQuote(D249,,RateTickValue,Permanent,Trigger,ObjectOverwrite)</f>
        <v>#NAME?</v>
      </c>
      <c r="F249" s="42" t="e">
        <f ca="1">_xll.ohRangeRetrieveError(E249)</f>
        <v>#NAME?</v>
      </c>
      <c r="G249" s="36"/>
      <c r="H249" s="161"/>
      <c r="I249" s="112"/>
      <c r="J249" s="137" t="s">
        <v>45</v>
      </c>
      <c r="K249" s="137" t="str">
        <f t="shared" si="29"/>
        <v>14F</v>
      </c>
      <c r="L249" s="139" t="str">
        <f t="shared" si="26"/>
        <v>EUR14F11Y</v>
      </c>
      <c r="M249" s="139" t="str">
        <v>EUR14F11Y=ICAP</v>
      </c>
      <c r="N249" s="78">
        <v>1.9079999999999999</v>
      </c>
      <c r="O249" s="111"/>
      <c r="P249" s="78">
        <v>1.9079999999999999</v>
      </c>
      <c r="Q249" s="111"/>
      <c r="R249" s="78">
        <v>1.9079999999999999</v>
      </c>
      <c r="S249" s="78" t="e">
        <f ca="1">_xll.cfyql_SimpleQuoteSetValue(E249,R249/100,Trigger)</f>
        <v>#NAME?</v>
      </c>
      <c r="T249" s="129"/>
      <c r="V249" s="160"/>
    </row>
    <row r="250" spans="1:22" x14ac:dyDescent="0.2">
      <c r="A250" s="134"/>
      <c r="B250" s="45" t="str">
        <f t="shared" si="23"/>
        <v>12Y</v>
      </c>
      <c r="C250" s="45" t="str">
        <f t="shared" si="24"/>
        <v>14F</v>
      </c>
      <c r="D250" s="43" t="str">
        <f t="shared" si="25"/>
        <v>EUR14F12Y_Quote</v>
      </c>
      <c r="E250" s="43" t="e">
        <f ca="1">_xll.cfyql_SimpleQuote(D250,,RateTickValue,Permanent,Trigger,ObjectOverwrite)</f>
        <v>#NAME?</v>
      </c>
      <c r="F250" s="42" t="e">
        <f ca="1">_xll.ohRangeRetrieveError(E250)</f>
        <v>#NAME?</v>
      </c>
      <c r="G250" s="36"/>
      <c r="H250" s="161"/>
      <c r="I250" s="112"/>
      <c r="J250" s="137" t="s">
        <v>44</v>
      </c>
      <c r="K250" s="137" t="str">
        <f t="shared" si="29"/>
        <v>14F</v>
      </c>
      <c r="L250" s="139" t="str">
        <f t="shared" si="26"/>
        <v>EUR14F12Y</v>
      </c>
      <c r="M250" s="139" t="str">
        <v>EUR14F12Y=ICAP</v>
      </c>
      <c r="N250" s="78">
        <v>1.881</v>
      </c>
      <c r="O250" s="111"/>
      <c r="P250" s="78">
        <v>1.881</v>
      </c>
      <c r="Q250" s="111"/>
      <c r="R250" s="78">
        <v>1.881</v>
      </c>
      <c r="S250" s="78" t="e">
        <f ca="1">_xll.cfyql_SimpleQuoteSetValue(E250,R250/100,Trigger)</f>
        <v>#NAME?</v>
      </c>
      <c r="T250" s="129"/>
      <c r="V250" s="160"/>
    </row>
    <row r="251" spans="1:22" x14ac:dyDescent="0.2">
      <c r="A251" s="134"/>
      <c r="B251" s="45" t="str">
        <f t="shared" si="23"/>
        <v>13Y</v>
      </c>
      <c r="C251" s="45" t="str">
        <f t="shared" si="24"/>
        <v>14F</v>
      </c>
      <c r="D251" s="43" t="str">
        <f t="shared" si="25"/>
        <v>EUR14F13Y_Quote</v>
      </c>
      <c r="E251" s="43" t="e">
        <f ca="1">_xll.cfyql_SimpleQuote(D251,,RateTickValue,Permanent,Trigger,ObjectOverwrite)</f>
        <v>#NAME?</v>
      </c>
      <c r="F251" s="42" t="e">
        <f ca="1">_xll.ohRangeRetrieveError(E251)</f>
        <v>#NAME?</v>
      </c>
      <c r="G251" s="36"/>
      <c r="H251" s="161"/>
      <c r="I251" s="112"/>
      <c r="J251" s="137" t="s">
        <v>43</v>
      </c>
      <c r="K251" s="137" t="str">
        <f t="shared" si="29"/>
        <v>14F</v>
      </c>
      <c r="L251" s="139" t="str">
        <f t="shared" si="26"/>
        <v>EUR14F13Y</v>
      </c>
      <c r="M251" s="139" t="str">
        <v>EUR14F13Y=ICAP</v>
      </c>
      <c r="N251" s="78">
        <v>1.8580000000000001</v>
      </c>
      <c r="O251" s="111"/>
      <c r="P251" s="78">
        <v>1.8580000000000001</v>
      </c>
      <c r="Q251" s="111"/>
      <c r="R251" s="78">
        <v>1.8580000000000001</v>
      </c>
      <c r="S251" s="78" t="e">
        <f ca="1">_xll.cfyql_SimpleQuoteSetValue(E251,R251/100,Trigger)</f>
        <v>#NAME?</v>
      </c>
      <c r="T251" s="129"/>
      <c r="V251" s="160"/>
    </row>
    <row r="252" spans="1:22" x14ac:dyDescent="0.2">
      <c r="A252" s="134"/>
      <c r="B252" s="45" t="str">
        <f t="shared" si="23"/>
        <v>14Y</v>
      </c>
      <c r="C252" s="45" t="str">
        <f t="shared" si="24"/>
        <v>14F</v>
      </c>
      <c r="D252" s="43" t="str">
        <f t="shared" si="25"/>
        <v>EUR14F14Y_Quote</v>
      </c>
      <c r="E252" s="43" t="e">
        <f ca="1">_xll.cfyql_SimpleQuote(D252,,RateTickValue,Permanent,Trigger,ObjectOverwrite)</f>
        <v>#NAME?</v>
      </c>
      <c r="F252" s="42" t="e">
        <f ca="1">_xll.ohRangeRetrieveError(E252)</f>
        <v>#NAME?</v>
      </c>
      <c r="G252" s="36"/>
      <c r="H252" s="161"/>
      <c r="I252" s="112"/>
      <c r="J252" s="137" t="s">
        <v>42</v>
      </c>
      <c r="K252" s="137" t="str">
        <f t="shared" si="29"/>
        <v>14F</v>
      </c>
      <c r="L252" s="139" t="str">
        <f t="shared" si="26"/>
        <v>EUR14F14Y</v>
      </c>
      <c r="M252" s="139" t="str">
        <v>EUR14F14Y=ICAP</v>
      </c>
      <c r="N252" s="78">
        <v>1.839</v>
      </c>
      <c r="O252" s="111"/>
      <c r="P252" s="78">
        <v>1.839</v>
      </c>
      <c r="Q252" s="111"/>
      <c r="R252" s="78">
        <v>1.839</v>
      </c>
      <c r="S252" s="78" t="e">
        <f ca="1">_xll.cfyql_SimpleQuoteSetValue(E252,R252/100,Trigger)</f>
        <v>#NAME?</v>
      </c>
      <c r="T252" s="129"/>
      <c r="V252" s="160"/>
    </row>
    <row r="253" spans="1:22" x14ac:dyDescent="0.2">
      <c r="A253" s="134"/>
      <c r="B253" s="45" t="str">
        <f t="shared" si="23"/>
        <v>15Y</v>
      </c>
      <c r="C253" s="45" t="str">
        <f t="shared" si="24"/>
        <v>14F</v>
      </c>
      <c r="D253" s="43" t="str">
        <f t="shared" si="25"/>
        <v>EUR14F15Y_Quote</v>
      </c>
      <c r="E253" s="43" t="e">
        <f ca="1">_xll.cfyql_SimpleQuote(D253,,RateTickValue,Permanent,Trigger,ObjectOverwrite)</f>
        <v>#NAME?</v>
      </c>
      <c r="F253" s="42" t="e">
        <f ca="1">_xll.ohRangeRetrieveError(E253)</f>
        <v>#NAME?</v>
      </c>
      <c r="G253" s="36"/>
      <c r="H253" s="161"/>
      <c r="I253" s="112"/>
      <c r="J253" s="137" t="s">
        <v>41</v>
      </c>
      <c r="K253" s="137" t="str">
        <f t="shared" si="29"/>
        <v>14F</v>
      </c>
      <c r="L253" s="139" t="str">
        <f t="shared" si="26"/>
        <v>EUR14F15Y</v>
      </c>
      <c r="M253" s="139" t="str">
        <v>EUR14F15Y=ICAP</v>
      </c>
      <c r="N253" s="78">
        <v>1.8199999999999998</v>
      </c>
      <c r="O253" s="111"/>
      <c r="P253" s="78">
        <v>1.8199999999999998</v>
      </c>
      <c r="Q253" s="111"/>
      <c r="R253" s="78">
        <v>1.8199999999999998</v>
      </c>
      <c r="S253" s="78" t="e">
        <f ca="1">_xll.cfyql_SimpleQuoteSetValue(E253,R253/100,Trigger)</f>
        <v>#NAME?</v>
      </c>
      <c r="T253" s="129"/>
      <c r="V253" s="160"/>
    </row>
    <row r="254" spans="1:22" x14ac:dyDescent="0.2">
      <c r="A254" s="134"/>
      <c r="B254" s="45" t="str">
        <f t="shared" si="23"/>
        <v>20Y</v>
      </c>
      <c r="C254" s="45" t="str">
        <f t="shared" si="24"/>
        <v>14F</v>
      </c>
      <c r="D254" s="43" t="str">
        <f t="shared" si="25"/>
        <v>EUR14F20Y_Quote</v>
      </c>
      <c r="E254" s="43" t="e">
        <f ca="1">_xll.cfyql_SimpleQuote(D254,,RateTickValue,Permanent,Trigger,ObjectOverwrite)</f>
        <v>#NAME?</v>
      </c>
      <c r="F254" s="42" t="e">
        <f ca="1">_xll.ohRangeRetrieveError(E254)</f>
        <v>#NAME?</v>
      </c>
      <c r="G254" s="36"/>
      <c r="H254" s="161"/>
      <c r="I254" s="112"/>
      <c r="J254" s="137" t="s">
        <v>36</v>
      </c>
      <c r="K254" s="137" t="str">
        <f t="shared" si="29"/>
        <v>14F</v>
      </c>
      <c r="L254" s="139" t="str">
        <f t="shared" si="26"/>
        <v>EUR14F20Y</v>
      </c>
      <c r="M254" s="139" t="str">
        <v>EUR14F20Y=ICAP</v>
      </c>
      <c r="N254" s="78">
        <v>1.7669999999999999</v>
      </c>
      <c r="O254" s="111"/>
      <c r="P254" s="78">
        <v>1.7669999999999999</v>
      </c>
      <c r="Q254" s="111"/>
      <c r="R254" s="78">
        <v>1.7669999999999999</v>
      </c>
      <c r="S254" s="78" t="e">
        <f ca="1">_xll.cfyql_SimpleQuoteSetValue(E254,R254/100,Trigger)</f>
        <v>#NAME?</v>
      </c>
      <c r="T254" s="129"/>
      <c r="V254" s="160"/>
    </row>
    <row r="255" spans="1:22" x14ac:dyDescent="0.2">
      <c r="A255" s="134"/>
      <c r="B255" s="45" t="str">
        <f t="shared" si="23"/>
        <v>25Y</v>
      </c>
      <c r="C255" s="45" t="str">
        <f t="shared" si="24"/>
        <v>14F</v>
      </c>
      <c r="D255" s="43" t="str">
        <f t="shared" si="25"/>
        <v>EUR14F25Y_Quote</v>
      </c>
      <c r="E255" s="43" t="e">
        <f ca="1">_xll.cfyql_SimpleQuote(D255,,RateTickValue,Permanent,Trigger,ObjectOverwrite)</f>
        <v>#NAME?</v>
      </c>
      <c r="F255" s="42" t="e">
        <f ca="1">_xll.ohRangeRetrieveError(E255)</f>
        <v>#NAME?</v>
      </c>
      <c r="G255" s="36"/>
      <c r="H255" s="161"/>
      <c r="I255" s="112"/>
      <c r="J255" s="137" t="s">
        <v>31</v>
      </c>
      <c r="K255" s="137" t="str">
        <f t="shared" si="29"/>
        <v>14F</v>
      </c>
      <c r="L255" s="139" t="str">
        <f t="shared" si="26"/>
        <v>EUR14F25Y</v>
      </c>
      <c r="M255" s="139" t="str">
        <v>EUR14F25Y=ICAP</v>
      </c>
      <c r="N255" s="78">
        <v>1.726</v>
      </c>
      <c r="O255" s="111"/>
      <c r="P255" s="78">
        <v>1.726</v>
      </c>
      <c r="Q255" s="111"/>
      <c r="R255" s="78">
        <v>1.726</v>
      </c>
      <c r="S255" s="78" t="e">
        <f ca="1">_xll.cfyql_SimpleQuoteSetValue(E255,R255/100,Trigger)</f>
        <v>#NAME?</v>
      </c>
      <c r="T255" s="129"/>
      <c r="V255" s="160"/>
    </row>
    <row r="256" spans="1:22" x14ac:dyDescent="0.2">
      <c r="A256" s="134"/>
      <c r="B256" s="45" t="str">
        <f t="shared" si="23"/>
        <v>30Y</v>
      </c>
      <c r="C256" s="45" t="str">
        <f t="shared" si="24"/>
        <v>14F</v>
      </c>
      <c r="D256" s="43" t="str">
        <f t="shared" si="25"/>
        <v>EUR14F30Y_Quote</v>
      </c>
      <c r="E256" s="43" t="e">
        <f ca="1">_xll.cfyql_SimpleQuote(D256,,RateTickValue,Permanent,Trigger,ObjectOverwrite)</f>
        <v>#NAME?</v>
      </c>
      <c r="F256" s="42" t="e">
        <f ca="1">_xll.ohRangeRetrieveError(E256)</f>
        <v>#NAME?</v>
      </c>
      <c r="G256" s="36"/>
      <c r="H256" s="161"/>
      <c r="I256" s="112"/>
      <c r="J256" s="130" t="s">
        <v>26</v>
      </c>
      <c r="K256" s="130" t="str">
        <f t="shared" si="29"/>
        <v>14F</v>
      </c>
      <c r="L256" s="132" t="str">
        <f t="shared" si="26"/>
        <v>EUR14F30Y</v>
      </c>
      <c r="M256" s="132" t="str">
        <v>EUR14F30Y=ICAP</v>
      </c>
      <c r="N256" s="65">
        <v>1.6779999999999999</v>
      </c>
      <c r="O256" s="111"/>
      <c r="P256" s="65">
        <v>1.6779999999999999</v>
      </c>
      <c r="Q256" s="111"/>
      <c r="R256" s="65">
        <v>1.6779999999999999</v>
      </c>
      <c r="S256" s="65" t="e">
        <f ca="1">_xll.cfyql_SimpleQuoteSetValue(E256,R256/100,Trigger)</f>
        <v>#NAME?</v>
      </c>
      <c r="T256" s="129"/>
      <c r="V256" s="160"/>
    </row>
    <row r="257" spans="1:22" x14ac:dyDescent="0.2">
      <c r="A257" s="134"/>
      <c r="B257" s="45" t="str">
        <f t="shared" si="23"/>
        <v>1Y</v>
      </c>
      <c r="C257" s="45" t="str">
        <f t="shared" si="24"/>
        <v>15F</v>
      </c>
      <c r="D257" s="43" t="str">
        <f t="shared" si="25"/>
        <v>EUR15F1Y_Quote</v>
      </c>
      <c r="E257" s="43" t="e">
        <f ca="1">_xll.cfyql_SimpleQuote(D257,,RateTickValue,Permanent,Trigger,ObjectOverwrite)</f>
        <v>#NAME?</v>
      </c>
      <c r="F257" s="42" t="e">
        <f ca="1">_xll.ohRangeRetrieveError(E257)</f>
        <v>#NAME?</v>
      </c>
      <c r="G257" s="36"/>
      <c r="H257" s="161"/>
      <c r="I257" s="134">
        <v>15</v>
      </c>
      <c r="J257" s="163" t="s">
        <v>58</v>
      </c>
      <c r="K257" s="163" t="str">
        <f t="shared" ref="K257:K274" si="30">$I$257&amp;"F"</f>
        <v>15F</v>
      </c>
      <c r="L257" s="162" t="str">
        <f t="shared" si="26"/>
        <v>EUR15F1Y</v>
      </c>
      <c r="M257" s="162" t="str">
        <v>EUR15F1Y=ICAP</v>
      </c>
      <c r="N257" s="89">
        <v>2.1509999999999998</v>
      </c>
      <c r="O257" s="111"/>
      <c r="P257" s="89">
        <v>2.1509999999999998</v>
      </c>
      <c r="Q257" s="111"/>
      <c r="R257" s="89">
        <v>2.1509999999999998</v>
      </c>
      <c r="S257" s="89" t="e">
        <f ca="1">_xll.cfyql_SimpleQuoteSetValue(E257,R257/100,Trigger)</f>
        <v>#NAME?</v>
      </c>
      <c r="T257" s="129"/>
      <c r="V257" s="160"/>
    </row>
    <row r="258" spans="1:22" x14ac:dyDescent="0.2">
      <c r="A258" s="134"/>
      <c r="B258" s="45" t="str">
        <f t="shared" si="23"/>
        <v>2Y</v>
      </c>
      <c r="C258" s="45" t="str">
        <f t="shared" si="24"/>
        <v>15F</v>
      </c>
      <c r="D258" s="43" t="str">
        <f t="shared" si="25"/>
        <v>EUR15F2Y_Quote</v>
      </c>
      <c r="E258" s="43" t="e">
        <f ca="1">_xll.cfyql_SimpleQuote(D258,,RateTickValue,Permanent,Trigger,ObjectOverwrite)</f>
        <v>#NAME?</v>
      </c>
      <c r="F258" s="42" t="e">
        <f ca="1">_xll.ohRangeRetrieveError(E258)</f>
        <v>#NAME?</v>
      </c>
      <c r="G258" s="36"/>
      <c r="H258" s="161"/>
      <c r="I258" s="112"/>
      <c r="J258" s="137" t="s">
        <v>54</v>
      </c>
      <c r="K258" s="137" t="str">
        <f t="shared" si="30"/>
        <v>15F</v>
      </c>
      <c r="L258" s="139" t="str">
        <f t="shared" si="26"/>
        <v>EUR15F2Y</v>
      </c>
      <c r="M258" s="139" t="str">
        <v>EUR15F2Y=ICAP</v>
      </c>
      <c r="N258" s="78">
        <v>2.1440000000000001</v>
      </c>
      <c r="O258" s="111"/>
      <c r="P258" s="78">
        <v>2.1440000000000001</v>
      </c>
      <c r="Q258" s="111"/>
      <c r="R258" s="78">
        <v>2.1440000000000001</v>
      </c>
      <c r="S258" s="78" t="e">
        <f ca="1">_xll.cfyql_SimpleQuoteSetValue(E258,R258/100,Trigger)</f>
        <v>#NAME?</v>
      </c>
      <c r="T258" s="129"/>
      <c r="V258" s="160"/>
    </row>
    <row r="259" spans="1:22" x14ac:dyDescent="0.2">
      <c r="A259" s="134"/>
      <c r="B259" s="45" t="str">
        <f t="shared" si="23"/>
        <v>3Y</v>
      </c>
      <c r="C259" s="45" t="str">
        <f t="shared" si="24"/>
        <v>15F</v>
      </c>
      <c r="D259" s="43" t="str">
        <f t="shared" si="25"/>
        <v>EUR15F3Y_Quote</v>
      </c>
      <c r="E259" s="43" t="e">
        <f ca="1">_xll.cfyql_SimpleQuote(D259,,RateTickValue,Permanent,Trigger,ObjectOverwrite)</f>
        <v>#NAME?</v>
      </c>
      <c r="F259" s="42" t="e">
        <f ca="1">_xll.ohRangeRetrieveError(E259)</f>
        <v>#NAME?</v>
      </c>
      <c r="G259" s="36"/>
      <c r="H259" s="161"/>
      <c r="I259" s="112"/>
      <c r="J259" s="137" t="s">
        <v>53</v>
      </c>
      <c r="K259" s="137" t="str">
        <f t="shared" si="30"/>
        <v>15F</v>
      </c>
      <c r="L259" s="139" t="str">
        <f t="shared" si="26"/>
        <v>EUR15F3Y</v>
      </c>
      <c r="M259" s="139" t="str">
        <v>EUR15F3Y=ICAP</v>
      </c>
      <c r="N259" s="78">
        <v>2.1120000000000001</v>
      </c>
      <c r="O259" s="111"/>
      <c r="P259" s="78">
        <v>2.1120000000000001</v>
      </c>
      <c r="Q259" s="111"/>
      <c r="R259" s="78">
        <v>2.1120000000000001</v>
      </c>
      <c r="S259" s="78" t="e">
        <f ca="1">_xll.cfyql_SimpleQuoteSetValue(E259,R259/100,Trigger)</f>
        <v>#NAME?</v>
      </c>
      <c r="T259" s="129"/>
      <c r="V259" s="160"/>
    </row>
    <row r="260" spans="1:22" x14ac:dyDescent="0.2">
      <c r="A260" s="134"/>
      <c r="B260" s="45" t="str">
        <f t="shared" si="23"/>
        <v>4Y</v>
      </c>
      <c r="C260" s="45" t="str">
        <f t="shared" si="24"/>
        <v>15F</v>
      </c>
      <c r="D260" s="43" t="str">
        <f t="shared" si="25"/>
        <v>EUR15F4Y_Quote</v>
      </c>
      <c r="E260" s="43" t="e">
        <f ca="1">_xll.cfyql_SimpleQuote(D260,,RateTickValue,Permanent,Trigger,ObjectOverwrite)</f>
        <v>#NAME?</v>
      </c>
      <c r="F260" s="42" t="e">
        <f ca="1">_xll.ohRangeRetrieveError(E260)</f>
        <v>#NAME?</v>
      </c>
      <c r="G260" s="36"/>
      <c r="H260" s="161"/>
      <c r="I260" s="112"/>
      <c r="J260" s="137" t="s">
        <v>52</v>
      </c>
      <c r="K260" s="137" t="str">
        <f t="shared" si="30"/>
        <v>15F</v>
      </c>
      <c r="L260" s="139" t="str">
        <f t="shared" si="26"/>
        <v>EUR15F4Y</v>
      </c>
      <c r="M260" s="139" t="str">
        <v>EUR15F4Y=ICAP</v>
      </c>
      <c r="N260" s="78">
        <v>2.081</v>
      </c>
      <c r="O260" s="111"/>
      <c r="P260" s="78">
        <v>2.081</v>
      </c>
      <c r="Q260" s="111"/>
      <c r="R260" s="78">
        <v>2.081</v>
      </c>
      <c r="S260" s="78" t="e">
        <f ca="1">_xll.cfyql_SimpleQuoteSetValue(E260,R260/100,Trigger)</f>
        <v>#NAME?</v>
      </c>
      <c r="T260" s="129"/>
      <c r="V260" s="160"/>
    </row>
    <row r="261" spans="1:22" x14ac:dyDescent="0.2">
      <c r="A261" s="134"/>
      <c r="B261" s="45" t="str">
        <f t="shared" ref="B261:B328" si="31">J261</f>
        <v>5Y</v>
      </c>
      <c r="C261" s="45" t="str">
        <f t="shared" ref="C261:C328" si="32">K261</f>
        <v>15F</v>
      </c>
      <c r="D261" s="43" t="str">
        <f t="shared" ref="D261:D328" si="33">Currency&amp;$C261&amp;B261&amp;QuoteSuffix</f>
        <v>EUR15F5Y_Quote</v>
      </c>
      <c r="E261" s="43" t="e">
        <f ca="1">_xll.cfyql_SimpleQuote(D261,,RateTickValue,Permanent,Trigger,ObjectOverwrite)</f>
        <v>#NAME?</v>
      </c>
      <c r="F261" s="42" t="e">
        <f ca="1">_xll.ohRangeRetrieveError(E261)</f>
        <v>#NAME?</v>
      </c>
      <c r="G261" s="36"/>
      <c r="H261" s="161"/>
      <c r="I261" s="112"/>
      <c r="J261" s="137" t="s">
        <v>51</v>
      </c>
      <c r="K261" s="137" t="str">
        <f t="shared" si="30"/>
        <v>15F</v>
      </c>
      <c r="L261" s="139" t="str">
        <f t="shared" ref="L261:L328" si="34">Currency&amp;$K261&amp;$J261</f>
        <v>EUR15F5Y</v>
      </c>
      <c r="M261" s="139" t="str">
        <v>EUR15F5Y=ICAP</v>
      </c>
      <c r="N261" s="78">
        <v>2.0459999999999998</v>
      </c>
      <c r="O261" s="111"/>
      <c r="P261" s="78">
        <v>2.0459999999999998</v>
      </c>
      <c r="Q261" s="111"/>
      <c r="R261" s="78">
        <v>2.0459999999999998</v>
      </c>
      <c r="S261" s="78" t="e">
        <f ca="1">_xll.cfyql_SimpleQuoteSetValue(E261,R261/100,Trigger)</f>
        <v>#NAME?</v>
      </c>
      <c r="T261" s="129"/>
      <c r="V261" s="160"/>
    </row>
    <row r="262" spans="1:22" x14ac:dyDescent="0.2">
      <c r="A262" s="134"/>
      <c r="B262" s="45" t="str">
        <f t="shared" si="31"/>
        <v>6Y</v>
      </c>
      <c r="C262" s="45" t="str">
        <f t="shared" si="32"/>
        <v>15F</v>
      </c>
      <c r="D262" s="43" t="str">
        <f t="shared" si="33"/>
        <v>EUR15F6Y_Quote</v>
      </c>
      <c r="E262" s="43" t="e">
        <f ca="1">_xll.cfyql_SimpleQuote(D262,,RateTickValue,Permanent,Trigger,ObjectOverwrite)</f>
        <v>#NAME?</v>
      </c>
      <c r="F262" s="42" t="e">
        <f ca="1">_xll.ohRangeRetrieveError(E262)</f>
        <v>#NAME?</v>
      </c>
      <c r="G262" s="36"/>
      <c r="H262" s="161"/>
      <c r="I262" s="112"/>
      <c r="J262" s="137" t="s">
        <v>50</v>
      </c>
      <c r="K262" s="137" t="str">
        <f t="shared" si="30"/>
        <v>15F</v>
      </c>
      <c r="L262" s="139" t="str">
        <f t="shared" si="34"/>
        <v>EUR15F6Y</v>
      </c>
      <c r="M262" s="139" t="str">
        <v>EUR15F6Y=ICAP</v>
      </c>
      <c r="N262" s="78">
        <v>2.0089999999999999</v>
      </c>
      <c r="O262" s="111"/>
      <c r="P262" s="78">
        <v>2.0089999999999999</v>
      </c>
      <c r="Q262" s="111"/>
      <c r="R262" s="78">
        <v>2.0089999999999999</v>
      </c>
      <c r="S262" s="78" t="e">
        <f ca="1">_xll.cfyql_SimpleQuoteSetValue(E262,R262/100,Trigger)</f>
        <v>#NAME?</v>
      </c>
      <c r="T262" s="129"/>
      <c r="V262" s="160"/>
    </row>
    <row r="263" spans="1:22" x14ac:dyDescent="0.2">
      <c r="A263" s="134"/>
      <c r="B263" s="45" t="str">
        <f t="shared" si="31"/>
        <v>7Y</v>
      </c>
      <c r="C263" s="45" t="str">
        <f t="shared" si="32"/>
        <v>15F</v>
      </c>
      <c r="D263" s="43" t="str">
        <f t="shared" si="33"/>
        <v>EUR15F7Y_Quote</v>
      </c>
      <c r="E263" s="43" t="e">
        <f ca="1">_xll.cfyql_SimpleQuote(D263,,RateTickValue,Permanent,Trigger,ObjectOverwrite)</f>
        <v>#NAME?</v>
      </c>
      <c r="F263" s="42" t="e">
        <f ca="1">_xll.ohRangeRetrieveError(E263)</f>
        <v>#NAME?</v>
      </c>
      <c r="G263" s="36"/>
      <c r="H263" s="161"/>
      <c r="I263" s="112"/>
      <c r="J263" s="137" t="s">
        <v>49</v>
      </c>
      <c r="K263" s="137" t="str">
        <f t="shared" si="30"/>
        <v>15F</v>
      </c>
      <c r="L263" s="139" t="str">
        <f t="shared" si="34"/>
        <v>EUR15F7Y</v>
      </c>
      <c r="M263" s="139" t="str">
        <v>EUR15F7Y=ICAP</v>
      </c>
      <c r="N263" s="78">
        <v>1.976</v>
      </c>
      <c r="O263" s="111"/>
      <c r="P263" s="78">
        <v>1.976</v>
      </c>
      <c r="Q263" s="111"/>
      <c r="R263" s="78">
        <v>1.976</v>
      </c>
      <c r="S263" s="78" t="e">
        <f ca="1">_xll.cfyql_SimpleQuoteSetValue(E263,R263/100,Trigger)</f>
        <v>#NAME?</v>
      </c>
      <c r="T263" s="129"/>
      <c r="V263" s="160"/>
    </row>
    <row r="264" spans="1:22" x14ac:dyDescent="0.2">
      <c r="A264" s="134"/>
      <c r="B264" s="45" t="str">
        <f t="shared" si="31"/>
        <v>8Y</v>
      </c>
      <c r="C264" s="45" t="str">
        <f t="shared" si="32"/>
        <v>15F</v>
      </c>
      <c r="D264" s="43" t="str">
        <f t="shared" si="33"/>
        <v>EUR15F8Y_Quote</v>
      </c>
      <c r="E264" s="43" t="e">
        <f ca="1">_xll.cfyql_SimpleQuote(D264,,RateTickValue,Permanent,Trigger,ObjectOverwrite)</f>
        <v>#NAME?</v>
      </c>
      <c r="F264" s="42" t="e">
        <f ca="1">_xll.ohRangeRetrieveError(E264)</f>
        <v>#NAME?</v>
      </c>
      <c r="G264" s="36"/>
      <c r="H264" s="161"/>
      <c r="I264" s="112"/>
      <c r="J264" s="137" t="s">
        <v>48</v>
      </c>
      <c r="K264" s="137" t="str">
        <f t="shared" si="30"/>
        <v>15F</v>
      </c>
      <c r="L264" s="139" t="str">
        <f t="shared" si="34"/>
        <v>EUR15F8Y</v>
      </c>
      <c r="M264" s="139" t="str">
        <v>EUR15F8Y=ICAP</v>
      </c>
      <c r="N264" s="78">
        <v>1.9380000000000002</v>
      </c>
      <c r="O264" s="111"/>
      <c r="P264" s="78">
        <v>1.9380000000000002</v>
      </c>
      <c r="Q264" s="111"/>
      <c r="R264" s="78">
        <v>1.9380000000000002</v>
      </c>
      <c r="S264" s="78" t="e">
        <f ca="1">_xll.cfyql_SimpleQuoteSetValue(E264,R264/100,Trigger)</f>
        <v>#NAME?</v>
      </c>
      <c r="T264" s="129"/>
      <c r="V264" s="160"/>
    </row>
    <row r="265" spans="1:22" x14ac:dyDescent="0.2">
      <c r="A265" s="134"/>
      <c r="B265" s="45" t="str">
        <f t="shared" si="31"/>
        <v>9Y</v>
      </c>
      <c r="C265" s="45" t="str">
        <f t="shared" si="32"/>
        <v>15F</v>
      </c>
      <c r="D265" s="43" t="str">
        <f t="shared" si="33"/>
        <v>EUR15F9Y_Quote</v>
      </c>
      <c r="E265" s="43" t="e">
        <f ca="1">_xll.cfyql_SimpleQuote(D265,,RateTickValue,Permanent,Trigger,ObjectOverwrite)</f>
        <v>#NAME?</v>
      </c>
      <c r="F265" s="42" t="e">
        <f ca="1">_xll.ohRangeRetrieveError(E265)</f>
        <v>#NAME?</v>
      </c>
      <c r="G265" s="36"/>
      <c r="H265" s="161"/>
      <c r="I265" s="112"/>
      <c r="J265" s="137" t="s">
        <v>47</v>
      </c>
      <c r="K265" s="137" t="str">
        <f t="shared" si="30"/>
        <v>15F</v>
      </c>
      <c r="L265" s="139" t="str">
        <f t="shared" si="34"/>
        <v>EUR15F9Y</v>
      </c>
      <c r="M265" s="139" t="str">
        <v>EUR15F9Y=ICAP</v>
      </c>
      <c r="N265" s="78">
        <v>1.907</v>
      </c>
      <c r="O265" s="111"/>
      <c r="P265" s="78">
        <v>1.907</v>
      </c>
      <c r="Q265" s="111"/>
      <c r="R265" s="78">
        <v>1.907</v>
      </c>
      <c r="S265" s="78" t="e">
        <f ca="1">_xll.cfyql_SimpleQuoteSetValue(E265,R265/100,Trigger)</f>
        <v>#NAME?</v>
      </c>
      <c r="T265" s="129"/>
      <c r="V265" s="160"/>
    </row>
    <row r="266" spans="1:22" x14ac:dyDescent="0.2">
      <c r="A266" s="134"/>
      <c r="B266" s="45" t="str">
        <f t="shared" si="31"/>
        <v>10Y</v>
      </c>
      <c r="C266" s="45" t="str">
        <f t="shared" si="32"/>
        <v>15F</v>
      </c>
      <c r="D266" s="43" t="str">
        <f t="shared" si="33"/>
        <v>EUR15F10Y_Quote</v>
      </c>
      <c r="E266" s="43" t="e">
        <f ca="1">_xll.cfyql_SimpleQuote(D266,,RateTickValue,Permanent,Trigger,ObjectOverwrite)</f>
        <v>#NAME?</v>
      </c>
      <c r="F266" s="42" t="e">
        <f ca="1">_xll.ohRangeRetrieveError(E266)</f>
        <v>#NAME?</v>
      </c>
      <c r="G266" s="36"/>
      <c r="H266" s="161"/>
      <c r="I266" s="112"/>
      <c r="J266" s="137" t="s">
        <v>46</v>
      </c>
      <c r="K266" s="137" t="str">
        <f t="shared" si="30"/>
        <v>15F</v>
      </c>
      <c r="L266" s="139" t="str">
        <f t="shared" si="34"/>
        <v>EUR15F10Y</v>
      </c>
      <c r="M266" s="139" t="str">
        <v>EUR15F10Y=ICAP</v>
      </c>
      <c r="N266" s="78">
        <v>1.877</v>
      </c>
      <c r="O266" s="111"/>
      <c r="P266" s="78">
        <v>1.877</v>
      </c>
      <c r="Q266" s="111"/>
      <c r="R266" s="78">
        <v>1.877</v>
      </c>
      <c r="S266" s="78" t="e">
        <f ca="1">_xll.cfyql_SimpleQuoteSetValue(E266,R266/100,Trigger)</f>
        <v>#NAME?</v>
      </c>
      <c r="T266" s="129"/>
      <c r="V266" s="160"/>
    </row>
    <row r="267" spans="1:22" x14ac:dyDescent="0.2">
      <c r="A267" s="134"/>
      <c r="B267" s="45" t="str">
        <f t="shared" si="31"/>
        <v>11Y</v>
      </c>
      <c r="C267" s="45" t="str">
        <f t="shared" si="32"/>
        <v>15F</v>
      </c>
      <c r="D267" s="43" t="str">
        <f t="shared" si="33"/>
        <v>EUR15F11Y_Quote</v>
      </c>
      <c r="E267" s="43" t="e">
        <f ca="1">_xll.cfyql_SimpleQuote(D267,,RateTickValue,Permanent,Trigger,ObjectOverwrite)</f>
        <v>#NAME?</v>
      </c>
      <c r="F267" s="42" t="e">
        <f ca="1">_xll.ohRangeRetrieveError(E267)</f>
        <v>#NAME?</v>
      </c>
      <c r="G267" s="36"/>
      <c r="H267" s="161"/>
      <c r="I267" s="112"/>
      <c r="J267" s="137" t="s">
        <v>45</v>
      </c>
      <c r="K267" s="137" t="str">
        <f t="shared" si="30"/>
        <v>15F</v>
      </c>
      <c r="L267" s="139" t="str">
        <f t="shared" si="34"/>
        <v>EUR15F11Y</v>
      </c>
      <c r="M267" s="139" t="str">
        <v>EUR15F11Y=ICAP</v>
      </c>
      <c r="N267" s="78">
        <v>1.85</v>
      </c>
      <c r="O267" s="111"/>
      <c r="P267" s="78">
        <v>1.85</v>
      </c>
      <c r="Q267" s="111"/>
      <c r="R267" s="78">
        <v>1.85</v>
      </c>
      <c r="S267" s="78" t="e">
        <f ca="1">_xll.cfyql_SimpleQuoteSetValue(E267,R267/100,Trigger)</f>
        <v>#NAME?</v>
      </c>
      <c r="T267" s="129"/>
      <c r="V267" s="160"/>
    </row>
    <row r="268" spans="1:22" x14ac:dyDescent="0.2">
      <c r="A268" s="134"/>
      <c r="B268" s="45" t="str">
        <f t="shared" si="31"/>
        <v>12Y</v>
      </c>
      <c r="C268" s="45" t="str">
        <f t="shared" si="32"/>
        <v>15F</v>
      </c>
      <c r="D268" s="43" t="str">
        <f t="shared" si="33"/>
        <v>EUR15F12Y_Quote</v>
      </c>
      <c r="E268" s="43" t="e">
        <f ca="1">_xll.cfyql_SimpleQuote(D268,,RateTickValue,Permanent,Trigger,ObjectOverwrite)</f>
        <v>#NAME?</v>
      </c>
      <c r="F268" s="42" t="e">
        <f ca="1">_xll.ohRangeRetrieveError(E268)</f>
        <v>#NAME?</v>
      </c>
      <c r="G268" s="36"/>
      <c r="H268" s="161"/>
      <c r="I268" s="112"/>
      <c r="J268" s="137" t="s">
        <v>44</v>
      </c>
      <c r="K268" s="137" t="str">
        <f t="shared" si="30"/>
        <v>15F</v>
      </c>
      <c r="L268" s="139" t="str">
        <f t="shared" si="34"/>
        <v>EUR15F12Y</v>
      </c>
      <c r="M268" s="139" t="str">
        <v>EUR15F12Y=ICAP</v>
      </c>
      <c r="N268" s="78">
        <v>1.827</v>
      </c>
      <c r="O268" s="111"/>
      <c r="P268" s="78">
        <v>1.827</v>
      </c>
      <c r="Q268" s="111"/>
      <c r="R268" s="78">
        <v>1.827</v>
      </c>
      <c r="S268" s="78" t="e">
        <f ca="1">_xll.cfyql_SimpleQuoteSetValue(E268,R268/100,Trigger)</f>
        <v>#NAME?</v>
      </c>
      <c r="T268" s="129"/>
      <c r="V268" s="160"/>
    </row>
    <row r="269" spans="1:22" x14ac:dyDescent="0.2">
      <c r="A269" s="134"/>
      <c r="B269" s="45" t="str">
        <f t="shared" si="31"/>
        <v>13Y</v>
      </c>
      <c r="C269" s="45" t="str">
        <f t="shared" si="32"/>
        <v>15F</v>
      </c>
      <c r="D269" s="43" t="str">
        <f t="shared" si="33"/>
        <v>EUR15F13Y_Quote</v>
      </c>
      <c r="E269" s="43" t="e">
        <f ca="1">_xll.cfyql_SimpleQuote(D269,,RateTickValue,Permanent,Trigger,ObjectOverwrite)</f>
        <v>#NAME?</v>
      </c>
      <c r="F269" s="42" t="e">
        <f ca="1">_xll.ohRangeRetrieveError(E269)</f>
        <v>#NAME?</v>
      </c>
      <c r="G269" s="36"/>
      <c r="H269" s="161"/>
      <c r="I269" s="112"/>
      <c r="J269" s="137" t="s">
        <v>43</v>
      </c>
      <c r="K269" s="137" t="str">
        <f t="shared" si="30"/>
        <v>15F</v>
      </c>
      <c r="L269" s="139" t="str">
        <f t="shared" si="34"/>
        <v>EUR15F13Y</v>
      </c>
      <c r="M269" s="139" t="str">
        <v>EUR15F13Y=ICAP</v>
      </c>
      <c r="N269" s="78">
        <v>1.8089999999999999</v>
      </c>
      <c r="O269" s="111"/>
      <c r="P269" s="78">
        <v>1.8089999999999999</v>
      </c>
      <c r="Q269" s="111"/>
      <c r="R269" s="78">
        <v>1.8089999999999999</v>
      </c>
      <c r="S269" s="78" t="e">
        <f ca="1">_xll.cfyql_SimpleQuoteSetValue(E269,R269/100,Trigger)</f>
        <v>#NAME?</v>
      </c>
      <c r="T269" s="129"/>
      <c r="V269" s="160"/>
    </row>
    <row r="270" spans="1:22" x14ac:dyDescent="0.2">
      <c r="A270" s="134"/>
      <c r="B270" s="45" t="str">
        <f t="shared" si="31"/>
        <v>14Y</v>
      </c>
      <c r="C270" s="45" t="str">
        <f t="shared" si="32"/>
        <v>15F</v>
      </c>
      <c r="D270" s="43" t="str">
        <f t="shared" si="33"/>
        <v>EUR15F14Y_Quote</v>
      </c>
      <c r="E270" s="43" t="e">
        <f ca="1">_xll.cfyql_SimpleQuote(D270,,RateTickValue,Permanent,Trigger,ObjectOverwrite)</f>
        <v>#NAME?</v>
      </c>
      <c r="F270" s="42" t="e">
        <f ca="1">_xll.ohRangeRetrieveError(E270)</f>
        <v>#NAME?</v>
      </c>
      <c r="G270" s="36"/>
      <c r="H270" s="161"/>
      <c r="I270" s="112"/>
      <c r="J270" s="137" t="s">
        <v>42</v>
      </c>
      <c r="K270" s="137" t="str">
        <f t="shared" si="30"/>
        <v>15F</v>
      </c>
      <c r="L270" s="139" t="str">
        <f t="shared" si="34"/>
        <v>EUR15F14Y</v>
      </c>
      <c r="M270" s="139" t="str">
        <v>EUR15F14Y=ICAP</v>
      </c>
      <c r="N270" s="78">
        <v>1.79</v>
      </c>
      <c r="O270" s="111"/>
      <c r="P270" s="78">
        <v>1.79</v>
      </c>
      <c r="Q270" s="111"/>
      <c r="R270" s="78">
        <v>1.79</v>
      </c>
      <c r="S270" s="78" t="e">
        <f ca="1">_xll.cfyql_SimpleQuoteSetValue(E270,R270/100,Trigger)</f>
        <v>#NAME?</v>
      </c>
      <c r="T270" s="129"/>
      <c r="V270" s="160"/>
    </row>
    <row r="271" spans="1:22" x14ac:dyDescent="0.2">
      <c r="A271" s="134"/>
      <c r="B271" s="45" t="str">
        <f t="shared" si="31"/>
        <v>15Y</v>
      </c>
      <c r="C271" s="45" t="str">
        <f t="shared" si="32"/>
        <v>15F</v>
      </c>
      <c r="D271" s="43" t="str">
        <f t="shared" si="33"/>
        <v>EUR15F15Y_Quote</v>
      </c>
      <c r="E271" s="43" t="e">
        <f ca="1">_xll.cfyql_SimpleQuote(D271,,RateTickValue,Permanent,Trigger,ObjectOverwrite)</f>
        <v>#NAME?</v>
      </c>
      <c r="F271" s="42" t="e">
        <f ca="1">_xll.ohRangeRetrieveError(E271)</f>
        <v>#NAME?</v>
      </c>
      <c r="G271" s="36"/>
      <c r="H271" s="161"/>
      <c r="I271" s="112"/>
      <c r="J271" s="137" t="s">
        <v>41</v>
      </c>
      <c r="K271" s="137" t="str">
        <f t="shared" si="30"/>
        <v>15F</v>
      </c>
      <c r="L271" s="139" t="str">
        <f t="shared" si="34"/>
        <v>EUR15F15Y</v>
      </c>
      <c r="M271" s="139" t="str">
        <v>EUR15F15Y=ICAP</v>
      </c>
      <c r="N271" s="78">
        <v>1.7769999999999999</v>
      </c>
      <c r="O271" s="111"/>
      <c r="P271" s="78">
        <v>1.7769999999999999</v>
      </c>
      <c r="Q271" s="111"/>
      <c r="R271" s="78">
        <v>1.7769999999999999</v>
      </c>
      <c r="S271" s="78" t="e">
        <f ca="1">_xll.cfyql_SimpleQuoteSetValue(E271,R271/100,Trigger)</f>
        <v>#NAME?</v>
      </c>
      <c r="T271" s="129"/>
      <c r="V271" s="160"/>
    </row>
    <row r="272" spans="1:22" x14ac:dyDescent="0.2">
      <c r="A272" s="134"/>
      <c r="B272" s="45" t="str">
        <f t="shared" si="31"/>
        <v>20Y</v>
      </c>
      <c r="C272" s="45" t="str">
        <f t="shared" si="32"/>
        <v>15F</v>
      </c>
      <c r="D272" s="43" t="str">
        <f t="shared" si="33"/>
        <v>EUR15F20Y_Quote</v>
      </c>
      <c r="E272" s="43" t="e">
        <f ca="1">_xll.cfyql_SimpleQuote(D272,,RateTickValue,Permanent,Trigger,ObjectOverwrite)</f>
        <v>#NAME?</v>
      </c>
      <c r="F272" s="42" t="e">
        <f ca="1">_xll.ohRangeRetrieveError(E272)</f>
        <v>#NAME?</v>
      </c>
      <c r="G272" s="36"/>
      <c r="H272" s="161"/>
      <c r="I272" s="112"/>
      <c r="J272" s="137" t="s">
        <v>36</v>
      </c>
      <c r="K272" s="137" t="str">
        <f t="shared" si="30"/>
        <v>15F</v>
      </c>
      <c r="L272" s="139" t="str">
        <f t="shared" si="34"/>
        <v>EUR15F20Y</v>
      </c>
      <c r="M272" s="139" t="str">
        <v>EUR15F20Y=ICAP</v>
      </c>
      <c r="N272" s="78">
        <v>1.7330000000000001</v>
      </c>
      <c r="O272" s="111"/>
      <c r="P272" s="78">
        <v>1.7330000000000001</v>
      </c>
      <c r="Q272" s="111"/>
      <c r="R272" s="78">
        <v>1.7330000000000001</v>
      </c>
      <c r="S272" s="78" t="e">
        <f ca="1">_xll.cfyql_SimpleQuoteSetValue(E272,R272/100,Trigger)</f>
        <v>#NAME?</v>
      </c>
      <c r="T272" s="129"/>
      <c r="V272" s="160"/>
    </row>
    <row r="273" spans="1:22" x14ac:dyDescent="0.2">
      <c r="A273" s="134"/>
      <c r="B273" s="45" t="str">
        <f t="shared" si="31"/>
        <v>25Y</v>
      </c>
      <c r="C273" s="45" t="str">
        <f t="shared" si="32"/>
        <v>15F</v>
      </c>
      <c r="D273" s="43" t="str">
        <f t="shared" si="33"/>
        <v>EUR15F25Y_Quote</v>
      </c>
      <c r="E273" s="43" t="e">
        <f ca="1">_xll.cfyql_SimpleQuote(D273,,RateTickValue,Permanent,Trigger,ObjectOverwrite)</f>
        <v>#NAME?</v>
      </c>
      <c r="F273" s="42" t="e">
        <f ca="1">_xll.ohRangeRetrieveError(E273)</f>
        <v>#NAME?</v>
      </c>
      <c r="G273" s="36"/>
      <c r="H273" s="161"/>
      <c r="I273" s="112"/>
      <c r="J273" s="137" t="s">
        <v>31</v>
      </c>
      <c r="K273" s="137" t="str">
        <f t="shared" si="30"/>
        <v>15F</v>
      </c>
      <c r="L273" s="139" t="str">
        <f t="shared" si="34"/>
        <v>EUR15F25Y</v>
      </c>
      <c r="M273" s="139" t="str">
        <v>EUR15F25Y=ICAP</v>
      </c>
      <c r="N273" s="78">
        <v>1.6930000000000001</v>
      </c>
      <c r="O273" s="111"/>
      <c r="P273" s="78">
        <v>1.6930000000000001</v>
      </c>
      <c r="Q273" s="111"/>
      <c r="R273" s="78">
        <v>1.6930000000000001</v>
      </c>
      <c r="S273" s="78" t="e">
        <f ca="1">_xll.cfyql_SimpleQuoteSetValue(E273,R273/100,Trigger)</f>
        <v>#NAME?</v>
      </c>
      <c r="T273" s="129"/>
      <c r="V273" s="160"/>
    </row>
    <row r="274" spans="1:22" x14ac:dyDescent="0.2">
      <c r="A274" s="134"/>
      <c r="B274" s="45" t="str">
        <f t="shared" si="31"/>
        <v>30Y</v>
      </c>
      <c r="C274" s="45" t="str">
        <f t="shared" si="32"/>
        <v>15F</v>
      </c>
      <c r="D274" s="43" t="str">
        <f t="shared" si="33"/>
        <v>EUR15F30Y_Quote</v>
      </c>
      <c r="E274" s="43" t="e">
        <f ca="1">_xll.cfyql_SimpleQuote(D274,,RateTickValue,Permanent,Trigger,ObjectOverwrite)</f>
        <v>#NAME?</v>
      </c>
      <c r="F274" s="42" t="e">
        <f ca="1">_xll.ohRangeRetrieveError(E274)</f>
        <v>#NAME?</v>
      </c>
      <c r="G274" s="36"/>
      <c r="H274" s="161"/>
      <c r="I274" s="112"/>
      <c r="J274" s="130" t="s">
        <v>26</v>
      </c>
      <c r="K274" s="130" t="str">
        <f t="shared" si="30"/>
        <v>15F</v>
      </c>
      <c r="L274" s="132" t="str">
        <f t="shared" si="34"/>
        <v>EUR15F30Y</v>
      </c>
      <c r="M274" s="132" t="str">
        <v>EUR15F30Y=ICAP</v>
      </c>
      <c r="N274" s="65">
        <v>1.643</v>
      </c>
      <c r="O274" s="111"/>
      <c r="P274" s="65">
        <v>1.643</v>
      </c>
      <c r="Q274" s="111"/>
      <c r="R274" s="65">
        <v>1.643</v>
      </c>
      <c r="S274" s="65" t="e">
        <f ca="1">_xll.cfyql_SimpleQuoteSetValue(E274,R274/100,Trigger)</f>
        <v>#NAME?</v>
      </c>
      <c r="T274" s="129"/>
      <c r="V274" s="160"/>
    </row>
    <row r="275" spans="1:22" x14ac:dyDescent="0.2">
      <c r="A275" s="134"/>
      <c r="B275" s="45" t="str">
        <f t="shared" si="31"/>
        <v>1Y</v>
      </c>
      <c r="C275" s="45" t="str">
        <f t="shared" si="32"/>
        <v>20F</v>
      </c>
      <c r="D275" s="43" t="str">
        <f t="shared" si="33"/>
        <v>EUR20F1Y_Quote</v>
      </c>
      <c r="E275" s="43" t="e">
        <f ca="1">_xll.cfyql_SimpleQuote(D275,,RateTickValue,Permanent,Trigger,ObjectOverwrite)</f>
        <v>#NAME?</v>
      </c>
      <c r="F275" s="42" t="e">
        <f ca="1">_xll.ohRangeRetrieveError(E275)</f>
        <v>#NAME?</v>
      </c>
      <c r="G275" s="36"/>
      <c r="H275" s="161"/>
      <c r="I275" s="134">
        <v>20</v>
      </c>
      <c r="J275" s="163" t="s">
        <v>58</v>
      </c>
      <c r="K275" s="163" t="str">
        <f t="shared" ref="K275:K292" si="35">$I$275&amp;"F"</f>
        <v>20F</v>
      </c>
      <c r="L275" s="162" t="str">
        <f t="shared" si="34"/>
        <v>EUR20F1Y</v>
      </c>
      <c r="M275" s="162" t="str">
        <v>EUR20F1Y=ICAP</v>
      </c>
      <c r="N275" s="89">
        <v>1.8149999999999999</v>
      </c>
      <c r="O275" s="111"/>
      <c r="P275" s="89">
        <v>1.8149999999999999</v>
      </c>
      <c r="Q275" s="111"/>
      <c r="R275" s="89">
        <v>1.8149999999999999</v>
      </c>
      <c r="S275" s="89" t="e">
        <f ca="1">_xll.cfyql_SimpleQuoteSetValue(E275,R275/100,Trigger)</f>
        <v>#NAME?</v>
      </c>
      <c r="T275" s="129"/>
      <c r="V275" s="160"/>
    </row>
    <row r="276" spans="1:22" x14ac:dyDescent="0.2">
      <c r="A276" s="134"/>
      <c r="B276" s="45" t="str">
        <f t="shared" si="31"/>
        <v>2Y</v>
      </c>
      <c r="C276" s="45" t="str">
        <f t="shared" si="32"/>
        <v>20F</v>
      </c>
      <c r="D276" s="43" t="str">
        <f t="shared" si="33"/>
        <v>EUR20F2Y_Quote</v>
      </c>
      <c r="E276" s="43" t="e">
        <f ca="1">_xll.cfyql_SimpleQuote(D276,,RateTickValue,Permanent,Trigger,ObjectOverwrite)</f>
        <v>#NAME?</v>
      </c>
      <c r="F276" s="42" t="e">
        <f ca="1">_xll.ohRangeRetrieveError(E276)</f>
        <v>#NAME?</v>
      </c>
      <c r="G276" s="36"/>
      <c r="H276" s="161"/>
      <c r="I276" s="112"/>
      <c r="J276" s="137" t="s">
        <v>54</v>
      </c>
      <c r="K276" s="137" t="str">
        <f t="shared" si="35"/>
        <v>20F</v>
      </c>
      <c r="L276" s="139" t="str">
        <f t="shared" si="34"/>
        <v>EUR20F2Y</v>
      </c>
      <c r="M276" s="139" t="str">
        <v>EUR20F2Y=ICAP</v>
      </c>
      <c r="N276" s="78">
        <v>1.7909999999999999</v>
      </c>
      <c r="O276" s="111"/>
      <c r="P276" s="78">
        <v>1.7909999999999999</v>
      </c>
      <c r="Q276" s="111"/>
      <c r="R276" s="78">
        <v>1.7909999999999999</v>
      </c>
      <c r="S276" s="78" t="e">
        <f ca="1">_xll.cfyql_SimpleQuoteSetValue(E276,R276/100,Trigger)</f>
        <v>#NAME?</v>
      </c>
      <c r="T276" s="129"/>
      <c r="V276" s="160"/>
    </row>
    <row r="277" spans="1:22" x14ac:dyDescent="0.2">
      <c r="A277" s="134"/>
      <c r="B277" s="45" t="str">
        <f t="shared" si="31"/>
        <v>3Y</v>
      </c>
      <c r="C277" s="45" t="str">
        <f t="shared" si="32"/>
        <v>20F</v>
      </c>
      <c r="D277" s="43" t="str">
        <f t="shared" si="33"/>
        <v>EUR20F3Y_Quote</v>
      </c>
      <c r="E277" s="43" t="e">
        <f ca="1">_xll.cfyql_SimpleQuote(D277,,RateTickValue,Permanent,Trigger,ObjectOverwrite)</f>
        <v>#NAME?</v>
      </c>
      <c r="F277" s="42" t="e">
        <f ca="1">_xll.ohRangeRetrieveError(E277)</f>
        <v>#NAME?</v>
      </c>
      <c r="G277" s="36"/>
      <c r="H277" s="161"/>
      <c r="I277" s="112"/>
      <c r="J277" s="137" t="s">
        <v>53</v>
      </c>
      <c r="K277" s="137" t="str">
        <f t="shared" si="35"/>
        <v>20F</v>
      </c>
      <c r="L277" s="139" t="str">
        <f t="shared" si="34"/>
        <v>EUR20F3Y</v>
      </c>
      <c r="M277" s="139" t="str">
        <v>EUR20F3Y=ICAP</v>
      </c>
      <c r="N277" s="78">
        <v>1.7450000000000001</v>
      </c>
      <c r="O277" s="111"/>
      <c r="P277" s="78">
        <v>1.7450000000000001</v>
      </c>
      <c r="Q277" s="111"/>
      <c r="R277" s="78">
        <v>1.7450000000000001</v>
      </c>
      <c r="S277" s="78" t="e">
        <f ca="1">_xll.cfyql_SimpleQuoteSetValue(E277,R277/100,Trigger)</f>
        <v>#NAME?</v>
      </c>
      <c r="T277" s="129"/>
      <c r="V277" s="160"/>
    </row>
    <row r="278" spans="1:22" x14ac:dyDescent="0.2">
      <c r="A278" s="134"/>
      <c r="B278" s="45" t="str">
        <f t="shared" si="31"/>
        <v>4Y</v>
      </c>
      <c r="C278" s="45" t="str">
        <f t="shared" si="32"/>
        <v>20F</v>
      </c>
      <c r="D278" s="43" t="str">
        <f t="shared" si="33"/>
        <v>EUR20F4Y_Quote</v>
      </c>
      <c r="E278" s="43" t="e">
        <f ca="1">_xll.cfyql_SimpleQuote(D278,,RateTickValue,Permanent,Trigger,ObjectOverwrite)</f>
        <v>#NAME?</v>
      </c>
      <c r="F278" s="42" t="e">
        <f ca="1">_xll.ohRangeRetrieveError(E278)</f>
        <v>#NAME?</v>
      </c>
      <c r="G278" s="36"/>
      <c r="H278" s="161"/>
      <c r="I278" s="112"/>
      <c r="J278" s="137" t="s">
        <v>52</v>
      </c>
      <c r="K278" s="137" t="str">
        <f t="shared" si="35"/>
        <v>20F</v>
      </c>
      <c r="L278" s="139" t="str">
        <f t="shared" si="34"/>
        <v>EUR20F4Y</v>
      </c>
      <c r="M278" s="139" t="str">
        <v>EUR20F4Y=ICAP</v>
      </c>
      <c r="N278" s="78">
        <v>1.718</v>
      </c>
      <c r="O278" s="111"/>
      <c r="P278" s="78">
        <v>1.718</v>
      </c>
      <c r="Q278" s="111"/>
      <c r="R278" s="78">
        <v>1.718</v>
      </c>
      <c r="S278" s="78" t="e">
        <f ca="1">_xll.cfyql_SimpleQuoteSetValue(E278,R278/100,Trigger)</f>
        <v>#NAME?</v>
      </c>
      <c r="T278" s="129"/>
      <c r="V278" s="160"/>
    </row>
    <row r="279" spans="1:22" x14ac:dyDescent="0.2">
      <c r="A279" s="134"/>
      <c r="B279" s="45" t="str">
        <f t="shared" si="31"/>
        <v>5Y</v>
      </c>
      <c r="C279" s="45" t="str">
        <f t="shared" si="32"/>
        <v>20F</v>
      </c>
      <c r="D279" s="43" t="str">
        <f t="shared" si="33"/>
        <v>EUR20F5Y_Quote</v>
      </c>
      <c r="E279" s="43" t="e">
        <f ca="1">_xll.cfyql_SimpleQuote(D279,,RateTickValue,Permanent,Trigger,ObjectOverwrite)</f>
        <v>#NAME?</v>
      </c>
      <c r="F279" s="42" t="e">
        <f ca="1">_xll.ohRangeRetrieveError(E279)</f>
        <v>#NAME?</v>
      </c>
      <c r="G279" s="36"/>
      <c r="H279" s="161"/>
      <c r="I279" s="112"/>
      <c r="J279" s="137" t="s">
        <v>51</v>
      </c>
      <c r="K279" s="137" t="str">
        <f t="shared" si="35"/>
        <v>20F</v>
      </c>
      <c r="L279" s="139" t="str">
        <f t="shared" si="34"/>
        <v>EUR20F5Y</v>
      </c>
      <c r="M279" s="139" t="str">
        <v>EUR20F5Y=ICAP</v>
      </c>
      <c r="N279" s="78">
        <v>1.6919999999999999</v>
      </c>
      <c r="O279" s="111"/>
      <c r="P279" s="78">
        <v>1.6919999999999999</v>
      </c>
      <c r="Q279" s="111"/>
      <c r="R279" s="78">
        <v>1.6919999999999999</v>
      </c>
      <c r="S279" s="78" t="e">
        <f ca="1">_xll.cfyql_SimpleQuoteSetValue(E279,R279/100,Trigger)</f>
        <v>#NAME?</v>
      </c>
      <c r="T279" s="129"/>
      <c r="V279" s="160"/>
    </row>
    <row r="280" spans="1:22" x14ac:dyDescent="0.2">
      <c r="A280" s="134"/>
      <c r="B280" s="45" t="str">
        <f t="shared" si="31"/>
        <v>6Y</v>
      </c>
      <c r="C280" s="45" t="str">
        <f t="shared" si="32"/>
        <v>20F</v>
      </c>
      <c r="D280" s="43" t="str">
        <f t="shared" si="33"/>
        <v>EUR20F6Y_Quote</v>
      </c>
      <c r="E280" s="43" t="e">
        <f ca="1">_xll.cfyql_SimpleQuote(D280,,RateTickValue,Permanent,Trigger,ObjectOverwrite)</f>
        <v>#NAME?</v>
      </c>
      <c r="F280" s="42" t="e">
        <f ca="1">_xll.ohRangeRetrieveError(E280)</f>
        <v>#NAME?</v>
      </c>
      <c r="G280" s="36"/>
      <c r="H280" s="161"/>
      <c r="I280" s="112"/>
      <c r="J280" s="137" t="s">
        <v>50</v>
      </c>
      <c r="K280" s="137" t="str">
        <f t="shared" si="35"/>
        <v>20F</v>
      </c>
      <c r="L280" s="139" t="str">
        <f t="shared" si="34"/>
        <v>EUR20F6Y</v>
      </c>
      <c r="M280" s="139" t="str">
        <v>EUR20F6Y=ICAP</v>
      </c>
      <c r="N280" s="78">
        <v>1.67</v>
      </c>
      <c r="O280" s="111"/>
      <c r="P280" s="78">
        <v>1.67</v>
      </c>
      <c r="Q280" s="111"/>
      <c r="R280" s="78">
        <v>1.67</v>
      </c>
      <c r="S280" s="78" t="e">
        <f ca="1">_xll.cfyql_SimpleQuoteSetValue(E280,R280/100,Trigger)</f>
        <v>#NAME?</v>
      </c>
      <c r="T280" s="129"/>
      <c r="V280" s="160"/>
    </row>
    <row r="281" spans="1:22" x14ac:dyDescent="0.2">
      <c r="A281" s="134"/>
      <c r="B281" s="45" t="str">
        <f t="shared" si="31"/>
        <v>7Y</v>
      </c>
      <c r="C281" s="45" t="str">
        <f t="shared" si="32"/>
        <v>20F</v>
      </c>
      <c r="D281" s="43" t="str">
        <f t="shared" si="33"/>
        <v>EUR20F7Y_Quote</v>
      </c>
      <c r="E281" s="43" t="e">
        <f ca="1">_xll.cfyql_SimpleQuote(D281,,RateTickValue,Permanent,Trigger,ObjectOverwrite)</f>
        <v>#NAME?</v>
      </c>
      <c r="F281" s="42" t="e">
        <f ca="1">_xll.ohRangeRetrieveError(E281)</f>
        <v>#NAME?</v>
      </c>
      <c r="G281" s="36"/>
      <c r="H281" s="161"/>
      <c r="I281" s="112"/>
      <c r="J281" s="137" t="s">
        <v>49</v>
      </c>
      <c r="K281" s="137" t="str">
        <f t="shared" si="35"/>
        <v>20F</v>
      </c>
      <c r="L281" s="139" t="str">
        <f t="shared" si="34"/>
        <v>EUR20F7Y</v>
      </c>
      <c r="M281" s="139" t="str">
        <v>EUR20F7Y=ICAP</v>
      </c>
      <c r="N281" s="78">
        <v>1.6539999999999999</v>
      </c>
      <c r="O281" s="111"/>
      <c r="P281" s="78">
        <v>1.6539999999999999</v>
      </c>
      <c r="Q281" s="111"/>
      <c r="R281" s="78">
        <v>1.6539999999999999</v>
      </c>
      <c r="S281" s="78" t="e">
        <f ca="1">_xll.cfyql_SimpleQuoteSetValue(E281,R281/100,Trigger)</f>
        <v>#NAME?</v>
      </c>
      <c r="T281" s="129"/>
      <c r="V281" s="160"/>
    </row>
    <row r="282" spans="1:22" x14ac:dyDescent="0.2">
      <c r="A282" s="134"/>
      <c r="B282" s="45" t="str">
        <f t="shared" si="31"/>
        <v>8Y</v>
      </c>
      <c r="C282" s="45" t="str">
        <f t="shared" si="32"/>
        <v>20F</v>
      </c>
      <c r="D282" s="43" t="str">
        <f t="shared" si="33"/>
        <v>EUR20F8Y_Quote</v>
      </c>
      <c r="E282" s="43" t="e">
        <f ca="1">_xll.cfyql_SimpleQuote(D282,,RateTickValue,Permanent,Trigger,ObjectOverwrite)</f>
        <v>#NAME?</v>
      </c>
      <c r="F282" s="42" t="e">
        <f ca="1">_xll.ohRangeRetrieveError(E282)</f>
        <v>#NAME?</v>
      </c>
      <c r="G282" s="36"/>
      <c r="H282" s="161"/>
      <c r="I282" s="112"/>
      <c r="J282" s="137" t="s">
        <v>48</v>
      </c>
      <c r="K282" s="137" t="str">
        <f t="shared" si="35"/>
        <v>20F</v>
      </c>
      <c r="L282" s="139" t="str">
        <f t="shared" si="34"/>
        <v>EUR20F8Y</v>
      </c>
      <c r="M282" s="139" t="str">
        <v>EUR20F8Y=ICAP</v>
      </c>
      <c r="N282" s="78">
        <v>1.643</v>
      </c>
      <c r="O282" s="111"/>
      <c r="P282" s="78">
        <v>1.643</v>
      </c>
      <c r="Q282" s="111"/>
      <c r="R282" s="78">
        <v>1.643</v>
      </c>
      <c r="S282" s="78" t="e">
        <f ca="1">_xll.cfyql_SimpleQuoteSetValue(E282,R282/100,Trigger)</f>
        <v>#NAME?</v>
      </c>
      <c r="T282" s="129"/>
      <c r="V282" s="160"/>
    </row>
    <row r="283" spans="1:22" x14ac:dyDescent="0.2">
      <c r="A283" s="134"/>
      <c r="B283" s="45" t="str">
        <f t="shared" si="31"/>
        <v>9Y</v>
      </c>
      <c r="C283" s="45" t="str">
        <f t="shared" si="32"/>
        <v>20F</v>
      </c>
      <c r="D283" s="43" t="str">
        <f t="shared" si="33"/>
        <v>EUR20F9Y_Quote</v>
      </c>
      <c r="E283" s="43" t="e">
        <f ca="1">_xll.cfyql_SimpleQuote(D283,,RateTickValue,Permanent,Trigger,ObjectOverwrite)</f>
        <v>#NAME?</v>
      </c>
      <c r="F283" s="42" t="e">
        <f ca="1">_xll.ohRangeRetrieveError(E283)</f>
        <v>#NAME?</v>
      </c>
      <c r="G283" s="36"/>
      <c r="H283" s="161"/>
      <c r="I283" s="112"/>
      <c r="J283" s="137" t="s">
        <v>47</v>
      </c>
      <c r="K283" s="137" t="str">
        <f t="shared" si="35"/>
        <v>20F</v>
      </c>
      <c r="L283" s="139" t="str">
        <f t="shared" si="34"/>
        <v>EUR20F9Y</v>
      </c>
      <c r="M283" s="139" t="str">
        <v>EUR20F9Y=ICAP</v>
      </c>
      <c r="N283" s="78">
        <v>1.631</v>
      </c>
      <c r="O283" s="111"/>
      <c r="P283" s="78">
        <v>1.631</v>
      </c>
      <c r="Q283" s="111"/>
      <c r="R283" s="78">
        <v>1.631</v>
      </c>
      <c r="S283" s="78" t="e">
        <f ca="1">_xll.cfyql_SimpleQuoteSetValue(E283,R283/100,Trigger)</f>
        <v>#NAME?</v>
      </c>
      <c r="T283" s="129"/>
      <c r="V283" s="160"/>
    </row>
    <row r="284" spans="1:22" x14ac:dyDescent="0.2">
      <c r="A284" s="134"/>
      <c r="B284" s="45" t="str">
        <f t="shared" si="31"/>
        <v>10Y</v>
      </c>
      <c r="C284" s="45" t="str">
        <f t="shared" si="32"/>
        <v>20F</v>
      </c>
      <c r="D284" s="43" t="str">
        <f t="shared" si="33"/>
        <v>EUR20F10Y_Quote</v>
      </c>
      <c r="E284" s="43" t="e">
        <f ca="1">_xll.cfyql_SimpleQuote(D284,,RateTickValue,Permanent,Trigger,ObjectOverwrite)</f>
        <v>#NAME?</v>
      </c>
      <c r="F284" s="42" t="e">
        <f ca="1">_xll.ohRangeRetrieveError(E284)</f>
        <v>#NAME?</v>
      </c>
      <c r="G284" s="36"/>
      <c r="H284" s="161"/>
      <c r="I284" s="112"/>
      <c r="J284" s="137" t="s">
        <v>46</v>
      </c>
      <c r="K284" s="137" t="str">
        <f t="shared" si="35"/>
        <v>20F</v>
      </c>
      <c r="L284" s="139" t="str">
        <f t="shared" si="34"/>
        <v>EUR20F10Y</v>
      </c>
      <c r="M284" s="139" t="str">
        <v>EUR20F10Y=ICAP</v>
      </c>
      <c r="N284" s="78">
        <v>1.625</v>
      </c>
      <c r="O284" s="111"/>
      <c r="P284" s="78">
        <v>1.625</v>
      </c>
      <c r="Q284" s="111"/>
      <c r="R284" s="78">
        <v>1.625</v>
      </c>
      <c r="S284" s="78" t="e">
        <f ca="1">_xll.cfyql_SimpleQuoteSetValue(E284,R284/100,Trigger)</f>
        <v>#NAME?</v>
      </c>
      <c r="T284" s="129"/>
      <c r="V284" s="160"/>
    </row>
    <row r="285" spans="1:22" x14ac:dyDescent="0.2">
      <c r="A285" s="134"/>
      <c r="B285" s="45" t="str">
        <f t="shared" si="31"/>
        <v>11Y</v>
      </c>
      <c r="C285" s="45" t="str">
        <f t="shared" si="32"/>
        <v>20F</v>
      </c>
      <c r="D285" s="43" t="str">
        <f t="shared" si="33"/>
        <v>EUR20F11Y_Quote</v>
      </c>
      <c r="E285" s="43" t="e">
        <f ca="1">_xll.cfyql_SimpleQuote(D285,,RateTickValue,Permanent,Trigger,ObjectOverwrite)</f>
        <v>#NAME?</v>
      </c>
      <c r="F285" s="42" t="e">
        <f ca="1">_xll.ohRangeRetrieveError(E285)</f>
        <v>#NAME?</v>
      </c>
      <c r="G285" s="36"/>
      <c r="H285" s="161"/>
      <c r="I285" s="112"/>
      <c r="J285" s="137" t="s">
        <v>45</v>
      </c>
      <c r="K285" s="137" t="str">
        <f t="shared" si="35"/>
        <v>20F</v>
      </c>
      <c r="L285" s="139" t="str">
        <f t="shared" si="34"/>
        <v>EUR20F11Y</v>
      </c>
      <c r="M285" s="139" t="str">
        <v>EUR20F11Y=ICAP</v>
      </c>
      <c r="N285" s="78">
        <v>1.62</v>
      </c>
      <c r="O285" s="111"/>
      <c r="P285" s="78">
        <v>1.62</v>
      </c>
      <c r="Q285" s="111"/>
      <c r="R285" s="78">
        <v>1.62</v>
      </c>
      <c r="S285" s="78" t="e">
        <f ca="1">_xll.cfyql_SimpleQuoteSetValue(E285,R285/100,Trigger)</f>
        <v>#NAME?</v>
      </c>
      <c r="T285" s="129"/>
      <c r="V285" s="160"/>
    </row>
    <row r="286" spans="1:22" x14ac:dyDescent="0.2">
      <c r="A286" s="134"/>
      <c r="B286" s="45" t="str">
        <f t="shared" si="31"/>
        <v>12Y</v>
      </c>
      <c r="C286" s="45" t="str">
        <f t="shared" si="32"/>
        <v>20F</v>
      </c>
      <c r="D286" s="43" t="str">
        <f t="shared" si="33"/>
        <v>EUR20F12Y_Quote</v>
      </c>
      <c r="E286" s="43" t="e">
        <f ca="1">_xll.cfyql_SimpleQuote(D286,,RateTickValue,Permanent,Trigger,ObjectOverwrite)</f>
        <v>#NAME?</v>
      </c>
      <c r="F286" s="42" t="e">
        <f ca="1">_xll.ohRangeRetrieveError(E286)</f>
        <v>#NAME?</v>
      </c>
      <c r="G286" s="36"/>
      <c r="H286" s="161"/>
      <c r="I286" s="112"/>
      <c r="J286" s="137" t="s">
        <v>44</v>
      </c>
      <c r="K286" s="137" t="str">
        <f t="shared" si="35"/>
        <v>20F</v>
      </c>
      <c r="L286" s="139" t="str">
        <f t="shared" si="34"/>
        <v>EUR20F12Y</v>
      </c>
      <c r="M286" s="139" t="str">
        <v>EUR20F12Y=ICAP</v>
      </c>
      <c r="N286" s="78">
        <v>1.617</v>
      </c>
      <c r="O286" s="111"/>
      <c r="P286" s="78">
        <v>1.617</v>
      </c>
      <c r="Q286" s="111"/>
      <c r="R286" s="78">
        <v>1.617</v>
      </c>
      <c r="S286" s="78" t="e">
        <f ca="1">_xll.cfyql_SimpleQuoteSetValue(E286,R286/100,Trigger)</f>
        <v>#NAME?</v>
      </c>
      <c r="T286" s="129"/>
      <c r="V286" s="160"/>
    </row>
    <row r="287" spans="1:22" x14ac:dyDescent="0.2">
      <c r="A287" s="134"/>
      <c r="B287" s="45" t="str">
        <f t="shared" si="31"/>
        <v>13Y</v>
      </c>
      <c r="C287" s="45" t="str">
        <f t="shared" si="32"/>
        <v>20F</v>
      </c>
      <c r="D287" s="43" t="str">
        <f t="shared" si="33"/>
        <v>EUR20F13Y_Quote</v>
      </c>
      <c r="E287" s="43" t="e">
        <f ca="1">_xll.cfyql_SimpleQuote(D287,,RateTickValue,Permanent,Trigger,ObjectOverwrite)</f>
        <v>#NAME?</v>
      </c>
      <c r="F287" s="42" t="e">
        <f ca="1">_xll.ohRangeRetrieveError(E287)</f>
        <v>#NAME?</v>
      </c>
      <c r="G287" s="36"/>
      <c r="H287" s="161"/>
      <c r="I287" s="112"/>
      <c r="J287" s="137" t="s">
        <v>43</v>
      </c>
      <c r="K287" s="137" t="str">
        <f t="shared" si="35"/>
        <v>20F</v>
      </c>
      <c r="L287" s="139" t="str">
        <f t="shared" si="34"/>
        <v>EUR20F13Y</v>
      </c>
      <c r="M287" s="139" t="str">
        <v>EUR20F13Y=ICAP</v>
      </c>
      <c r="N287" s="78">
        <v>1.615</v>
      </c>
      <c r="O287" s="111"/>
      <c r="P287" s="78">
        <v>1.615</v>
      </c>
      <c r="Q287" s="111"/>
      <c r="R287" s="78">
        <v>1.615</v>
      </c>
      <c r="S287" s="78" t="e">
        <f ca="1">_xll.cfyql_SimpleQuoteSetValue(E287,R287/100,Trigger)</f>
        <v>#NAME?</v>
      </c>
      <c r="T287" s="129"/>
      <c r="V287" s="160"/>
    </row>
    <row r="288" spans="1:22" x14ac:dyDescent="0.2">
      <c r="A288" s="134"/>
      <c r="B288" s="45" t="str">
        <f t="shared" si="31"/>
        <v>14Y</v>
      </c>
      <c r="C288" s="45" t="str">
        <f t="shared" si="32"/>
        <v>20F</v>
      </c>
      <c r="D288" s="43" t="str">
        <f t="shared" si="33"/>
        <v>EUR20F14Y_Quote</v>
      </c>
      <c r="E288" s="43" t="e">
        <f ca="1">_xll.cfyql_SimpleQuote(D288,,RateTickValue,Permanent,Trigger,ObjectOverwrite)</f>
        <v>#NAME?</v>
      </c>
      <c r="F288" s="42" t="e">
        <f ca="1">_xll.ohRangeRetrieveError(E288)</f>
        <v>#NAME?</v>
      </c>
      <c r="G288" s="36"/>
      <c r="H288" s="161"/>
      <c r="I288" s="112"/>
      <c r="J288" s="137" t="s">
        <v>42</v>
      </c>
      <c r="K288" s="137" t="str">
        <f t="shared" si="35"/>
        <v>20F</v>
      </c>
      <c r="L288" s="139" t="str">
        <f t="shared" si="34"/>
        <v>EUR20F14Y</v>
      </c>
      <c r="M288" s="139" t="str">
        <v>EUR20F14Y=ICAP</v>
      </c>
      <c r="N288" s="78">
        <v>1.613</v>
      </c>
      <c r="O288" s="111"/>
      <c r="P288" s="78">
        <v>1.613</v>
      </c>
      <c r="Q288" s="111"/>
      <c r="R288" s="78">
        <v>1.613</v>
      </c>
      <c r="S288" s="78" t="e">
        <f ca="1">_xll.cfyql_SimpleQuoteSetValue(E288,R288/100,Trigger)</f>
        <v>#NAME?</v>
      </c>
      <c r="T288" s="129"/>
      <c r="V288" s="160"/>
    </row>
    <row r="289" spans="1:22" x14ac:dyDescent="0.2">
      <c r="A289" s="134"/>
      <c r="B289" s="45" t="str">
        <f t="shared" si="31"/>
        <v>15Y</v>
      </c>
      <c r="C289" s="45" t="str">
        <f t="shared" si="32"/>
        <v>20F</v>
      </c>
      <c r="D289" s="43" t="str">
        <f t="shared" si="33"/>
        <v>EUR20F15Y_Quote</v>
      </c>
      <c r="E289" s="43" t="e">
        <f ca="1">_xll.cfyql_SimpleQuote(D289,,RateTickValue,Permanent,Trigger,ObjectOverwrite)</f>
        <v>#NAME?</v>
      </c>
      <c r="F289" s="42" t="e">
        <f ca="1">_xll.ohRangeRetrieveError(E289)</f>
        <v>#NAME?</v>
      </c>
      <c r="G289" s="36"/>
      <c r="H289" s="161"/>
      <c r="I289" s="112"/>
      <c r="J289" s="137" t="s">
        <v>41</v>
      </c>
      <c r="K289" s="137" t="str">
        <f t="shared" si="35"/>
        <v>20F</v>
      </c>
      <c r="L289" s="139" t="str">
        <f t="shared" si="34"/>
        <v>EUR20F15Y</v>
      </c>
      <c r="M289" s="139" t="str">
        <v>EUR20F15Y=ICAP</v>
      </c>
      <c r="N289" s="78">
        <v>1.611</v>
      </c>
      <c r="O289" s="111"/>
      <c r="P289" s="78">
        <v>1.611</v>
      </c>
      <c r="Q289" s="111"/>
      <c r="R289" s="78">
        <v>1.611</v>
      </c>
      <c r="S289" s="78" t="e">
        <f ca="1">_xll.cfyql_SimpleQuoteSetValue(E289,R289/100,Trigger)</f>
        <v>#NAME?</v>
      </c>
      <c r="T289" s="129"/>
      <c r="V289" s="160"/>
    </row>
    <row r="290" spans="1:22" x14ac:dyDescent="0.2">
      <c r="A290" s="134"/>
      <c r="B290" s="45" t="str">
        <f t="shared" si="31"/>
        <v>20Y</v>
      </c>
      <c r="C290" s="45" t="str">
        <f t="shared" si="32"/>
        <v>20F</v>
      </c>
      <c r="D290" s="43" t="str">
        <f t="shared" si="33"/>
        <v>EUR20F20Y_Quote</v>
      </c>
      <c r="E290" s="43" t="e">
        <f ca="1">_xll.cfyql_SimpleQuote(D290,,RateTickValue,Permanent,Trigger,ObjectOverwrite)</f>
        <v>#NAME?</v>
      </c>
      <c r="F290" s="42" t="e">
        <f ca="1">_xll.ohRangeRetrieveError(E290)</f>
        <v>#NAME?</v>
      </c>
      <c r="G290" s="36"/>
      <c r="H290" s="161"/>
      <c r="I290" s="112"/>
      <c r="J290" s="137" t="s">
        <v>36</v>
      </c>
      <c r="K290" s="137" t="str">
        <f t="shared" si="35"/>
        <v>20F</v>
      </c>
      <c r="L290" s="139" t="str">
        <f t="shared" si="34"/>
        <v>EUR20F20Y</v>
      </c>
      <c r="M290" s="139" t="str">
        <v>EUR20F20Y=ICAP</v>
      </c>
      <c r="N290" s="78">
        <v>1.5860000000000001</v>
      </c>
      <c r="O290" s="111"/>
      <c r="P290" s="78">
        <v>1.5860000000000001</v>
      </c>
      <c r="Q290" s="111"/>
      <c r="R290" s="78">
        <v>1.5860000000000001</v>
      </c>
      <c r="S290" s="78" t="e">
        <f ca="1">_xll.cfyql_SimpleQuoteSetValue(E290,R290/100,Trigger)</f>
        <v>#NAME?</v>
      </c>
      <c r="T290" s="129"/>
      <c r="V290" s="160"/>
    </row>
    <row r="291" spans="1:22" x14ac:dyDescent="0.2">
      <c r="A291" s="134"/>
      <c r="B291" s="45" t="str">
        <f t="shared" si="31"/>
        <v>25Y</v>
      </c>
      <c r="C291" s="45" t="str">
        <f t="shared" si="32"/>
        <v>20F</v>
      </c>
      <c r="D291" s="43" t="str">
        <f t="shared" si="33"/>
        <v>EUR20F25Y_Quote</v>
      </c>
      <c r="E291" s="43" t="e">
        <f ca="1">_xll.cfyql_SimpleQuote(D291,,RateTickValue,Permanent,Trigger,ObjectOverwrite)</f>
        <v>#NAME?</v>
      </c>
      <c r="F291" s="42" t="e">
        <f ca="1">_xll.ohRangeRetrieveError(E291)</f>
        <v>#NAME?</v>
      </c>
      <c r="G291" s="36"/>
      <c r="H291" s="161"/>
      <c r="I291" s="112"/>
      <c r="J291" s="137" t="s">
        <v>31</v>
      </c>
      <c r="K291" s="137" t="str">
        <f t="shared" si="35"/>
        <v>20F</v>
      </c>
      <c r="L291" s="139" t="str">
        <f t="shared" si="34"/>
        <v>EUR20F25Y</v>
      </c>
      <c r="M291" s="139" t="str">
        <v>EUR20F25Y=ICAP</v>
      </c>
      <c r="N291" s="78">
        <v>1.542</v>
      </c>
      <c r="O291" s="111"/>
      <c r="P291" s="78">
        <v>1.542</v>
      </c>
      <c r="Q291" s="111"/>
      <c r="R291" s="78">
        <v>1.542</v>
      </c>
      <c r="S291" s="78" t="e">
        <f ca="1">_xll.cfyql_SimpleQuoteSetValue(E291,R291/100,Trigger)</f>
        <v>#NAME?</v>
      </c>
      <c r="T291" s="129"/>
      <c r="V291" s="160"/>
    </row>
    <row r="292" spans="1:22" x14ac:dyDescent="0.2">
      <c r="A292" s="134"/>
      <c r="B292" s="45" t="str">
        <f t="shared" si="31"/>
        <v>30Y</v>
      </c>
      <c r="C292" s="45" t="str">
        <f t="shared" si="32"/>
        <v>20F</v>
      </c>
      <c r="D292" s="43" t="str">
        <f t="shared" si="33"/>
        <v>EUR20F30Y_Quote</v>
      </c>
      <c r="E292" s="43" t="e">
        <f ca="1">_xll.cfyql_SimpleQuote(D292,,RateTickValue,Permanent,Trigger,ObjectOverwrite)</f>
        <v>#NAME?</v>
      </c>
      <c r="F292" s="42" t="e">
        <f ca="1">_xll.ohRangeRetrieveError(E292)</f>
        <v>#NAME?</v>
      </c>
      <c r="G292" s="36"/>
      <c r="H292" s="161"/>
      <c r="I292" s="112"/>
      <c r="J292" s="130" t="s">
        <v>26</v>
      </c>
      <c r="K292" s="130" t="str">
        <f t="shared" si="35"/>
        <v>20F</v>
      </c>
      <c r="L292" s="132" t="str">
        <f t="shared" si="34"/>
        <v>EUR20F30Y</v>
      </c>
      <c r="M292" s="132" t="str">
        <v>EUR20F30Y=ICAP</v>
      </c>
      <c r="N292" s="65">
        <v>1.478</v>
      </c>
      <c r="O292" s="111"/>
      <c r="P292" s="65">
        <v>1.478</v>
      </c>
      <c r="Q292" s="111"/>
      <c r="R292" s="65">
        <v>1.478</v>
      </c>
      <c r="S292" s="65" t="e">
        <f ca="1">_xll.cfyql_SimpleQuoteSetValue(E292,R292/100,Trigger)</f>
        <v>#NAME?</v>
      </c>
      <c r="T292" s="129"/>
      <c r="V292" s="160"/>
    </row>
    <row r="293" spans="1:22" x14ac:dyDescent="0.2">
      <c r="A293" s="134"/>
      <c r="B293" s="45" t="str">
        <f t="shared" si="31"/>
        <v>1Y</v>
      </c>
      <c r="C293" s="45" t="str">
        <f t="shared" si="32"/>
        <v>25F</v>
      </c>
      <c r="D293" s="43" t="str">
        <f t="shared" si="33"/>
        <v>EUR25F1Y_Quote</v>
      </c>
      <c r="E293" s="43" t="e">
        <f ca="1">_xll.cfyql_SimpleQuote(D293,,RateTickValue,Permanent,Trigger,ObjectOverwrite)</f>
        <v>#NAME?</v>
      </c>
      <c r="F293" s="42" t="e">
        <f ca="1">_xll.ohRangeRetrieveError(E293)</f>
        <v>#NAME?</v>
      </c>
      <c r="G293" s="36"/>
      <c r="H293" s="161"/>
      <c r="I293" s="134">
        <v>25</v>
      </c>
      <c r="J293" s="163" t="s">
        <v>58</v>
      </c>
      <c r="K293" s="163" t="str">
        <f t="shared" ref="K293:K310" si="36">$I$293&amp;"F"</f>
        <v>25F</v>
      </c>
      <c r="L293" s="162" t="str">
        <f t="shared" si="34"/>
        <v>EUR25F1Y</v>
      </c>
      <c r="M293" s="162" t="str">
        <v>EUR25F1Y=ICAP</v>
      </c>
      <c r="N293" s="89">
        <v>1.554</v>
      </c>
      <c r="O293" s="111"/>
      <c r="P293" s="89">
        <v>1.554</v>
      </c>
      <c r="Q293" s="111"/>
      <c r="R293" s="89">
        <v>1.554</v>
      </c>
      <c r="S293" s="89" t="e">
        <f ca="1">_xll.cfyql_SimpleQuoteSetValue(E293,R293/100,Trigger)</f>
        <v>#NAME?</v>
      </c>
      <c r="T293" s="129"/>
      <c r="V293" s="160"/>
    </row>
    <row r="294" spans="1:22" x14ac:dyDescent="0.2">
      <c r="A294" s="134"/>
      <c r="B294" s="45" t="str">
        <f t="shared" si="31"/>
        <v>2Y</v>
      </c>
      <c r="C294" s="45" t="str">
        <f t="shared" si="32"/>
        <v>25F</v>
      </c>
      <c r="D294" s="43" t="str">
        <f t="shared" si="33"/>
        <v>EUR25F2Y_Quote</v>
      </c>
      <c r="E294" s="43" t="e">
        <f ca="1">_xll.cfyql_SimpleQuote(D294,,RateTickValue,Permanent,Trigger,ObjectOverwrite)</f>
        <v>#NAME?</v>
      </c>
      <c r="F294" s="42" t="e">
        <f ca="1">_xll.ohRangeRetrieveError(E294)</f>
        <v>#NAME?</v>
      </c>
      <c r="G294" s="36"/>
      <c r="H294" s="161"/>
      <c r="I294" s="112"/>
      <c r="J294" s="137" t="s">
        <v>54</v>
      </c>
      <c r="K294" s="137" t="str">
        <f t="shared" si="36"/>
        <v>25F</v>
      </c>
      <c r="L294" s="139" t="str">
        <f t="shared" si="34"/>
        <v>EUR25F2Y</v>
      </c>
      <c r="M294" s="139" t="str">
        <v>EUR25F2Y=ICAP</v>
      </c>
      <c r="N294" s="78">
        <v>1.556</v>
      </c>
      <c r="O294" s="111"/>
      <c r="P294" s="78">
        <v>1.556</v>
      </c>
      <c r="Q294" s="111"/>
      <c r="R294" s="78">
        <v>1.556</v>
      </c>
      <c r="S294" s="78" t="e">
        <f ca="1">_xll.cfyql_SimpleQuoteSetValue(E294,R294/100,Trigger)</f>
        <v>#NAME?</v>
      </c>
      <c r="T294" s="129"/>
      <c r="V294" s="160"/>
    </row>
    <row r="295" spans="1:22" x14ac:dyDescent="0.2">
      <c r="A295" s="134"/>
      <c r="B295" s="45" t="str">
        <f t="shared" si="31"/>
        <v>3Y</v>
      </c>
      <c r="C295" s="45" t="str">
        <f t="shared" si="32"/>
        <v>25F</v>
      </c>
      <c r="D295" s="43" t="str">
        <f t="shared" si="33"/>
        <v>EUR25F3Y_Quote</v>
      </c>
      <c r="E295" s="43" t="e">
        <f ca="1">_xll.cfyql_SimpleQuote(D295,,RateTickValue,Permanent,Trigger,ObjectOverwrite)</f>
        <v>#NAME?</v>
      </c>
      <c r="F295" s="42" t="e">
        <f ca="1">_xll.ohRangeRetrieveError(E295)</f>
        <v>#NAME?</v>
      </c>
      <c r="G295" s="36"/>
      <c r="H295" s="161"/>
      <c r="I295" s="112"/>
      <c r="J295" s="137" t="s">
        <v>53</v>
      </c>
      <c r="K295" s="137" t="str">
        <f t="shared" si="36"/>
        <v>25F</v>
      </c>
      <c r="L295" s="139" t="str">
        <f t="shared" si="34"/>
        <v>EUR25F3Y</v>
      </c>
      <c r="M295" s="139" t="str">
        <v>EUR25F3Y=ICAP</v>
      </c>
      <c r="N295" s="78">
        <v>1.5569999999999999</v>
      </c>
      <c r="O295" s="111"/>
      <c r="P295" s="78">
        <v>1.5569999999999999</v>
      </c>
      <c r="Q295" s="111"/>
      <c r="R295" s="78">
        <v>1.5569999999999999</v>
      </c>
      <c r="S295" s="78" t="e">
        <f ca="1">_xll.cfyql_SimpleQuoteSetValue(E295,R295/100,Trigger)</f>
        <v>#NAME?</v>
      </c>
      <c r="T295" s="129"/>
      <c r="V295" s="160"/>
    </row>
    <row r="296" spans="1:22" x14ac:dyDescent="0.2">
      <c r="A296" s="134"/>
      <c r="B296" s="45" t="str">
        <f t="shared" si="31"/>
        <v>4Y</v>
      </c>
      <c r="C296" s="45" t="str">
        <f t="shared" si="32"/>
        <v>25F</v>
      </c>
      <c r="D296" s="43" t="str">
        <f t="shared" si="33"/>
        <v>EUR25F4Y_Quote</v>
      </c>
      <c r="E296" s="43" t="e">
        <f ca="1">_xll.cfyql_SimpleQuote(D296,,RateTickValue,Permanent,Trigger,ObjectOverwrite)</f>
        <v>#NAME?</v>
      </c>
      <c r="F296" s="42" t="e">
        <f ca="1">_xll.ohRangeRetrieveError(E296)</f>
        <v>#NAME?</v>
      </c>
      <c r="G296" s="36"/>
      <c r="H296" s="161"/>
      <c r="I296" s="112"/>
      <c r="J296" s="137" t="s">
        <v>52</v>
      </c>
      <c r="K296" s="137" t="str">
        <f t="shared" si="36"/>
        <v>25F</v>
      </c>
      <c r="L296" s="139" t="str">
        <f t="shared" si="34"/>
        <v>EUR25F4Y</v>
      </c>
      <c r="M296" s="139" t="str">
        <v>EUR25F4Y=ICAP</v>
      </c>
      <c r="N296" s="78">
        <v>1.5489999999999999</v>
      </c>
      <c r="O296" s="111"/>
      <c r="P296" s="78">
        <v>1.5489999999999999</v>
      </c>
      <c r="Q296" s="111"/>
      <c r="R296" s="78">
        <v>1.5489999999999999</v>
      </c>
      <c r="S296" s="78" t="e">
        <f ca="1">_xll.cfyql_SimpleQuoteSetValue(E296,R296/100,Trigger)</f>
        <v>#NAME?</v>
      </c>
      <c r="T296" s="129"/>
      <c r="V296" s="160"/>
    </row>
    <row r="297" spans="1:22" x14ac:dyDescent="0.2">
      <c r="A297" s="134"/>
      <c r="B297" s="45" t="str">
        <f t="shared" si="31"/>
        <v>5Y</v>
      </c>
      <c r="C297" s="45" t="str">
        <f t="shared" si="32"/>
        <v>25F</v>
      </c>
      <c r="D297" s="43" t="str">
        <f t="shared" si="33"/>
        <v>EUR25F5Y_Quote</v>
      </c>
      <c r="E297" s="43" t="e">
        <f ca="1">_xll.cfyql_SimpleQuote(D297,,RateTickValue,Permanent,Trigger,ObjectOverwrite)</f>
        <v>#NAME?</v>
      </c>
      <c r="F297" s="42" t="e">
        <f ca="1">_xll.ohRangeRetrieveError(E297)</f>
        <v>#NAME?</v>
      </c>
      <c r="G297" s="36"/>
      <c r="H297" s="161"/>
      <c r="I297" s="112"/>
      <c r="J297" s="137" t="s">
        <v>51</v>
      </c>
      <c r="K297" s="137" t="str">
        <f t="shared" si="36"/>
        <v>25F</v>
      </c>
      <c r="L297" s="139" t="str">
        <f t="shared" si="34"/>
        <v>EUR25F5Y</v>
      </c>
      <c r="M297" s="139" t="str">
        <v>EUR25F5Y=ICAP</v>
      </c>
      <c r="N297" s="78">
        <v>1.552</v>
      </c>
      <c r="O297" s="111"/>
      <c r="P297" s="78">
        <v>1.552</v>
      </c>
      <c r="Q297" s="111"/>
      <c r="R297" s="78">
        <v>1.552</v>
      </c>
      <c r="S297" s="78" t="e">
        <f ca="1">_xll.cfyql_SimpleQuoteSetValue(E297,R297/100,Trigger)</f>
        <v>#NAME?</v>
      </c>
      <c r="T297" s="129"/>
      <c r="V297" s="160"/>
    </row>
    <row r="298" spans="1:22" x14ac:dyDescent="0.2">
      <c r="A298" s="134"/>
      <c r="B298" s="45" t="str">
        <f t="shared" si="31"/>
        <v>6Y</v>
      </c>
      <c r="C298" s="45" t="str">
        <f t="shared" si="32"/>
        <v>25F</v>
      </c>
      <c r="D298" s="43" t="str">
        <f t="shared" si="33"/>
        <v>EUR25F6Y_Quote</v>
      </c>
      <c r="E298" s="43" t="e">
        <f ca="1">_xll.cfyql_SimpleQuote(D298,,RateTickValue,Permanent,Trigger,ObjectOverwrite)</f>
        <v>#NAME?</v>
      </c>
      <c r="F298" s="42" t="e">
        <f ca="1">_xll.ohRangeRetrieveError(E298)</f>
        <v>#NAME?</v>
      </c>
      <c r="G298" s="36"/>
      <c r="H298" s="161"/>
      <c r="I298" s="112"/>
      <c r="J298" s="137" t="s">
        <v>50</v>
      </c>
      <c r="K298" s="137" t="str">
        <f t="shared" si="36"/>
        <v>25F</v>
      </c>
      <c r="L298" s="139" t="str">
        <f t="shared" si="34"/>
        <v>EUR25F6Y</v>
      </c>
      <c r="M298" s="139" t="str">
        <v>EUR25F6Y=ICAP</v>
      </c>
      <c r="N298" s="78">
        <v>1.5549999999999999</v>
      </c>
      <c r="O298" s="111"/>
      <c r="P298" s="78">
        <v>1.5549999999999999</v>
      </c>
      <c r="Q298" s="111"/>
      <c r="R298" s="78">
        <v>1.5549999999999999</v>
      </c>
      <c r="S298" s="78" t="e">
        <f ca="1">_xll.cfyql_SimpleQuoteSetValue(E298,R298/100,Trigger)</f>
        <v>#NAME?</v>
      </c>
      <c r="T298" s="129"/>
      <c r="V298" s="160"/>
    </row>
    <row r="299" spans="1:22" x14ac:dyDescent="0.2">
      <c r="A299" s="134"/>
      <c r="B299" s="45" t="str">
        <f t="shared" si="31"/>
        <v>7Y</v>
      </c>
      <c r="C299" s="45" t="str">
        <f t="shared" si="32"/>
        <v>25F</v>
      </c>
      <c r="D299" s="43" t="str">
        <f t="shared" si="33"/>
        <v>EUR25F7Y_Quote</v>
      </c>
      <c r="E299" s="43" t="e">
        <f ca="1">_xll.cfyql_SimpleQuote(D299,,RateTickValue,Permanent,Trigger,ObjectOverwrite)</f>
        <v>#NAME?</v>
      </c>
      <c r="F299" s="42" t="e">
        <f ca="1">_xll.ohRangeRetrieveError(E299)</f>
        <v>#NAME?</v>
      </c>
      <c r="G299" s="36"/>
      <c r="H299" s="161"/>
      <c r="I299" s="112"/>
      <c r="J299" s="137" t="s">
        <v>49</v>
      </c>
      <c r="K299" s="137" t="str">
        <f t="shared" si="36"/>
        <v>25F</v>
      </c>
      <c r="L299" s="139" t="str">
        <f t="shared" si="34"/>
        <v>EUR25F7Y</v>
      </c>
      <c r="M299" s="139" t="str">
        <v>EUR25F7Y=ICAP</v>
      </c>
      <c r="N299" s="78">
        <v>1.5589999999999999</v>
      </c>
      <c r="O299" s="111"/>
      <c r="P299" s="78">
        <v>1.5589999999999999</v>
      </c>
      <c r="Q299" s="111"/>
      <c r="R299" s="78">
        <v>1.5589999999999999</v>
      </c>
      <c r="S299" s="78" t="e">
        <f ca="1">_xll.cfyql_SimpleQuoteSetValue(E299,R299/100,Trigger)</f>
        <v>#NAME?</v>
      </c>
      <c r="T299" s="129"/>
      <c r="V299" s="160"/>
    </row>
    <row r="300" spans="1:22" x14ac:dyDescent="0.2">
      <c r="A300" s="134"/>
      <c r="B300" s="45" t="str">
        <f t="shared" si="31"/>
        <v>8Y</v>
      </c>
      <c r="C300" s="45" t="str">
        <f t="shared" si="32"/>
        <v>25F</v>
      </c>
      <c r="D300" s="43" t="str">
        <f t="shared" si="33"/>
        <v>EUR25F8Y_Quote</v>
      </c>
      <c r="E300" s="43" t="e">
        <f ca="1">_xll.cfyql_SimpleQuote(D300,,RateTickValue,Permanent,Trigger,ObjectOverwrite)</f>
        <v>#NAME?</v>
      </c>
      <c r="F300" s="42" t="e">
        <f ca="1">_xll.ohRangeRetrieveError(E300)</f>
        <v>#NAME?</v>
      </c>
      <c r="G300" s="36"/>
      <c r="H300" s="161"/>
      <c r="I300" s="112"/>
      <c r="J300" s="137" t="s">
        <v>48</v>
      </c>
      <c r="K300" s="137" t="str">
        <f t="shared" si="36"/>
        <v>25F</v>
      </c>
      <c r="L300" s="139" t="str">
        <f t="shared" si="34"/>
        <v>EUR25F8Y</v>
      </c>
      <c r="M300" s="139" t="str">
        <v>EUR25F8Y=ICAP</v>
      </c>
      <c r="N300" s="78">
        <v>1.5629999999999999</v>
      </c>
      <c r="O300" s="111"/>
      <c r="P300" s="78">
        <v>1.5629999999999999</v>
      </c>
      <c r="Q300" s="111"/>
      <c r="R300" s="78">
        <v>1.5629999999999999</v>
      </c>
      <c r="S300" s="78" t="e">
        <f ca="1">_xll.cfyql_SimpleQuoteSetValue(E300,R300/100,Trigger)</f>
        <v>#NAME?</v>
      </c>
      <c r="T300" s="129"/>
      <c r="V300" s="160"/>
    </row>
    <row r="301" spans="1:22" x14ac:dyDescent="0.2">
      <c r="A301" s="134"/>
      <c r="B301" s="45" t="str">
        <f t="shared" si="31"/>
        <v>9Y</v>
      </c>
      <c r="C301" s="45" t="str">
        <f t="shared" si="32"/>
        <v>25F</v>
      </c>
      <c r="D301" s="43" t="str">
        <f t="shared" si="33"/>
        <v>EUR25F9Y_Quote</v>
      </c>
      <c r="E301" s="43" t="e">
        <f ca="1">_xll.cfyql_SimpleQuote(D301,,RateTickValue,Permanent,Trigger,ObjectOverwrite)</f>
        <v>#NAME?</v>
      </c>
      <c r="F301" s="42" t="e">
        <f ca="1">_xll.ohRangeRetrieveError(E301)</f>
        <v>#NAME?</v>
      </c>
      <c r="G301" s="36"/>
      <c r="H301" s="161"/>
      <c r="I301" s="112"/>
      <c r="J301" s="137" t="s">
        <v>47</v>
      </c>
      <c r="K301" s="137" t="str">
        <f t="shared" si="36"/>
        <v>25F</v>
      </c>
      <c r="L301" s="139" t="str">
        <f t="shared" si="34"/>
        <v>EUR25F9Y</v>
      </c>
      <c r="M301" s="139" t="str">
        <v>EUR25F9Y=ICAP</v>
      </c>
      <c r="N301" s="78">
        <v>1.5649999999999999</v>
      </c>
      <c r="O301" s="111"/>
      <c r="P301" s="78">
        <v>1.5649999999999999</v>
      </c>
      <c r="Q301" s="111"/>
      <c r="R301" s="78">
        <v>1.5649999999999999</v>
      </c>
      <c r="S301" s="78" t="e">
        <f ca="1">_xll.cfyql_SimpleQuoteSetValue(E301,R301/100,Trigger)</f>
        <v>#NAME?</v>
      </c>
      <c r="T301" s="129"/>
      <c r="V301" s="160"/>
    </row>
    <row r="302" spans="1:22" x14ac:dyDescent="0.2">
      <c r="A302" s="134"/>
      <c r="B302" s="45" t="str">
        <f t="shared" si="31"/>
        <v>10Y</v>
      </c>
      <c r="C302" s="45" t="str">
        <f t="shared" si="32"/>
        <v>25F</v>
      </c>
      <c r="D302" s="43" t="str">
        <f t="shared" si="33"/>
        <v>EUR25F10Y_Quote</v>
      </c>
      <c r="E302" s="43" t="e">
        <f ca="1">_xll.cfyql_SimpleQuote(D302,,RateTickValue,Permanent,Trigger,ObjectOverwrite)</f>
        <v>#NAME?</v>
      </c>
      <c r="F302" s="42" t="e">
        <f ca="1">_xll.ohRangeRetrieveError(E302)</f>
        <v>#NAME?</v>
      </c>
      <c r="G302" s="36"/>
      <c r="H302" s="161"/>
      <c r="I302" s="112"/>
      <c r="J302" s="137" t="s">
        <v>46</v>
      </c>
      <c r="K302" s="137" t="str">
        <f t="shared" si="36"/>
        <v>25F</v>
      </c>
      <c r="L302" s="139" t="str">
        <f t="shared" si="34"/>
        <v>EUR25F10Y</v>
      </c>
      <c r="M302" s="139" t="str">
        <v>EUR25F10Y=ICAP</v>
      </c>
      <c r="N302" s="78">
        <v>1.5660000000000001</v>
      </c>
      <c r="O302" s="111"/>
      <c r="P302" s="78">
        <v>1.5660000000000001</v>
      </c>
      <c r="Q302" s="111"/>
      <c r="R302" s="78">
        <v>1.5660000000000001</v>
      </c>
      <c r="S302" s="78" t="e">
        <f ca="1">_xll.cfyql_SimpleQuoteSetValue(E302,R302/100,Trigger)</f>
        <v>#NAME?</v>
      </c>
      <c r="T302" s="129"/>
      <c r="V302" s="160"/>
    </row>
    <row r="303" spans="1:22" x14ac:dyDescent="0.2">
      <c r="A303" s="134"/>
      <c r="B303" s="45" t="str">
        <f t="shared" si="31"/>
        <v>11Y</v>
      </c>
      <c r="C303" s="45" t="str">
        <f t="shared" si="32"/>
        <v>25F</v>
      </c>
      <c r="D303" s="43" t="str">
        <f t="shared" si="33"/>
        <v>EUR25F11Y_Quote</v>
      </c>
      <c r="E303" s="43" t="e">
        <f ca="1">_xll.cfyql_SimpleQuote(D303,,RateTickValue,Permanent,Trigger,ObjectOverwrite)</f>
        <v>#NAME?</v>
      </c>
      <c r="F303" s="42" t="e">
        <f ca="1">_xll.ohRangeRetrieveError(E303)</f>
        <v>#NAME?</v>
      </c>
      <c r="G303" s="36"/>
      <c r="H303" s="161"/>
      <c r="I303" s="112"/>
      <c r="J303" s="137" t="s">
        <v>45</v>
      </c>
      <c r="K303" s="137" t="str">
        <f t="shared" si="36"/>
        <v>25F</v>
      </c>
      <c r="L303" s="139" t="str">
        <f t="shared" si="34"/>
        <v>EUR25F11Y</v>
      </c>
      <c r="M303" s="139" t="str">
        <v>EUR25F11Y=ICAP</v>
      </c>
      <c r="N303" s="78">
        <v>1.5640000000000001</v>
      </c>
      <c r="O303" s="111"/>
      <c r="P303" s="78">
        <v>1.5640000000000001</v>
      </c>
      <c r="Q303" s="111"/>
      <c r="R303" s="78">
        <v>1.5640000000000001</v>
      </c>
      <c r="S303" s="78" t="e">
        <f ca="1">_xll.cfyql_SimpleQuoteSetValue(E303,R303/100,Trigger)</f>
        <v>#NAME?</v>
      </c>
      <c r="T303" s="129"/>
      <c r="V303" s="160"/>
    </row>
    <row r="304" spans="1:22" x14ac:dyDescent="0.2">
      <c r="A304" s="134"/>
      <c r="B304" s="45" t="str">
        <f t="shared" si="31"/>
        <v>12Y</v>
      </c>
      <c r="C304" s="45" t="str">
        <f t="shared" si="32"/>
        <v>25F</v>
      </c>
      <c r="D304" s="43" t="str">
        <f t="shared" si="33"/>
        <v>EUR25F12Y_Quote</v>
      </c>
      <c r="E304" s="43" t="e">
        <f ca="1">_xll.cfyql_SimpleQuote(D304,,RateTickValue,Permanent,Trigger,ObjectOverwrite)</f>
        <v>#NAME?</v>
      </c>
      <c r="F304" s="42" t="e">
        <f ca="1">_xll.ohRangeRetrieveError(E304)</f>
        <v>#NAME?</v>
      </c>
      <c r="G304" s="36"/>
      <c r="H304" s="161"/>
      <c r="I304" s="112"/>
      <c r="J304" s="137" t="s">
        <v>44</v>
      </c>
      <c r="K304" s="137" t="str">
        <f t="shared" si="36"/>
        <v>25F</v>
      </c>
      <c r="L304" s="139" t="str">
        <f t="shared" si="34"/>
        <v>EUR25F12Y</v>
      </c>
      <c r="M304" s="139" t="str">
        <v>EUR25F12Y=ICAP</v>
      </c>
      <c r="N304" s="78">
        <v>1.5609999999999999</v>
      </c>
      <c r="O304" s="111"/>
      <c r="P304" s="78">
        <v>1.5609999999999999</v>
      </c>
      <c r="Q304" s="111"/>
      <c r="R304" s="78">
        <v>1.5609999999999999</v>
      </c>
      <c r="S304" s="78" t="e">
        <f ca="1">_xll.cfyql_SimpleQuoteSetValue(E304,R304/100,Trigger)</f>
        <v>#NAME?</v>
      </c>
      <c r="T304" s="129"/>
      <c r="V304" s="160"/>
    </row>
    <row r="305" spans="1:22" x14ac:dyDescent="0.2">
      <c r="A305" s="134"/>
      <c r="B305" s="45" t="str">
        <f t="shared" si="31"/>
        <v>13Y</v>
      </c>
      <c r="C305" s="45" t="str">
        <f t="shared" si="32"/>
        <v>25F</v>
      </c>
      <c r="D305" s="43" t="str">
        <f t="shared" si="33"/>
        <v>EUR25F13Y_Quote</v>
      </c>
      <c r="E305" s="43" t="e">
        <f ca="1">_xll.cfyql_SimpleQuote(D305,,RateTickValue,Permanent,Trigger,ObjectOverwrite)</f>
        <v>#NAME?</v>
      </c>
      <c r="F305" s="42" t="e">
        <f ca="1">_xll.ohRangeRetrieveError(E305)</f>
        <v>#NAME?</v>
      </c>
      <c r="G305" s="36"/>
      <c r="H305" s="161"/>
      <c r="I305" s="112"/>
      <c r="J305" s="137" t="s">
        <v>43</v>
      </c>
      <c r="K305" s="137" t="str">
        <f t="shared" si="36"/>
        <v>25F</v>
      </c>
      <c r="L305" s="139" t="str">
        <f t="shared" si="34"/>
        <v>EUR25F13Y</v>
      </c>
      <c r="M305" s="139" t="str">
        <v>EUR25F13Y=ICAP</v>
      </c>
      <c r="N305" s="78">
        <v>1.5569999999999999</v>
      </c>
      <c r="O305" s="111"/>
      <c r="P305" s="78">
        <v>1.5569999999999999</v>
      </c>
      <c r="Q305" s="111"/>
      <c r="R305" s="78">
        <v>1.5569999999999999</v>
      </c>
      <c r="S305" s="78" t="e">
        <f ca="1">_xll.cfyql_SimpleQuoteSetValue(E305,R305/100,Trigger)</f>
        <v>#NAME?</v>
      </c>
      <c r="T305" s="129"/>
      <c r="V305" s="160"/>
    </row>
    <row r="306" spans="1:22" x14ac:dyDescent="0.2">
      <c r="A306" s="134"/>
      <c r="B306" s="45" t="str">
        <f t="shared" si="31"/>
        <v>14Y</v>
      </c>
      <c r="C306" s="45" t="str">
        <f t="shared" si="32"/>
        <v>25F</v>
      </c>
      <c r="D306" s="43" t="str">
        <f t="shared" si="33"/>
        <v>EUR25F14Y_Quote</v>
      </c>
      <c r="E306" s="43" t="e">
        <f ca="1">_xll.cfyql_SimpleQuote(D306,,RateTickValue,Permanent,Trigger,ObjectOverwrite)</f>
        <v>#NAME?</v>
      </c>
      <c r="F306" s="42" t="e">
        <f ca="1">_xll.ohRangeRetrieveError(E306)</f>
        <v>#NAME?</v>
      </c>
      <c r="G306" s="36"/>
      <c r="H306" s="161"/>
      <c r="I306" s="112"/>
      <c r="J306" s="137" t="s">
        <v>42</v>
      </c>
      <c r="K306" s="137" t="str">
        <f t="shared" si="36"/>
        <v>25F</v>
      </c>
      <c r="L306" s="139" t="str">
        <f t="shared" si="34"/>
        <v>EUR25F14Y</v>
      </c>
      <c r="M306" s="139" t="str">
        <v>EUR25F14Y=ICAP</v>
      </c>
      <c r="N306" s="78">
        <v>1.552</v>
      </c>
      <c r="O306" s="111"/>
      <c r="P306" s="78">
        <v>1.552</v>
      </c>
      <c r="Q306" s="111"/>
      <c r="R306" s="78">
        <v>1.552</v>
      </c>
      <c r="S306" s="78" t="e">
        <f ca="1">_xll.cfyql_SimpleQuoteSetValue(E306,R306/100,Trigger)</f>
        <v>#NAME?</v>
      </c>
      <c r="T306" s="129"/>
      <c r="V306" s="160"/>
    </row>
    <row r="307" spans="1:22" x14ac:dyDescent="0.2">
      <c r="A307" s="134"/>
      <c r="B307" s="45" t="str">
        <f t="shared" si="31"/>
        <v>15Y</v>
      </c>
      <c r="C307" s="45" t="str">
        <f t="shared" si="32"/>
        <v>25F</v>
      </c>
      <c r="D307" s="43" t="str">
        <f t="shared" si="33"/>
        <v>EUR25F15Y_Quote</v>
      </c>
      <c r="E307" s="43" t="e">
        <f ca="1">_xll.cfyql_SimpleQuote(D307,,RateTickValue,Permanent,Trigger,ObjectOverwrite)</f>
        <v>#NAME?</v>
      </c>
      <c r="F307" s="42" t="e">
        <f ca="1">_xll.ohRangeRetrieveError(E307)</f>
        <v>#NAME?</v>
      </c>
      <c r="G307" s="36"/>
      <c r="H307" s="161"/>
      <c r="I307" s="112"/>
      <c r="J307" s="137" t="s">
        <v>41</v>
      </c>
      <c r="K307" s="137" t="str">
        <f t="shared" si="36"/>
        <v>25F</v>
      </c>
      <c r="L307" s="139" t="str">
        <f t="shared" si="34"/>
        <v>EUR25F15Y</v>
      </c>
      <c r="M307" s="139" t="str">
        <v>EUR25F15Y=ICAP</v>
      </c>
      <c r="N307" s="78">
        <v>1.5449999999999999</v>
      </c>
      <c r="O307" s="111"/>
      <c r="P307" s="78">
        <v>1.5449999999999999</v>
      </c>
      <c r="Q307" s="111"/>
      <c r="R307" s="78">
        <v>1.5449999999999999</v>
      </c>
      <c r="S307" s="78" t="e">
        <f ca="1">_xll.cfyql_SimpleQuoteSetValue(E307,R307/100,Trigger)</f>
        <v>#NAME?</v>
      </c>
      <c r="T307" s="129"/>
      <c r="V307" s="160"/>
    </row>
    <row r="308" spans="1:22" x14ac:dyDescent="0.2">
      <c r="A308" s="134"/>
      <c r="B308" s="45" t="str">
        <f t="shared" si="31"/>
        <v>20Y</v>
      </c>
      <c r="C308" s="45" t="str">
        <f t="shared" si="32"/>
        <v>25F</v>
      </c>
      <c r="D308" s="43" t="str">
        <f t="shared" si="33"/>
        <v>EUR25F20Y_Quote</v>
      </c>
      <c r="E308" s="43" t="e">
        <f ca="1">_xll.cfyql_SimpleQuote(D308,,RateTickValue,Permanent,Trigger,ObjectOverwrite)</f>
        <v>#NAME?</v>
      </c>
      <c r="F308" s="42" t="e">
        <f ca="1">_xll.ohRangeRetrieveError(E308)</f>
        <v>#NAME?</v>
      </c>
      <c r="G308" s="36"/>
      <c r="H308" s="161"/>
      <c r="I308" s="112"/>
      <c r="J308" s="137" t="s">
        <v>36</v>
      </c>
      <c r="K308" s="137" t="str">
        <f t="shared" si="36"/>
        <v>25F</v>
      </c>
      <c r="L308" s="139" t="str">
        <f t="shared" si="34"/>
        <v>EUR25F20Y</v>
      </c>
      <c r="M308" s="139" t="str">
        <v>EUR25F20Y=ICAP</v>
      </c>
      <c r="N308" s="78">
        <v>1.4969999999999999</v>
      </c>
      <c r="O308" s="111"/>
      <c r="P308" s="78">
        <v>1.4969999999999999</v>
      </c>
      <c r="Q308" s="111"/>
      <c r="R308" s="78">
        <v>1.4969999999999999</v>
      </c>
      <c r="S308" s="78" t="e">
        <f ca="1">_xll.cfyql_SimpleQuoteSetValue(E308,R308/100,Trigger)</f>
        <v>#NAME?</v>
      </c>
      <c r="T308" s="129"/>
      <c r="V308" s="160"/>
    </row>
    <row r="309" spans="1:22" x14ac:dyDescent="0.2">
      <c r="A309" s="134"/>
      <c r="B309" s="45" t="str">
        <f t="shared" si="31"/>
        <v>25Y</v>
      </c>
      <c r="C309" s="45" t="str">
        <f t="shared" si="32"/>
        <v>25F</v>
      </c>
      <c r="D309" s="43" t="str">
        <f t="shared" si="33"/>
        <v>EUR25F25Y_Quote</v>
      </c>
      <c r="E309" s="43" t="e">
        <f ca="1">_xll.cfyql_SimpleQuote(D309,,RateTickValue,Permanent,Trigger,ObjectOverwrite)</f>
        <v>#NAME?</v>
      </c>
      <c r="F309" s="42" t="e">
        <f ca="1">_xll.ohRangeRetrieveError(E309)</f>
        <v>#NAME?</v>
      </c>
      <c r="G309" s="36"/>
      <c r="H309" s="161"/>
      <c r="I309" s="112"/>
      <c r="J309" s="137" t="s">
        <v>31</v>
      </c>
      <c r="K309" s="137" t="str">
        <f t="shared" si="36"/>
        <v>25F</v>
      </c>
      <c r="L309" s="139" t="str">
        <f t="shared" si="34"/>
        <v>EUR25F25Y</v>
      </c>
      <c r="M309" s="139" t="str">
        <v>EUR25F25Y=ICAP</v>
      </c>
      <c r="N309" s="78">
        <v>1.425</v>
      </c>
      <c r="O309" s="111"/>
      <c r="P309" s="78">
        <v>1.425</v>
      </c>
      <c r="Q309" s="111"/>
      <c r="R309" s="78">
        <v>1.425</v>
      </c>
      <c r="S309" s="78" t="e">
        <f ca="1">_xll.cfyql_SimpleQuoteSetValue(E309,R309/100,Trigger)</f>
        <v>#NAME?</v>
      </c>
      <c r="T309" s="129"/>
      <c r="V309" s="160"/>
    </row>
    <row r="310" spans="1:22" x14ac:dyDescent="0.2">
      <c r="A310" s="134"/>
      <c r="B310" s="45" t="str">
        <f t="shared" si="31"/>
        <v>30Y</v>
      </c>
      <c r="C310" s="45" t="str">
        <f t="shared" si="32"/>
        <v>25F</v>
      </c>
      <c r="D310" s="43" t="str">
        <f t="shared" si="33"/>
        <v>EUR25F30Y_Quote</v>
      </c>
      <c r="E310" s="43" t="e">
        <f ca="1">_xll.cfyql_SimpleQuote(D310,,RateTickValue,Permanent,Trigger,ObjectOverwrite)</f>
        <v>#NAME?</v>
      </c>
      <c r="F310" s="42" t="e">
        <f ca="1">_xll.ohRangeRetrieveError(E310)</f>
        <v>#NAME?</v>
      </c>
      <c r="G310" s="36"/>
      <c r="H310" s="161"/>
      <c r="I310" s="112"/>
      <c r="J310" s="130" t="s">
        <v>26</v>
      </c>
      <c r="K310" s="130" t="str">
        <f t="shared" si="36"/>
        <v>25F</v>
      </c>
      <c r="L310" s="132" t="str">
        <f t="shared" si="34"/>
        <v>EUR25F30Y</v>
      </c>
      <c r="M310" s="132" t="str">
        <v>EUR25F30Y=ICAP</v>
      </c>
      <c r="N310" s="65">
        <v>1.4039999999999999</v>
      </c>
      <c r="O310" s="111"/>
      <c r="P310" s="65">
        <v>1.4039999999999999</v>
      </c>
      <c r="Q310" s="111"/>
      <c r="R310" s="65">
        <v>1.4039999999999999</v>
      </c>
      <c r="S310" s="65" t="e">
        <f ca="1">_xll.cfyql_SimpleQuoteSetValue(E310,R310/100,Trigger)</f>
        <v>#NAME?</v>
      </c>
      <c r="T310" s="129"/>
      <c r="V310" s="160"/>
    </row>
    <row r="311" spans="1:22" x14ac:dyDescent="0.2">
      <c r="A311" s="134"/>
      <c r="B311" s="45" t="str">
        <f t="shared" si="31"/>
        <v>1Y</v>
      </c>
      <c r="C311" s="45" t="str">
        <f t="shared" si="32"/>
        <v>30F</v>
      </c>
      <c r="D311" s="43" t="str">
        <f t="shared" si="33"/>
        <v>EUR30F1Y_Quote</v>
      </c>
      <c r="E311" s="43" t="e">
        <f ca="1">_xll.cfyql_SimpleQuote(D311,,RateTickValue,Permanent,Trigger,ObjectOverwrite)</f>
        <v>#NAME?</v>
      </c>
      <c r="F311" s="42" t="e">
        <f ca="1">_xll.ohRangeRetrieveError(E311)</f>
        <v>#NAME?</v>
      </c>
      <c r="G311" s="36"/>
      <c r="H311" s="161"/>
      <c r="I311" s="134">
        <v>30</v>
      </c>
      <c r="J311" s="163" t="s">
        <v>58</v>
      </c>
      <c r="K311" s="163" t="str">
        <f t="shared" ref="K311:K328" si="37">$I$311&amp;"F"</f>
        <v>30F</v>
      </c>
      <c r="L311" s="162" t="str">
        <f t="shared" si="34"/>
        <v>EUR30F1Y</v>
      </c>
      <c r="M311" s="162" t="str">
        <v>EUR30F1Y=ICAP</v>
      </c>
      <c r="N311" s="89">
        <v>1.571</v>
      </c>
      <c r="O311" s="111"/>
      <c r="P311" s="89">
        <v>1.571</v>
      </c>
      <c r="Q311" s="111"/>
      <c r="R311" s="89">
        <v>1.571</v>
      </c>
      <c r="S311" s="89" t="e">
        <f ca="1">_xll.cfyql_SimpleQuoteSetValue(E311,R311/100,Trigger)</f>
        <v>#NAME?</v>
      </c>
      <c r="T311" s="129"/>
      <c r="V311" s="160"/>
    </row>
    <row r="312" spans="1:22" x14ac:dyDescent="0.2">
      <c r="A312" s="134"/>
      <c r="B312" s="45" t="str">
        <f t="shared" si="31"/>
        <v>2Y</v>
      </c>
      <c r="C312" s="45" t="str">
        <f t="shared" si="32"/>
        <v>30F</v>
      </c>
      <c r="D312" s="43" t="str">
        <f t="shared" si="33"/>
        <v>EUR30F2Y_Quote</v>
      </c>
      <c r="E312" s="43" t="e">
        <f ca="1">_xll.cfyql_SimpleQuote(D312,,RateTickValue,Permanent,Trigger,ObjectOverwrite)</f>
        <v>#NAME?</v>
      </c>
      <c r="F312" s="42" t="e">
        <f ca="1">_xll.ohRangeRetrieveError(E312)</f>
        <v>#NAME?</v>
      </c>
      <c r="G312" s="36"/>
      <c r="H312" s="161"/>
      <c r="I312" s="112"/>
      <c r="J312" s="137" t="s">
        <v>54</v>
      </c>
      <c r="K312" s="137" t="str">
        <f t="shared" si="37"/>
        <v>30F</v>
      </c>
      <c r="L312" s="139" t="str">
        <f t="shared" si="34"/>
        <v>EUR30F2Y</v>
      </c>
      <c r="M312" s="139" t="str">
        <v>EUR30F2Y=ICAP</v>
      </c>
      <c r="N312" s="78">
        <v>1.577</v>
      </c>
      <c r="O312" s="111"/>
      <c r="P312" s="78">
        <v>1.577</v>
      </c>
      <c r="Q312" s="111"/>
      <c r="R312" s="78">
        <v>1.577</v>
      </c>
      <c r="S312" s="78" t="e">
        <f ca="1">_xll.cfyql_SimpleQuoteSetValue(E312,R312/100,Trigger)</f>
        <v>#NAME?</v>
      </c>
      <c r="T312" s="129"/>
      <c r="V312" s="160"/>
    </row>
    <row r="313" spans="1:22" x14ac:dyDescent="0.2">
      <c r="A313" s="134"/>
      <c r="B313" s="45" t="str">
        <f t="shared" si="31"/>
        <v>3Y</v>
      </c>
      <c r="C313" s="45" t="str">
        <f t="shared" si="32"/>
        <v>30F</v>
      </c>
      <c r="D313" s="43" t="str">
        <f t="shared" si="33"/>
        <v>EUR30F3Y_Quote</v>
      </c>
      <c r="E313" s="43" t="e">
        <f ca="1">_xll.cfyql_SimpleQuote(D313,,RateTickValue,Permanent,Trigger,ObjectOverwrite)</f>
        <v>#NAME?</v>
      </c>
      <c r="F313" s="42" t="e">
        <f ca="1">_xll.ohRangeRetrieveError(E313)</f>
        <v>#NAME?</v>
      </c>
      <c r="G313" s="36"/>
      <c r="H313" s="161"/>
      <c r="I313" s="112"/>
      <c r="J313" s="137" t="s">
        <v>53</v>
      </c>
      <c r="K313" s="137" t="str">
        <f t="shared" si="37"/>
        <v>30F</v>
      </c>
      <c r="L313" s="139" t="str">
        <f t="shared" si="34"/>
        <v>EUR30F3Y</v>
      </c>
      <c r="M313" s="139" t="str">
        <v>EUR30F3Y=ICAP</v>
      </c>
      <c r="N313" s="78">
        <v>1.5820000000000001</v>
      </c>
      <c r="O313" s="111"/>
      <c r="P313" s="78">
        <v>1.5820000000000001</v>
      </c>
      <c r="Q313" s="111"/>
      <c r="R313" s="78">
        <v>1.5820000000000001</v>
      </c>
      <c r="S313" s="78" t="e">
        <f ca="1">_xll.cfyql_SimpleQuoteSetValue(E313,R313/100,Trigger)</f>
        <v>#NAME?</v>
      </c>
      <c r="T313" s="129"/>
      <c r="V313" s="160"/>
    </row>
    <row r="314" spans="1:22" x14ac:dyDescent="0.2">
      <c r="A314" s="134"/>
      <c r="B314" s="45" t="str">
        <f t="shared" si="31"/>
        <v>4Y</v>
      </c>
      <c r="C314" s="45" t="str">
        <f t="shared" si="32"/>
        <v>30F</v>
      </c>
      <c r="D314" s="43" t="str">
        <f t="shared" si="33"/>
        <v>EUR30F4Y_Quote</v>
      </c>
      <c r="E314" s="43" t="e">
        <f ca="1">_xll.cfyql_SimpleQuote(D314,,RateTickValue,Permanent,Trigger,ObjectOverwrite)</f>
        <v>#NAME?</v>
      </c>
      <c r="F314" s="42" t="e">
        <f ca="1">_xll.ohRangeRetrieveError(E314)</f>
        <v>#NAME?</v>
      </c>
      <c r="G314" s="36"/>
      <c r="H314" s="161"/>
      <c r="I314" s="112"/>
      <c r="J314" s="137" t="s">
        <v>52</v>
      </c>
      <c r="K314" s="137" t="str">
        <f t="shared" si="37"/>
        <v>30F</v>
      </c>
      <c r="L314" s="139" t="str">
        <f t="shared" si="34"/>
        <v>EUR30F4Y</v>
      </c>
      <c r="M314" s="139" t="str">
        <v>EUR30F4Y=ICAP</v>
      </c>
      <c r="N314" s="78">
        <v>1.5820000000000001</v>
      </c>
      <c r="O314" s="111"/>
      <c r="P314" s="78">
        <v>1.5820000000000001</v>
      </c>
      <c r="Q314" s="111"/>
      <c r="R314" s="78">
        <v>1.5820000000000001</v>
      </c>
      <c r="S314" s="78" t="e">
        <f ca="1">_xll.cfyql_SimpleQuoteSetValue(E314,R314/100,Trigger)</f>
        <v>#NAME?</v>
      </c>
      <c r="T314" s="129"/>
      <c r="V314" s="160"/>
    </row>
    <row r="315" spans="1:22" x14ac:dyDescent="0.2">
      <c r="A315" s="134"/>
      <c r="B315" s="45" t="str">
        <f t="shared" si="31"/>
        <v>5Y</v>
      </c>
      <c r="C315" s="45" t="str">
        <f t="shared" si="32"/>
        <v>30F</v>
      </c>
      <c r="D315" s="43" t="str">
        <f t="shared" si="33"/>
        <v>EUR30F5Y_Quote</v>
      </c>
      <c r="E315" s="43" t="e">
        <f ca="1">_xll.cfyql_SimpleQuote(D315,,RateTickValue,Permanent,Trigger,ObjectOverwrite)</f>
        <v>#NAME?</v>
      </c>
      <c r="F315" s="42" t="e">
        <f ca="1">_xll.ohRangeRetrieveError(E315)</f>
        <v>#NAME?</v>
      </c>
      <c r="G315" s="36"/>
      <c r="H315" s="161"/>
      <c r="I315" s="112"/>
      <c r="J315" s="137" t="s">
        <v>51</v>
      </c>
      <c r="K315" s="137" t="str">
        <f t="shared" si="37"/>
        <v>30F</v>
      </c>
      <c r="L315" s="139" t="str">
        <f t="shared" si="34"/>
        <v>EUR30F5Y</v>
      </c>
      <c r="M315" s="139" t="str">
        <v>EUR30F5Y=ICAP</v>
      </c>
      <c r="N315" s="78">
        <v>1.58</v>
      </c>
      <c r="O315" s="111"/>
      <c r="P315" s="78">
        <v>1.58</v>
      </c>
      <c r="Q315" s="111"/>
      <c r="R315" s="78">
        <v>1.58</v>
      </c>
      <c r="S315" s="78" t="e">
        <f ca="1">_xll.cfyql_SimpleQuoteSetValue(E315,R315/100,Trigger)</f>
        <v>#NAME?</v>
      </c>
      <c r="T315" s="129"/>
      <c r="V315" s="160"/>
    </row>
    <row r="316" spans="1:22" x14ac:dyDescent="0.2">
      <c r="A316" s="134"/>
      <c r="B316" s="45" t="str">
        <f t="shared" si="31"/>
        <v>6Y</v>
      </c>
      <c r="C316" s="45" t="str">
        <f t="shared" si="32"/>
        <v>30F</v>
      </c>
      <c r="D316" s="43" t="str">
        <f t="shared" si="33"/>
        <v>EUR30F6Y_Quote</v>
      </c>
      <c r="E316" s="43" t="e">
        <f ca="1">_xll.cfyql_SimpleQuote(D316,,RateTickValue,Permanent,Trigger,ObjectOverwrite)</f>
        <v>#NAME?</v>
      </c>
      <c r="F316" s="42" t="e">
        <f ca="1">_xll.ohRangeRetrieveError(E316)</f>
        <v>#NAME?</v>
      </c>
      <c r="G316" s="36"/>
      <c r="H316" s="161"/>
      <c r="I316" s="112"/>
      <c r="J316" s="137" t="s">
        <v>50</v>
      </c>
      <c r="K316" s="137" t="str">
        <f t="shared" si="37"/>
        <v>30F</v>
      </c>
      <c r="L316" s="139" t="str">
        <f t="shared" si="34"/>
        <v>EUR30F6Y</v>
      </c>
      <c r="M316" s="139" t="str">
        <v>EUR30F6Y=ICAP</v>
      </c>
      <c r="N316" s="78">
        <v>1.575</v>
      </c>
      <c r="O316" s="111"/>
      <c r="P316" s="78">
        <v>1.575</v>
      </c>
      <c r="Q316" s="111"/>
      <c r="R316" s="78">
        <v>1.575</v>
      </c>
      <c r="S316" s="78" t="e">
        <f ca="1">_xll.cfyql_SimpleQuoteSetValue(E316,R316/100,Trigger)</f>
        <v>#NAME?</v>
      </c>
      <c r="T316" s="129"/>
      <c r="V316" s="160"/>
    </row>
    <row r="317" spans="1:22" x14ac:dyDescent="0.2">
      <c r="A317" s="134"/>
      <c r="B317" s="45" t="str">
        <f t="shared" si="31"/>
        <v>7Y</v>
      </c>
      <c r="C317" s="45" t="str">
        <f t="shared" si="32"/>
        <v>30F</v>
      </c>
      <c r="D317" s="43" t="str">
        <f t="shared" si="33"/>
        <v>EUR30F7Y_Quote</v>
      </c>
      <c r="E317" s="43" t="e">
        <f ca="1">_xll.cfyql_SimpleQuote(D317,,RateTickValue,Permanent,Trigger,ObjectOverwrite)</f>
        <v>#NAME?</v>
      </c>
      <c r="F317" s="42" t="e">
        <f ca="1">_xll.ohRangeRetrieveError(E317)</f>
        <v>#NAME?</v>
      </c>
      <c r="G317" s="36"/>
      <c r="H317" s="161"/>
      <c r="I317" s="112"/>
      <c r="J317" s="137" t="s">
        <v>49</v>
      </c>
      <c r="K317" s="137" t="str">
        <f t="shared" si="37"/>
        <v>30F</v>
      </c>
      <c r="L317" s="139" t="str">
        <f t="shared" si="34"/>
        <v>EUR30F7Y</v>
      </c>
      <c r="M317" s="139" t="str">
        <v>EUR30F7Y=ICAP</v>
      </c>
      <c r="N317" s="78">
        <v>1.569</v>
      </c>
      <c r="O317" s="111"/>
      <c r="P317" s="78">
        <v>1.569</v>
      </c>
      <c r="Q317" s="111"/>
      <c r="R317" s="78">
        <v>1.569</v>
      </c>
      <c r="S317" s="78" t="e">
        <f ca="1">_xll.cfyql_SimpleQuoteSetValue(E317,R317/100,Trigger)</f>
        <v>#NAME?</v>
      </c>
      <c r="T317" s="129"/>
      <c r="V317" s="160"/>
    </row>
    <row r="318" spans="1:22" x14ac:dyDescent="0.2">
      <c r="A318" s="134"/>
      <c r="B318" s="45" t="str">
        <f t="shared" si="31"/>
        <v>8Y</v>
      </c>
      <c r="C318" s="45" t="str">
        <f t="shared" si="32"/>
        <v>30F</v>
      </c>
      <c r="D318" s="43" t="str">
        <f t="shared" si="33"/>
        <v>EUR30F8Y_Quote</v>
      </c>
      <c r="E318" s="43" t="e">
        <f ca="1">_xll.cfyql_SimpleQuote(D318,,RateTickValue,Permanent,Trigger,ObjectOverwrite)</f>
        <v>#NAME?</v>
      </c>
      <c r="F318" s="42" t="e">
        <f ca="1">_xll.ohRangeRetrieveError(E318)</f>
        <v>#NAME?</v>
      </c>
      <c r="G318" s="36"/>
      <c r="H318" s="161"/>
      <c r="I318" s="112"/>
      <c r="J318" s="137" t="s">
        <v>48</v>
      </c>
      <c r="K318" s="137" t="str">
        <f t="shared" si="37"/>
        <v>30F</v>
      </c>
      <c r="L318" s="139" t="str">
        <f t="shared" si="34"/>
        <v>EUR30F8Y</v>
      </c>
      <c r="M318" s="139" t="str">
        <v>EUR30F8Y=ICAP</v>
      </c>
      <c r="N318" s="78">
        <v>1.5609999999999999</v>
      </c>
      <c r="O318" s="111"/>
      <c r="P318" s="78">
        <v>1.5609999999999999</v>
      </c>
      <c r="Q318" s="111"/>
      <c r="R318" s="78">
        <v>1.5609999999999999</v>
      </c>
      <c r="S318" s="78" t="e">
        <f ca="1">_xll.cfyql_SimpleQuoteSetValue(E318,R318/100,Trigger)</f>
        <v>#NAME?</v>
      </c>
      <c r="T318" s="129"/>
      <c r="V318" s="160"/>
    </row>
    <row r="319" spans="1:22" x14ac:dyDescent="0.2">
      <c r="A319" s="134"/>
      <c r="B319" s="45" t="str">
        <f t="shared" si="31"/>
        <v>9Y</v>
      </c>
      <c r="C319" s="45" t="str">
        <f t="shared" si="32"/>
        <v>30F</v>
      </c>
      <c r="D319" s="43" t="str">
        <f t="shared" si="33"/>
        <v>EUR30F9Y_Quote</v>
      </c>
      <c r="E319" s="43" t="e">
        <f ca="1">_xll.cfyql_SimpleQuote(D319,,RateTickValue,Permanent,Trigger,ObjectOverwrite)</f>
        <v>#NAME?</v>
      </c>
      <c r="F319" s="42" t="e">
        <f ca="1">_xll.ohRangeRetrieveError(E319)</f>
        <v>#NAME?</v>
      </c>
      <c r="G319" s="36"/>
      <c r="H319" s="161"/>
      <c r="I319" s="112"/>
      <c r="J319" s="137" t="s">
        <v>47</v>
      </c>
      <c r="K319" s="137" t="str">
        <f t="shared" si="37"/>
        <v>30F</v>
      </c>
      <c r="L319" s="139" t="str">
        <f t="shared" si="34"/>
        <v>EUR30F9Y</v>
      </c>
      <c r="M319" s="139" t="str">
        <v>EUR30F9Y=ICAP</v>
      </c>
      <c r="N319" s="78">
        <v>1.5509999999999999</v>
      </c>
      <c r="O319" s="111"/>
      <c r="P319" s="78">
        <v>1.5509999999999999</v>
      </c>
      <c r="Q319" s="111"/>
      <c r="R319" s="78">
        <v>1.5509999999999999</v>
      </c>
      <c r="S319" s="78" t="e">
        <f ca="1">_xll.cfyql_SimpleQuoteSetValue(E319,R319/100,Trigger)</f>
        <v>#NAME?</v>
      </c>
      <c r="T319" s="129"/>
      <c r="V319" s="160"/>
    </row>
    <row r="320" spans="1:22" x14ac:dyDescent="0.2">
      <c r="A320" s="134"/>
      <c r="B320" s="45" t="str">
        <f t="shared" si="31"/>
        <v>10Y</v>
      </c>
      <c r="C320" s="45" t="str">
        <f t="shared" si="32"/>
        <v>30F</v>
      </c>
      <c r="D320" s="43" t="str">
        <f t="shared" si="33"/>
        <v>EUR30F10Y_Quote</v>
      </c>
      <c r="E320" s="43" t="e">
        <f ca="1">_xll.cfyql_SimpleQuote(D320,,RateTickValue,Permanent,Trigger,ObjectOverwrite)</f>
        <v>#NAME?</v>
      </c>
      <c r="F320" s="42" t="e">
        <f ca="1">_xll.ohRangeRetrieveError(E320)</f>
        <v>#NAME?</v>
      </c>
      <c r="G320" s="36"/>
      <c r="H320" s="161"/>
      <c r="I320" s="112"/>
      <c r="J320" s="137" t="s">
        <v>46</v>
      </c>
      <c r="K320" s="137" t="str">
        <f t="shared" si="37"/>
        <v>30F</v>
      </c>
      <c r="L320" s="139" t="str">
        <f t="shared" si="34"/>
        <v>EUR30F10Y</v>
      </c>
      <c r="M320" s="139" t="str">
        <v>EUR30F10Y=ICAP</v>
      </c>
      <c r="N320" s="78">
        <v>1.542</v>
      </c>
      <c r="O320" s="111"/>
      <c r="P320" s="78">
        <v>1.542</v>
      </c>
      <c r="Q320" s="111"/>
      <c r="R320" s="78">
        <v>1.542</v>
      </c>
      <c r="S320" s="78" t="e">
        <f ca="1">_xll.cfyql_SimpleQuoteSetValue(E320,R320/100,Trigger)</f>
        <v>#NAME?</v>
      </c>
      <c r="T320" s="129"/>
      <c r="V320" s="160"/>
    </row>
    <row r="321" spans="1:22" x14ac:dyDescent="0.2">
      <c r="A321" s="134"/>
      <c r="B321" s="45" t="str">
        <f t="shared" si="31"/>
        <v>11Y</v>
      </c>
      <c r="C321" s="45" t="str">
        <f t="shared" si="32"/>
        <v>30F</v>
      </c>
      <c r="D321" s="43" t="str">
        <f t="shared" si="33"/>
        <v>EUR30F11Y_Quote</v>
      </c>
      <c r="E321" s="43" t="e">
        <f ca="1">_xll.cfyql_SimpleQuote(D321,,RateTickValue,Permanent,Trigger,ObjectOverwrite)</f>
        <v>#NAME?</v>
      </c>
      <c r="F321" s="42" t="e">
        <f ca="1">_xll.ohRangeRetrieveError(E321)</f>
        <v>#NAME?</v>
      </c>
      <c r="G321" s="36"/>
      <c r="H321" s="161"/>
      <c r="I321" s="112"/>
      <c r="J321" s="137" t="s">
        <v>45</v>
      </c>
      <c r="K321" s="137" t="str">
        <f t="shared" si="37"/>
        <v>30F</v>
      </c>
      <c r="L321" s="139" t="str">
        <f t="shared" si="34"/>
        <v>EUR30F11Y</v>
      </c>
      <c r="M321" s="139" t="str">
        <v>EUR30F11Y=ICAP</v>
      </c>
      <c r="N321" s="78">
        <v>1.532</v>
      </c>
      <c r="O321" s="111"/>
      <c r="P321" s="78">
        <v>1.532</v>
      </c>
      <c r="Q321" s="111"/>
      <c r="R321" s="78">
        <v>1.532</v>
      </c>
      <c r="S321" s="78" t="e">
        <f ca="1">_xll.cfyql_SimpleQuoteSetValue(E321,R321/100,Trigger)</f>
        <v>#NAME?</v>
      </c>
      <c r="T321" s="129"/>
      <c r="V321" s="160"/>
    </row>
    <row r="322" spans="1:22" x14ac:dyDescent="0.2">
      <c r="A322" s="134"/>
      <c r="B322" s="45" t="str">
        <f t="shared" si="31"/>
        <v>12Y</v>
      </c>
      <c r="C322" s="45" t="str">
        <f t="shared" si="32"/>
        <v>30F</v>
      </c>
      <c r="D322" s="43" t="str">
        <f t="shared" si="33"/>
        <v>EUR30F12Y_Quote</v>
      </c>
      <c r="E322" s="43" t="e">
        <f ca="1">_xll.cfyql_SimpleQuote(D322,,RateTickValue,Permanent,Trigger,ObjectOverwrite)</f>
        <v>#NAME?</v>
      </c>
      <c r="F322" s="42" t="e">
        <f ca="1">_xll.ohRangeRetrieveError(E322)</f>
        <v>#NAME?</v>
      </c>
      <c r="G322" s="36"/>
      <c r="H322" s="161"/>
      <c r="I322" s="112"/>
      <c r="J322" s="137" t="s">
        <v>44</v>
      </c>
      <c r="K322" s="137" t="str">
        <f t="shared" si="37"/>
        <v>30F</v>
      </c>
      <c r="L322" s="139" t="str">
        <f t="shared" si="34"/>
        <v>EUR30F12Y</v>
      </c>
      <c r="M322" s="139" t="str">
        <v>EUR30F12Y=ICAP</v>
      </c>
      <c r="N322" s="78">
        <v>1.52</v>
      </c>
      <c r="O322" s="111"/>
      <c r="P322" s="78">
        <v>1.52</v>
      </c>
      <c r="Q322" s="111"/>
      <c r="R322" s="78">
        <v>1.52</v>
      </c>
      <c r="S322" s="78" t="e">
        <f ca="1">_xll.cfyql_SimpleQuoteSetValue(E322,R322/100,Trigger)</f>
        <v>#NAME?</v>
      </c>
      <c r="T322" s="129"/>
      <c r="V322" s="160"/>
    </row>
    <row r="323" spans="1:22" x14ac:dyDescent="0.2">
      <c r="A323" s="134"/>
      <c r="B323" s="45" t="str">
        <f t="shared" si="31"/>
        <v>13Y</v>
      </c>
      <c r="C323" s="45" t="str">
        <f t="shared" si="32"/>
        <v>30F</v>
      </c>
      <c r="D323" s="43" t="str">
        <f t="shared" si="33"/>
        <v>EUR30F13Y_Quote</v>
      </c>
      <c r="E323" s="43" t="e">
        <f ca="1">_xll.cfyql_SimpleQuote(D323,,RateTickValue,Permanent,Trigger,ObjectOverwrite)</f>
        <v>#NAME?</v>
      </c>
      <c r="F323" s="42" t="e">
        <f ca="1">_xll.ohRangeRetrieveError(E323)</f>
        <v>#NAME?</v>
      </c>
      <c r="G323" s="36"/>
      <c r="H323" s="161"/>
      <c r="I323" s="112"/>
      <c r="J323" s="137" t="s">
        <v>43</v>
      </c>
      <c r="K323" s="137" t="str">
        <f t="shared" si="37"/>
        <v>30F</v>
      </c>
      <c r="L323" s="139" t="str">
        <f t="shared" si="34"/>
        <v>EUR30F13Y</v>
      </c>
      <c r="M323" s="139" t="str">
        <v>EUR30F13Y=ICAP</v>
      </c>
      <c r="N323" s="78">
        <v>1.5070000000000001</v>
      </c>
      <c r="O323" s="111"/>
      <c r="P323" s="78">
        <v>1.5070000000000001</v>
      </c>
      <c r="Q323" s="111"/>
      <c r="R323" s="78">
        <v>1.5070000000000001</v>
      </c>
      <c r="S323" s="78" t="e">
        <f ca="1">_xll.cfyql_SimpleQuoteSetValue(E323,R323/100,Trigger)</f>
        <v>#NAME?</v>
      </c>
      <c r="T323" s="129"/>
      <c r="V323" s="160"/>
    </row>
    <row r="324" spans="1:22" x14ac:dyDescent="0.2">
      <c r="A324" s="134"/>
      <c r="B324" s="45" t="str">
        <f t="shared" si="31"/>
        <v>14Y</v>
      </c>
      <c r="C324" s="45" t="str">
        <f t="shared" si="32"/>
        <v>30F</v>
      </c>
      <c r="D324" s="43" t="str">
        <f t="shared" si="33"/>
        <v>EUR30F14Y_Quote</v>
      </c>
      <c r="E324" s="43" t="e">
        <f ca="1">_xll.cfyql_SimpleQuote(D324,,RateTickValue,Permanent,Trigger,ObjectOverwrite)</f>
        <v>#NAME?</v>
      </c>
      <c r="F324" s="42" t="e">
        <f ca="1">_xll.ohRangeRetrieveError(E324)</f>
        <v>#NAME?</v>
      </c>
      <c r="G324" s="36"/>
      <c r="H324" s="161"/>
      <c r="I324" s="112"/>
      <c r="J324" s="137" t="s">
        <v>42</v>
      </c>
      <c r="K324" s="137" t="str">
        <f t="shared" si="37"/>
        <v>30F</v>
      </c>
      <c r="L324" s="139" t="str">
        <f t="shared" si="34"/>
        <v>EUR30F14Y</v>
      </c>
      <c r="M324" s="139" t="str">
        <v>EUR30F14Y=ICAP</v>
      </c>
      <c r="N324" s="78">
        <v>1.492</v>
      </c>
      <c r="O324" s="111"/>
      <c r="P324" s="78">
        <v>1.492</v>
      </c>
      <c r="Q324" s="111"/>
      <c r="R324" s="78">
        <v>1.492</v>
      </c>
      <c r="S324" s="78" t="e">
        <f ca="1">_xll.cfyql_SimpleQuoteSetValue(E324,R324/100,Trigger)</f>
        <v>#NAME?</v>
      </c>
      <c r="T324" s="129"/>
      <c r="V324" s="160"/>
    </row>
    <row r="325" spans="1:22" x14ac:dyDescent="0.2">
      <c r="A325" s="134"/>
      <c r="B325" s="45" t="str">
        <f t="shared" si="31"/>
        <v>15Y</v>
      </c>
      <c r="C325" s="45" t="str">
        <f t="shared" si="32"/>
        <v>30F</v>
      </c>
      <c r="D325" s="43" t="str">
        <f t="shared" si="33"/>
        <v>EUR30F15Y_Quote</v>
      </c>
      <c r="E325" s="43" t="e">
        <f ca="1">_xll.cfyql_SimpleQuote(D325,,RateTickValue,Permanent,Trigger,ObjectOverwrite)</f>
        <v>#NAME?</v>
      </c>
      <c r="F325" s="42" t="e">
        <f ca="1">_xll.ohRangeRetrieveError(E325)</f>
        <v>#NAME?</v>
      </c>
      <c r="G325" s="36"/>
      <c r="H325" s="161"/>
      <c r="I325" s="112"/>
      <c r="J325" s="137" t="s">
        <v>41</v>
      </c>
      <c r="K325" s="137" t="str">
        <f t="shared" si="37"/>
        <v>30F</v>
      </c>
      <c r="L325" s="139" t="str">
        <f t="shared" si="34"/>
        <v>EUR30F15Y</v>
      </c>
      <c r="M325" s="139" t="str">
        <v>EUR30F15Y=ICAP</v>
      </c>
      <c r="N325" s="78">
        <v>1.476</v>
      </c>
      <c r="O325" s="111"/>
      <c r="P325" s="78">
        <v>1.476</v>
      </c>
      <c r="Q325" s="111"/>
      <c r="R325" s="78">
        <v>1.476</v>
      </c>
      <c r="S325" s="78" t="e">
        <f ca="1">_xll.cfyql_SimpleQuoteSetValue(E325,R325/100,Trigger)</f>
        <v>#NAME?</v>
      </c>
      <c r="T325" s="129"/>
      <c r="V325" s="160"/>
    </row>
    <row r="326" spans="1:22" x14ac:dyDescent="0.2">
      <c r="A326" s="134"/>
      <c r="B326" s="45" t="str">
        <f t="shared" si="31"/>
        <v>20Y</v>
      </c>
      <c r="C326" s="45" t="str">
        <f t="shared" si="32"/>
        <v>30F</v>
      </c>
      <c r="D326" s="43" t="str">
        <f t="shared" si="33"/>
        <v>EUR30F20Y_Quote</v>
      </c>
      <c r="E326" s="43" t="e">
        <f ca="1">_xll.cfyql_SimpleQuote(D326,,RateTickValue,Permanent,Trigger,ObjectOverwrite)</f>
        <v>#NAME?</v>
      </c>
      <c r="F326" s="42" t="e">
        <f ca="1">_xll.ohRangeRetrieveError(E326)</f>
        <v>#NAME?</v>
      </c>
      <c r="G326" s="36"/>
      <c r="H326" s="161"/>
      <c r="I326" s="112"/>
      <c r="J326" s="137" t="s">
        <v>36</v>
      </c>
      <c r="K326" s="137" t="str">
        <f t="shared" si="37"/>
        <v>30F</v>
      </c>
      <c r="L326" s="139" t="str">
        <f t="shared" si="34"/>
        <v>EUR30F20Y</v>
      </c>
      <c r="M326" s="139" t="str">
        <v>EUR30F20Y=ICAP</v>
      </c>
      <c r="N326" s="78">
        <v>1.387</v>
      </c>
      <c r="O326" s="111"/>
      <c r="P326" s="78">
        <v>1.387</v>
      </c>
      <c r="Q326" s="111"/>
      <c r="R326" s="78">
        <v>1.387</v>
      </c>
      <c r="S326" s="78" t="e">
        <f ca="1">_xll.cfyql_SimpleQuoteSetValue(E326,R326/100,Trigger)</f>
        <v>#NAME?</v>
      </c>
      <c r="T326" s="129"/>
      <c r="V326" s="160"/>
    </row>
    <row r="327" spans="1:22" x14ac:dyDescent="0.2">
      <c r="A327" s="134"/>
      <c r="B327" s="45" t="str">
        <f t="shared" si="31"/>
        <v>25Y</v>
      </c>
      <c r="C327" s="45" t="str">
        <f t="shared" si="32"/>
        <v>30F</v>
      </c>
      <c r="D327" s="43" t="str">
        <f t="shared" si="33"/>
        <v>EUR30F25Y_Quote</v>
      </c>
      <c r="E327" s="43" t="e">
        <f ca="1">_xll.cfyql_SimpleQuote(D327,,RateTickValue,Permanent,Trigger,ObjectOverwrite)</f>
        <v>#NAME?</v>
      </c>
      <c r="F327" s="42" t="e">
        <f ca="1">_xll.ohRangeRetrieveError(E327)</f>
        <v>#NAME?</v>
      </c>
      <c r="G327" s="36"/>
      <c r="H327" s="161"/>
      <c r="I327" s="112"/>
      <c r="J327" s="137" t="s">
        <v>31</v>
      </c>
      <c r="K327" s="137" t="str">
        <f t="shared" si="37"/>
        <v>30F</v>
      </c>
      <c r="L327" s="139" t="str">
        <f t="shared" si="34"/>
        <v>EUR30F25Y</v>
      </c>
      <c r="M327" s="139" t="str">
        <v>EUR30F25Y=ICAP</v>
      </c>
      <c r="N327" s="78">
        <v>1.367</v>
      </c>
      <c r="O327" s="111"/>
      <c r="P327" s="78">
        <v>1.367</v>
      </c>
      <c r="Q327" s="111"/>
      <c r="R327" s="78">
        <v>1.367</v>
      </c>
      <c r="S327" s="78" t="e">
        <f ca="1">_xll.cfyql_SimpleQuoteSetValue(E327,R327/100,Trigger)</f>
        <v>#NAME?</v>
      </c>
      <c r="T327" s="129"/>
      <c r="V327" s="160"/>
    </row>
    <row r="328" spans="1:22" x14ac:dyDescent="0.2">
      <c r="A328" s="134"/>
      <c r="B328" s="40" t="str">
        <f t="shared" si="31"/>
        <v>30Y</v>
      </c>
      <c r="C328" s="40" t="str">
        <f t="shared" si="32"/>
        <v>30F</v>
      </c>
      <c r="D328" s="38" t="str">
        <f t="shared" si="33"/>
        <v>EUR30F30Y_Quote</v>
      </c>
      <c r="E328" s="38" t="e">
        <f ca="1">_xll.cfyql_SimpleQuote(D328,,RateTickValue,Permanent,Trigger,ObjectOverwrite)</f>
        <v>#NAME?</v>
      </c>
      <c r="F328" s="37" t="e">
        <f ca="1">_xll.ohRangeRetrieveError(E328)</f>
        <v>#NAME?</v>
      </c>
      <c r="G328" s="36"/>
      <c r="H328" s="161"/>
      <c r="I328" s="112"/>
      <c r="J328" s="130" t="s">
        <v>26</v>
      </c>
      <c r="K328" s="130" t="str">
        <f t="shared" si="37"/>
        <v>30F</v>
      </c>
      <c r="L328" s="132" t="str">
        <f t="shared" si="34"/>
        <v>EUR30F30Y</v>
      </c>
      <c r="M328" s="132" t="str">
        <v>EUR30F30Y=ICAP</v>
      </c>
      <c r="N328" s="65">
        <v>1.377</v>
      </c>
      <c r="O328" s="111"/>
      <c r="P328" s="65">
        <v>1.377</v>
      </c>
      <c r="Q328" s="111"/>
      <c r="R328" s="65">
        <v>1.377</v>
      </c>
      <c r="S328" s="65" t="e">
        <f ca="1">_xll.cfyql_SimpleQuoteSetValue(E328,R328/100,Trigger)</f>
        <v>#NAME?</v>
      </c>
      <c r="T328" s="129"/>
      <c r="V328" s="160"/>
    </row>
    <row r="329" spans="1:22" x14ac:dyDescent="0.2">
      <c r="A329" s="157"/>
      <c r="B329" s="156"/>
      <c r="C329" s="156"/>
      <c r="D329" s="156"/>
      <c r="E329" s="159"/>
      <c r="F329" s="156"/>
      <c r="G329" s="158"/>
      <c r="I329" s="157"/>
      <c r="J329" s="156"/>
      <c r="K329" s="156"/>
      <c r="L329" s="156"/>
      <c r="M329" s="156"/>
      <c r="N329" s="156"/>
      <c r="O329" s="156"/>
      <c r="P329" s="156"/>
      <c r="Q329" s="156"/>
      <c r="R329" s="156"/>
      <c r="S329" s="156"/>
      <c r="T329" s="155"/>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7"/>
      <c r="B1" s="124"/>
      <c r="C1" s="54"/>
      <c r="D1" s="54"/>
      <c r="E1" s="54"/>
      <c r="F1" s="55"/>
      <c r="G1" s="54"/>
      <c r="H1" s="53"/>
      <c r="J1" s="152" t="s">
        <v>99</v>
      </c>
      <c r="K1" s="122"/>
      <c r="L1" s="122"/>
      <c r="M1" s="122"/>
      <c r="N1" s="122"/>
      <c r="O1" s="122"/>
      <c r="P1" s="122"/>
      <c r="Q1" s="122"/>
      <c r="R1" s="122"/>
      <c r="S1" s="122"/>
      <c r="T1" s="122"/>
      <c r="U1" s="122"/>
      <c r="V1" s="122"/>
      <c r="W1" s="122"/>
      <c r="X1" s="54"/>
      <c r="Y1" s="53"/>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51" t="e">
        <f ca="1">_xll.ohTrigger(X5:X11)</f>
        <v>#NAME?</v>
      </c>
      <c r="Y2" s="36"/>
      <c r="AA2" s="1360" t="s">
        <v>529</v>
      </c>
      <c r="AB2" s="1363" t="e">
        <f ca="1">_xll.cfyql_Trigger('General Settings'!Trigger)</f>
        <v>#NAME?</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09"/>
      <c r="Y3" s="119"/>
      <c r="AA3" s="1361" t="s">
        <v>530</v>
      </c>
      <c r="AB3" s="1364" t="e">
        <f ca="1">_xll.cfyql_Trigger(X5:X11)</f>
        <v>#NAME?</v>
      </c>
    </row>
    <row r="4" spans="1:28" ht="21" customHeight="1" x14ac:dyDescent="0.2">
      <c r="A4" s="134"/>
      <c r="B4" s="149"/>
      <c r="C4" s="149"/>
      <c r="D4" s="149"/>
      <c r="E4" s="51" t="s">
        <v>91</v>
      </c>
      <c r="F4" s="51" t="s">
        <v>90</v>
      </c>
      <c r="G4" s="50" t="s">
        <v>59</v>
      </c>
      <c r="H4" s="36"/>
      <c r="J4" s="134"/>
      <c r="K4" s="145"/>
      <c r="L4" s="148"/>
      <c r="M4" s="145"/>
      <c r="N4" s="145"/>
      <c r="O4" s="147" t="e">
        <f ca="1">_xll.RData(O5:O11,P4:Q4,,ReutersRtMode,,P5)</f>
        <v>#NAME?</v>
      </c>
      <c r="P4" s="146" t="s">
        <v>84</v>
      </c>
      <c r="Q4" s="146" t="s">
        <v>83</v>
      </c>
      <c r="R4" s="103" t="s">
        <v>80</v>
      </c>
      <c r="S4" s="103" t="s">
        <v>79</v>
      </c>
      <c r="T4" s="111"/>
      <c r="U4" s="146" t="s">
        <v>78</v>
      </c>
      <c r="V4" s="111"/>
      <c r="W4" s="145" t="s">
        <v>77</v>
      </c>
      <c r="X4" s="145" t="s">
        <v>76</v>
      </c>
      <c r="Y4" s="129"/>
    </row>
    <row r="5" spans="1:28" ht="11.25" customHeight="1" x14ac:dyDescent="0.2">
      <c r="A5" s="134"/>
      <c r="B5" s="144"/>
      <c r="C5" s="143" t="s">
        <v>95</v>
      </c>
      <c r="D5" s="49">
        <v>12</v>
      </c>
      <c r="E5" s="47" t="str">
        <f t="shared" ref="E5:E11" si="0">Currency&amp;$C5&amp;$D5&amp;$B5&amp;QuoteSuffix</f>
        <v>EUR1S12_Quote</v>
      </c>
      <c r="F5" s="47" t="e">
        <f ca="1">_xll.cfyql_SimpleQuote(Currency&amp;$C5&amp;$D5&amp;$B5&amp;QuoteSuffix,,RateTickValue,Permanent,Trigger,ObjectOverwrite)</f>
        <v>#NAME?</v>
      </c>
      <c r="G5" s="46" t="e">
        <f ca="1">_xll.ohRangeRetrieveError(F5)</f>
        <v>#NAME?</v>
      </c>
      <c r="H5" s="36"/>
      <c r="J5" s="134"/>
      <c r="K5" s="140"/>
      <c r="L5" s="140" t="s">
        <v>95</v>
      </c>
      <c r="M5" s="140">
        <v>12</v>
      </c>
      <c r="N5" s="139" t="str">
        <f t="shared" ref="N5:N11" si="1">Currency&amp;$L5&amp;$M5&amp;$K5</f>
        <v>EUR1S12</v>
      </c>
      <c r="O5" s="139"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4"/>
      <c r="U5" s="138">
        <v>-0.06</v>
      </c>
      <c r="V5" s="114"/>
      <c r="W5" s="78">
        <f t="array" ref="W5:W11">QuoteStatic</f>
        <v>-0.06</v>
      </c>
      <c r="X5" s="137" t="e">
        <f ca="1">_xll.cfyql_SimpleQuoteSetValue(F5,W5/100,Trigger)</f>
        <v>#NAME?</v>
      </c>
      <c r="Y5" s="129"/>
    </row>
    <row r="6" spans="1:28" ht="11.25" customHeight="1" x14ac:dyDescent="0.2">
      <c r="A6" s="134"/>
      <c r="B6" s="142"/>
      <c r="C6" s="141" t="s">
        <v>96</v>
      </c>
      <c r="D6" s="45">
        <v>12</v>
      </c>
      <c r="E6" s="43" t="str">
        <f t="shared" si="0"/>
        <v>EUR2S12_Quote</v>
      </c>
      <c r="F6" s="43" t="e">
        <f ca="1">_xll.cfyql_SimpleQuote(Currency&amp;$C6&amp;$D6&amp;$B6&amp;QuoteSuffix,,RateTickValue,Permanent,Trigger,ObjectOverwrite)</f>
        <v>#NAME?</v>
      </c>
      <c r="G6" s="42" t="e">
        <f ca="1">_xll.ohRangeRetrieveError(F6)</f>
        <v>#NAME?</v>
      </c>
      <c r="H6" s="36"/>
      <c r="J6" s="134"/>
      <c r="K6" s="140"/>
      <c r="L6" s="140" t="s">
        <v>96</v>
      </c>
      <c r="M6" s="140">
        <v>12</v>
      </c>
      <c r="N6" s="139" t="str">
        <f t="shared" si="1"/>
        <v>EUR2S12</v>
      </c>
      <c r="O6" s="139" t="str">
        <v>EUR2S12=ICAP</v>
      </c>
      <c r="P6" s="78">
        <v>-8.4000000000000005E-2</v>
      </c>
      <c r="Q6" s="78">
        <v>-3.3999999999999996E-2</v>
      </c>
      <c r="R6" s="78">
        <f t="shared" si="2"/>
        <v>-5.8999999999999997E-2</v>
      </c>
      <c r="S6" s="78">
        <f t="shared" si="3"/>
        <v>5.0000000000000017E-2</v>
      </c>
      <c r="T6" s="114"/>
      <c r="U6" s="138">
        <v>-5.8999999999999997E-2</v>
      </c>
      <c r="V6" s="114"/>
      <c r="W6" s="78">
        <v>-5.8999999999999997E-2</v>
      </c>
      <c r="X6" s="137" t="e">
        <f ca="1">_xll.cfyql_SimpleQuoteSetValue(F6,W6/100,Trigger)</f>
        <v>#NAME?</v>
      </c>
      <c r="Y6" s="129"/>
    </row>
    <row r="7" spans="1:28" ht="11.25" customHeight="1" x14ac:dyDescent="0.2">
      <c r="A7" s="134"/>
      <c r="B7" s="142"/>
      <c r="C7" s="141" t="s">
        <v>98</v>
      </c>
      <c r="D7" s="45">
        <v>12</v>
      </c>
      <c r="E7" s="43" t="str">
        <f t="shared" si="0"/>
        <v>EUR3S12_Quote</v>
      </c>
      <c r="F7" s="43" t="e">
        <f ca="1">_xll.cfyql_SimpleQuote(Currency&amp;$C7&amp;$D7&amp;$B7&amp;QuoteSuffix,,RateTickValue,Permanent,Trigger,ObjectOverwrite)</f>
        <v>#NAME?</v>
      </c>
      <c r="G7" s="42" t="e">
        <f ca="1">_xll.ohRangeRetrieveError(F7)</f>
        <v>#NAME?</v>
      </c>
      <c r="H7" s="36"/>
      <c r="J7" s="134"/>
      <c r="K7" s="140"/>
      <c r="L7" s="140" t="s">
        <v>98</v>
      </c>
      <c r="M7" s="140">
        <v>12</v>
      </c>
      <c r="N7" s="139" t="str">
        <f t="shared" si="1"/>
        <v>EUR3S12</v>
      </c>
      <c r="O7" s="139" t="str">
        <v>EUR3S12=ICAP</v>
      </c>
      <c r="P7" s="78">
        <v>-7.3999999999999996E-2</v>
      </c>
      <c r="Q7" s="78">
        <v>-2.4E-2</v>
      </c>
      <c r="R7" s="78">
        <f t="shared" si="2"/>
        <v>-4.9000000000000002E-2</v>
      </c>
      <c r="S7" s="78">
        <f t="shared" si="3"/>
        <v>4.9999999999999989E-2</v>
      </c>
      <c r="T7" s="114"/>
      <c r="U7" s="138">
        <v>-4.9000000000000002E-2</v>
      </c>
      <c r="V7" s="114"/>
      <c r="W7" s="78">
        <v>-4.9000000000000002E-2</v>
      </c>
      <c r="X7" s="137" t="e">
        <f ca="1">_xll.cfyql_SimpleQuoteSetValue(F7,W7/100,Trigger)</f>
        <v>#NAME?</v>
      </c>
      <c r="Y7" s="129"/>
    </row>
    <row r="8" spans="1:28" ht="11.25" customHeight="1" x14ac:dyDescent="0.2">
      <c r="A8" s="134"/>
      <c r="B8" s="142"/>
      <c r="C8" s="141" t="s">
        <v>97</v>
      </c>
      <c r="D8" s="45">
        <v>12</v>
      </c>
      <c r="E8" s="43" t="str">
        <f t="shared" si="0"/>
        <v>EUR4S12_Quote</v>
      </c>
      <c r="F8" s="43" t="e">
        <f ca="1">_xll.cfyql_SimpleQuote(Currency&amp;$C8&amp;$D8&amp;$B8&amp;QuoteSuffix,,RateTickValue,Permanent,Trigger,ObjectOverwrite)</f>
        <v>#NAME?</v>
      </c>
      <c r="G8" s="42" t="e">
        <f ca="1">_xll.ohRangeRetrieveError(F8)</f>
        <v>#NAME?</v>
      </c>
      <c r="H8" s="36"/>
      <c r="J8" s="134"/>
      <c r="K8" s="140"/>
      <c r="L8" s="140" t="s">
        <v>97</v>
      </c>
      <c r="M8" s="140">
        <v>12</v>
      </c>
      <c r="N8" s="139" t="str">
        <f t="shared" si="1"/>
        <v>EUR4S12</v>
      </c>
      <c r="O8" s="139" t="str">
        <v>EUR4S12=ICAP</v>
      </c>
      <c r="P8" s="78">
        <v>-5.5000000000000007E-2</v>
      </c>
      <c r="Q8" s="78">
        <v>-5.0000000000000001E-3</v>
      </c>
      <c r="R8" s="78">
        <f t="shared" si="2"/>
        <v>-3.0000000000000002E-2</v>
      </c>
      <c r="S8" s="78">
        <f t="shared" si="3"/>
        <v>5.000000000000001E-2</v>
      </c>
      <c r="T8" s="114"/>
      <c r="U8" s="138">
        <v>-3.0000000000000002E-2</v>
      </c>
      <c r="V8" s="114"/>
      <c r="W8" s="78">
        <v>-3.0000000000000002E-2</v>
      </c>
      <c r="X8" s="137" t="e">
        <f ca="1">_xll.cfyql_SimpleQuoteSetValue(F8,W8/100,Trigger)</f>
        <v>#NAME?</v>
      </c>
      <c r="Y8" s="129"/>
    </row>
    <row r="9" spans="1:28" ht="11.25" customHeight="1" x14ac:dyDescent="0.2">
      <c r="A9" s="134"/>
      <c r="B9" s="142"/>
      <c r="C9" s="141" t="s">
        <v>95</v>
      </c>
      <c r="D9" s="45">
        <v>24</v>
      </c>
      <c r="E9" s="43" t="str">
        <f t="shared" si="0"/>
        <v>EUR1S24_Quote</v>
      </c>
      <c r="F9" s="43" t="e">
        <f ca="1">_xll.cfyql_SimpleQuote(Currency&amp;$C9&amp;$D9&amp;$B9&amp;QuoteSuffix,,RateTickValue,Permanent,Trigger,ObjectOverwrite)</f>
        <v>#NAME?</v>
      </c>
      <c r="G9" s="42" t="e">
        <f ca="1">_xll.ohRangeRetrieveError(F9)</f>
        <v>#NAME?</v>
      </c>
      <c r="H9" s="36"/>
      <c r="J9" s="134"/>
      <c r="K9" s="140"/>
      <c r="L9" s="140" t="s">
        <v>95</v>
      </c>
      <c r="M9" s="140">
        <v>24</v>
      </c>
      <c r="N9" s="139" t="str">
        <f t="shared" si="1"/>
        <v>EUR1S24</v>
      </c>
      <c r="O9" s="139" t="str">
        <v>EUR1S24=ICAP</v>
      </c>
      <c r="P9" s="78">
        <v>-5.5999999999999994E-2</v>
      </c>
      <c r="Q9" s="78">
        <v>-6.0000000000000001E-3</v>
      </c>
      <c r="R9" s="78">
        <f t="shared" si="2"/>
        <v>-3.0999999999999996E-2</v>
      </c>
      <c r="S9" s="78">
        <f t="shared" si="3"/>
        <v>4.9999999999999996E-2</v>
      </c>
      <c r="T9" s="114"/>
      <c r="U9" s="138">
        <v>-3.0999999999999996E-2</v>
      </c>
      <c r="V9" s="114"/>
      <c r="W9" s="78">
        <v>-3.0999999999999996E-2</v>
      </c>
      <c r="X9" s="137" t="e">
        <f ca="1">_xll.cfyql_SimpleQuoteSetValue(F9,W9/100,Trigger)</f>
        <v>#NAME?</v>
      </c>
      <c r="Y9" s="129"/>
    </row>
    <row r="10" spans="1:28" ht="11.25" customHeight="1" x14ac:dyDescent="0.2">
      <c r="A10" s="134"/>
      <c r="B10" s="142"/>
      <c r="C10" s="141" t="s">
        <v>96</v>
      </c>
      <c r="D10" s="45">
        <v>24</v>
      </c>
      <c r="E10" s="43" t="str">
        <f t="shared" si="0"/>
        <v>EUR2S24_Quote</v>
      </c>
      <c r="F10" s="43" t="e">
        <f ca="1">_xll.cfyql_SimpleQuote(Currency&amp;$C10&amp;$D10&amp;$B10&amp;QuoteSuffix,,RateTickValue,Permanent,Trigger,ObjectOverwrite)</f>
        <v>#NAME?</v>
      </c>
      <c r="G10" s="42" t="e">
        <f ca="1">_xll.ohRangeRetrieveError(F10)</f>
        <v>#NAME?</v>
      </c>
      <c r="H10" s="36"/>
      <c r="J10" s="134"/>
      <c r="K10" s="140"/>
      <c r="L10" s="140" t="s">
        <v>96</v>
      </c>
      <c r="M10" s="140">
        <v>24</v>
      </c>
      <c r="N10" s="139" t="str">
        <f t="shared" si="1"/>
        <v>EUR2S24</v>
      </c>
      <c r="O10" s="139" t="str">
        <v>EUR2S24=ICAP</v>
      </c>
      <c r="P10" s="78">
        <v>-3.6999999999999998E-2</v>
      </c>
      <c r="Q10" s="78">
        <v>1.3000000000000001E-2</v>
      </c>
      <c r="R10" s="78">
        <f t="shared" si="2"/>
        <v>-1.1999999999999999E-2</v>
      </c>
      <c r="S10" s="78">
        <f t="shared" si="3"/>
        <v>0.05</v>
      </c>
      <c r="T10" s="114"/>
      <c r="U10" s="138">
        <v>-1.1999999999999999E-2</v>
      </c>
      <c r="V10" s="114"/>
      <c r="W10" s="78">
        <v>-1.1999999999999999E-2</v>
      </c>
      <c r="X10" s="137" t="e">
        <f ca="1">_xll.cfyql_SimpleQuoteSetValue(F10,W10/100,Trigger)</f>
        <v>#NAME?</v>
      </c>
      <c r="Y10" s="129"/>
    </row>
    <row r="11" spans="1:28" ht="11.25" customHeight="1" x14ac:dyDescent="0.2">
      <c r="A11" s="134"/>
      <c r="B11" s="136"/>
      <c r="C11" s="135" t="s">
        <v>95</v>
      </c>
      <c r="D11" s="40">
        <v>36</v>
      </c>
      <c r="E11" s="38" t="str">
        <f t="shared" si="0"/>
        <v>EUR1S36_Quote</v>
      </c>
      <c r="F11" s="38" t="e">
        <f ca="1">_xll.cfyql_SimpleQuote(Currency&amp;$C11&amp;$D11&amp;$B11&amp;QuoteSuffix,,RateTickValue,Permanent,Trigger,ObjectOverwrite)</f>
        <v>#NAME?</v>
      </c>
      <c r="G11" s="37" t="e">
        <f ca="1">_xll.ohRangeRetrieveError(F11)</f>
        <v>#NAME?</v>
      </c>
      <c r="H11" s="36"/>
      <c r="J11" s="134"/>
      <c r="K11" s="133"/>
      <c r="L11" s="133" t="s">
        <v>95</v>
      </c>
      <c r="M11" s="133">
        <v>36</v>
      </c>
      <c r="N11" s="132" t="str">
        <f t="shared" si="1"/>
        <v>EUR1S36</v>
      </c>
      <c r="O11" s="132" t="str">
        <v>EUR1S36=ICAP</v>
      </c>
      <c r="P11" s="65">
        <v>1.9E-2</v>
      </c>
      <c r="Q11" s="65">
        <v>6.9000000000000006E-2</v>
      </c>
      <c r="R11" s="65">
        <f t="shared" si="2"/>
        <v>4.4000000000000004E-2</v>
      </c>
      <c r="S11" s="65">
        <f t="shared" si="3"/>
        <v>5.000000000000001E-2</v>
      </c>
      <c r="T11" s="114"/>
      <c r="U11" s="131">
        <v>4.4000000000000004E-2</v>
      </c>
      <c r="V11" s="114"/>
      <c r="W11" s="65">
        <v>4.4000000000000004E-2</v>
      </c>
      <c r="X11" s="130" t="e">
        <f ca="1">_xll.cfyql_SimpleQuoteSetValue(F11,W11/100,Trigger)</f>
        <v>#NAME?</v>
      </c>
      <c r="Y11" s="129"/>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8"/>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13"/>
  <sheetViews>
    <sheetView workbookViewId="0">
      <selection activeCell="D2" sqref="D2"/>
    </sheetView>
  </sheetViews>
  <sheetFormatPr defaultRowHeight="11.25" outlineLevelCol="1" x14ac:dyDescent="0.2"/>
  <cols>
    <col min="1" max="1" width="2.7109375" style="30" customWidth="1" outlineLevel="1"/>
    <col min="2" max="2" width="3.5703125" style="30" customWidth="1" outlineLevel="1"/>
    <col min="3" max="3" width="7.28515625" style="30" customWidth="1" outlineLevel="1"/>
    <col min="4" max="4" width="17.28515625" style="30" bestFit="1" customWidth="1" outlineLevel="1"/>
    <col min="5" max="5" width="21.42578125" style="30" customWidth="1" outlineLevel="1"/>
    <col min="6" max="7" width="25.7109375" style="30" customWidth="1" outlineLevel="1"/>
    <col min="8" max="8" width="2.7109375" style="30" customWidth="1" outlineLevel="1"/>
    <col min="9"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7"/>
      <c r="B1" s="54"/>
      <c r="C1" s="54"/>
      <c r="D1" s="1383"/>
      <c r="E1" s="54"/>
      <c r="F1" s="54"/>
      <c r="G1" s="54"/>
      <c r="H1" s="53"/>
      <c r="J1" s="126" t="s">
        <v>94</v>
      </c>
      <c r="K1" s="122"/>
      <c r="L1" s="125"/>
      <c r="M1" s="125"/>
      <c r="N1" s="124"/>
      <c r="O1" s="54"/>
      <c r="P1" s="122"/>
      <c r="Q1" s="122"/>
      <c r="R1" s="122"/>
      <c r="S1" s="122"/>
      <c r="T1" s="122"/>
      <c r="U1" s="122"/>
      <c r="V1" s="122"/>
      <c r="W1" s="123"/>
      <c r="X1" s="123"/>
      <c r="Y1" s="122"/>
      <c r="Z1" s="123"/>
      <c r="AA1" s="122"/>
      <c r="AB1" s="121"/>
    </row>
    <row r="2" spans="1:31" ht="15" x14ac:dyDescent="0.25">
      <c r="A2" s="120"/>
      <c r="B2" s="109"/>
      <c r="C2" s="109"/>
      <c r="D2" s="1384" t="e">
        <f ca="1">_xll.cfyql_SettingsEvaluationDate(Trigger)-1</f>
        <v>#NAME?</v>
      </c>
      <c r="E2" s="109"/>
      <c r="F2" s="109"/>
      <c r="G2" s="109"/>
      <c r="H2" s="119"/>
      <c r="J2" s="112"/>
      <c r="K2" s="110"/>
      <c r="L2" s="110"/>
      <c r="M2" s="110"/>
      <c r="N2" s="1373" t="e">
        <f ca="1">_xll.cfyql_CalendarAdvance(Calendar,EvaluationDate,"2d","Following",FALSE)</f>
        <v>#NAME?</v>
      </c>
      <c r="O2" s="118" t="str">
        <f>VLOOKUP(J1,AreaTable,2,FALSE)</f>
        <v>ICAP</v>
      </c>
      <c r="P2" s="110"/>
      <c r="Q2" s="110"/>
      <c r="R2" s="110"/>
      <c r="S2" s="110"/>
      <c r="T2" s="110"/>
      <c r="U2" s="110"/>
      <c r="V2" s="110"/>
      <c r="W2" s="111"/>
      <c r="X2" s="111"/>
      <c r="Y2" s="110"/>
      <c r="Z2" s="110"/>
      <c r="AA2" s="117" t="e">
        <f ca="1">_xll.ohTrigger(AA5:AA8)</f>
        <v>#NAME?</v>
      </c>
      <c r="AB2" s="108"/>
      <c r="AD2" s="1360" t="s">
        <v>529</v>
      </c>
      <c r="AE2" s="1363" t="e">
        <f ca="1">_xll.cfyql_Trigger('General Settings'!Trigger)</f>
        <v>#NAME?</v>
      </c>
    </row>
    <row r="3" spans="1:31" ht="15.75" thickBot="1" x14ac:dyDescent="0.3">
      <c r="A3" s="116"/>
      <c r="B3" s="115"/>
      <c r="C3" s="115"/>
      <c r="D3" s="114" t="s">
        <v>93</v>
      </c>
      <c r="E3" s="114" t="s">
        <v>92</v>
      </c>
      <c r="F3" s="109"/>
      <c r="G3" s="109"/>
      <c r="H3" s="113"/>
      <c r="J3" s="112"/>
      <c r="K3" s="110"/>
      <c r="L3" s="110"/>
      <c r="M3" s="110"/>
      <c r="N3" s="1373" t="e">
        <f ca="1">_xll.cfyql_CalendarEndOfMonth(Calendar,N2)</f>
        <v>#NAME?</v>
      </c>
      <c r="P3" s="110"/>
      <c r="Q3" s="110"/>
      <c r="R3" s="110"/>
      <c r="S3" s="110"/>
      <c r="T3" s="110"/>
      <c r="U3" s="110"/>
      <c r="V3" s="110"/>
      <c r="W3" s="111"/>
      <c r="X3" s="111"/>
      <c r="Y3" s="110"/>
      <c r="Z3" s="110"/>
      <c r="AA3" s="109"/>
      <c r="AB3" s="108"/>
      <c r="AD3" s="1361" t="s">
        <v>530</v>
      </c>
      <c r="AE3" s="1364" t="e">
        <f ca="1">_xll.cfyql_Trigger(AA5:AA8)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1377" t="e">
        <f t="array" aca="1" ref="D5:D8" ca="1">_xll.cfyql_IMMNextCodes($D$2,C5:C8)</f>
        <v>#NAME?</v>
      </c>
      <c r="E5" s="96" t="e">
        <f ca="1">Currency&amp;$D$3&amp;$E$3&amp;$D5&amp;QuoteSuffix</f>
        <v>#NAME?</v>
      </c>
      <c r="F5" s="95" t="e">
        <f ca="1">_xll.cfyql_SimpleQuote(E5,,PriceTickValue,Permanent,Trigger,ObjectOverwrite)</f>
        <v>#NAME?</v>
      </c>
      <c r="G5" s="94" t="e">
        <f ca="1">_xll.ohRangeRetrieveError(F5)</f>
        <v>#NAME?</v>
      </c>
      <c r="H5" s="36"/>
      <c r="J5" s="71"/>
      <c r="K5" s="93">
        <v>1</v>
      </c>
      <c r="L5" s="93" t="b">
        <v>0</v>
      </c>
      <c r="M5" s="1380" t="e">
        <f t="array" aca="1" ref="M5:M8" ca="1">_xll.cfyql_IMMcode(FuturesDates)</f>
        <v>#NAME?</v>
      </c>
      <c r="N5" s="1374" t="e">
        <f t="array" aca="1" ref="N5:N8" ca="1">_xll.cfyql_IMMNextDates(N3,$L5:$L8)</f>
        <v>#NAME?</v>
      </c>
      <c r="O5" s="88" t="str">
        <f t="array" ref="O5:O8">Currency&amp;"6F"&amp;K5:K8&amp;"="&amp;VLOOKUP(Contributor,ContributorTable,2,FALSE)</f>
        <v>EUR6F1=ICAP</v>
      </c>
      <c r="P5" s="91" t="s">
        <v>75</v>
      </c>
      <c r="Q5" s="89">
        <v>-1E-3</v>
      </c>
      <c r="R5" s="89">
        <v>4.9000000000000002E-2</v>
      </c>
      <c r="S5" s="89">
        <v>0</v>
      </c>
      <c r="T5" s="89">
        <v>0</v>
      </c>
      <c r="U5" s="89" t="e">
        <f ca="1">100-_xll.cfyql_MidSafe($Q5,$R5)</f>
        <v>#NAME?</v>
      </c>
      <c r="V5" s="78">
        <f>R5-Q5</f>
        <v>0.05</v>
      </c>
      <c r="W5" s="66"/>
      <c r="X5" s="90">
        <v>99.941999999999993</v>
      </c>
      <c r="Y5" s="66"/>
      <c r="Z5" s="89">
        <f t="array" ref="Z5:Z8">QuoteStatic</f>
        <v>99.941999999999993</v>
      </c>
      <c r="AA5" s="88" t="e">
        <f ca="1">_xll.cfyql_SimpleQuoteSetValue(F5,Z5,Trigger)</f>
        <v>#NAME?</v>
      </c>
      <c r="AB5" s="36"/>
    </row>
    <row r="6" spans="1:31" x14ac:dyDescent="0.2">
      <c r="A6" s="71"/>
      <c r="B6" s="86">
        <v>2</v>
      </c>
      <c r="C6" s="87" t="b">
        <v>0</v>
      </c>
      <c r="D6" s="1378" t="e">
        <f ca="1"/>
        <v>#NAME?</v>
      </c>
      <c r="E6" s="85" t="e">
        <f ca="1">Currency&amp;$D$3&amp;$E$3&amp;$D6&amp;QuoteSuffix</f>
        <v>#NAME?</v>
      </c>
      <c r="F6" s="84" t="e">
        <f ca="1">_xll.cfyql_SimpleQuote(E6,,PriceTickValue,Permanent,Trigger,ObjectOverwrite)</f>
        <v>#NAME?</v>
      </c>
      <c r="G6" s="83" t="e">
        <f ca="1">_xll.ohRangeRetrieveError(F6)</f>
        <v>#NAME?</v>
      </c>
      <c r="H6" s="36"/>
      <c r="J6" s="71"/>
      <c r="K6" s="82">
        <v>2</v>
      </c>
      <c r="L6" s="82" t="b">
        <v>0</v>
      </c>
      <c r="M6" s="1381" t="e">
        <f ca="1"/>
        <v>#NAME?</v>
      </c>
      <c r="N6" s="1375" t="e">
        <f ca="1"/>
        <v>#NAME?</v>
      </c>
      <c r="O6" s="77" t="str">
        <v>EUR6F2=ICAP</v>
      </c>
      <c r="P6" s="80" t="s">
        <v>75</v>
      </c>
      <c r="Q6" s="78">
        <v>-2E-3</v>
      </c>
      <c r="R6" s="78">
        <v>4.8000000000000001E-2</v>
      </c>
      <c r="S6" s="78">
        <v>0</v>
      </c>
      <c r="T6" s="78">
        <v>0</v>
      </c>
      <c r="U6" s="78" t="e">
        <f ca="1">100-_xll.cfyql_MidSafe($Q6,$R6)</f>
        <v>#NAME?</v>
      </c>
      <c r="V6" s="78">
        <f>R6-Q6</f>
        <v>0.05</v>
      </c>
      <c r="W6" s="66"/>
      <c r="X6" s="79">
        <v>99.936000000000007</v>
      </c>
      <c r="Y6" s="66"/>
      <c r="Z6" s="78">
        <v>99.936000000000007</v>
      </c>
      <c r="AA6" s="77" t="e">
        <f ca="1">_xll.cfyql_SimpleQuoteSetValue(F6,Z6,Trigger)</f>
        <v>#NAME?</v>
      </c>
      <c r="AB6" s="36"/>
    </row>
    <row r="7" spans="1:31" x14ac:dyDescent="0.2">
      <c r="A7" s="71"/>
      <c r="B7" s="86">
        <v>3</v>
      </c>
      <c r="C7" s="87" t="b">
        <v>0</v>
      </c>
      <c r="D7" s="1378" t="e">
        <f ca="1"/>
        <v>#NAME?</v>
      </c>
      <c r="E7" s="85" t="e">
        <f ca="1">Currency&amp;$D$3&amp;$E$3&amp;$D7&amp;QuoteSuffix</f>
        <v>#NAME?</v>
      </c>
      <c r="F7" s="84" t="e">
        <f ca="1">_xll.cfyql_SimpleQuote(E7,,PriceTickValue,Permanent,Trigger,ObjectOverwrite)</f>
        <v>#NAME?</v>
      </c>
      <c r="G7" s="83" t="e">
        <f ca="1">_xll.ohRangeRetrieveError(F7)</f>
        <v>#NAME?</v>
      </c>
      <c r="H7" s="36"/>
      <c r="J7" s="71"/>
      <c r="K7" s="82">
        <v>3</v>
      </c>
      <c r="L7" s="82" t="b">
        <v>0</v>
      </c>
      <c r="M7" s="1381" t="e">
        <f ca="1"/>
        <v>#NAME?</v>
      </c>
      <c r="N7" s="1375" t="e">
        <f ca="1"/>
        <v>#NAME?</v>
      </c>
      <c r="O7" s="77" t="str">
        <v>EUR6F3=ICAP</v>
      </c>
      <c r="P7" s="80" t="s">
        <v>75</v>
      </c>
      <c r="Q7" s="78">
        <v>-4.0000000000000001E-3</v>
      </c>
      <c r="R7" s="78">
        <v>4.5999999999999999E-2</v>
      </c>
      <c r="S7" s="78">
        <v>0</v>
      </c>
      <c r="T7" s="78">
        <v>0</v>
      </c>
      <c r="U7" s="78" t="e">
        <f ca="1">100-_xll.cfyql_MidSafe($Q7,$R7)</f>
        <v>#NAME?</v>
      </c>
      <c r="V7" s="78">
        <f>R7-Q7</f>
        <v>0.05</v>
      </c>
      <c r="W7" s="66"/>
      <c r="X7" s="79">
        <v>99.932000000000002</v>
      </c>
      <c r="Y7" s="66"/>
      <c r="Z7" s="78">
        <v>99.932000000000002</v>
      </c>
      <c r="AA7" s="77" t="e">
        <f ca="1">_xll.cfyql_SimpleQuoteSetValue(F7,Z7,Trigger)</f>
        <v>#NAME?</v>
      </c>
      <c r="AB7" s="36"/>
    </row>
    <row r="8" spans="1:31" x14ac:dyDescent="0.2">
      <c r="A8" s="71"/>
      <c r="B8" s="75">
        <v>4</v>
      </c>
      <c r="C8" s="76" t="b">
        <v>0</v>
      </c>
      <c r="D8" s="1379" t="e">
        <f ca="1"/>
        <v>#NAME?</v>
      </c>
      <c r="E8" s="74" t="e">
        <f ca="1">Currency&amp;$D$3&amp;$E$3&amp;$D8&amp;QuoteSuffix</f>
        <v>#NAME?</v>
      </c>
      <c r="F8" s="73" t="e">
        <f ca="1">_xll.cfyql_SimpleQuote(E8,,PriceTickValue,Permanent,Trigger,ObjectOverwrite)</f>
        <v>#NAME?</v>
      </c>
      <c r="G8" s="72" t="e">
        <f ca="1">_xll.ohRangeRetrieveError(F8)</f>
        <v>#NAME?</v>
      </c>
      <c r="H8" s="36"/>
      <c r="J8" s="71"/>
      <c r="K8" s="70">
        <v>4</v>
      </c>
      <c r="L8" s="70" t="b">
        <v>0</v>
      </c>
      <c r="M8" s="1382" t="e">
        <f ca="1"/>
        <v>#NAME?</v>
      </c>
      <c r="N8" s="1376" t="e">
        <f ca="1"/>
        <v>#NAME?</v>
      </c>
      <c r="O8" s="64" t="str">
        <v>EUR6F4=ICAP</v>
      </c>
      <c r="P8" s="68" t="s">
        <v>75</v>
      </c>
      <c r="Q8" s="65">
        <v>-4.0000000000000001E-3</v>
      </c>
      <c r="R8" s="65">
        <v>4.5999999999999999E-2</v>
      </c>
      <c r="S8" s="65">
        <v>0</v>
      </c>
      <c r="T8" s="65">
        <v>0</v>
      </c>
      <c r="U8" s="65" t="e">
        <f ca="1">100-_xll.cfyql_MidSafe($Q8,$R8)</f>
        <v>#NAME?</v>
      </c>
      <c r="V8" s="65">
        <f>R8-Q8</f>
        <v>0.05</v>
      </c>
      <c r="W8" s="66"/>
      <c r="X8" s="67">
        <v>99.924999999999997</v>
      </c>
      <c r="Y8" s="66"/>
      <c r="Z8" s="65">
        <v>99.924999999999997</v>
      </c>
      <c r="AA8" s="64" t="e">
        <f ca="1">_xll.cfyql_SimpleQuoteSetValue(F8,Z8,Trigger)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row r="13" spans="1:31" x14ac:dyDescent="0.2">
      <c r="O13" s="137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_xll.cfyql_CompositeQuote(H5,E5,G5,F5,Permanent,Trigger,ObjectOverwrite)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_xll.cfyql_CompositeQuote(H6,E6,G6,F6,Permanent,Trigger,ObjectOverwrite)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_xll.cfyql_CompositeQuote(H7,E7,G7,F7,Permanent,Trigger,ObjectOverwrite)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_xll.cfyql_CompositeQuote(H8,E8,G8,F8,Permanent,Trigger,ObjectOverwrite)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_xll.cfyql_CompositeQuote(H9,E9,G9,F9,Permanent,Trigger,ObjectOverwrite)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_xll.cfyql_CompositeQuote(H3,E3,G3,F3,Permanent,Trigger,ObjectOverwrite)</f>
        <v>#NAME?</v>
      </c>
      <c r="J3" s="46" t="e">
        <f ca="1">_xll.ohRangeRetrieveError(I3)</f>
        <v>#NAME?</v>
      </c>
      <c r="K3" s="36"/>
      <c r="M3" s="1360" t="s">
        <v>529</v>
      </c>
      <c r="N3" s="1363" t="e">
        <f ca="1">_xll.cfyql_Trigger('General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_xll.cfyql_CompositeQuote(H4,E4,G4,F4,Permanent,Trigger,ObjectOverwrite)</f>
        <v>#NAME?</v>
      </c>
      <c r="J4" s="42" t="e">
        <f ca="1">_xll.ohRangeRetrieveError(I4)</f>
        <v>#NAME?</v>
      </c>
      <c r="K4" s="36"/>
      <c r="M4" s="1361" t="s">
        <v>530</v>
      </c>
      <c r="N4" s="1364" t="e">
        <f ca="1">_xll.cfyql_Trigger(I3:I39)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_xll.cfyql_CompositeQuote(H5,E5,G5,F5,Permanent,Trigger,ObjectOverwrite)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_xll.cfyql_CompositeQuote(H6,E6,G6,F6,Permanent,Trigger,ObjectOverwrite)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_xll.cfyql_CompositeQuote(H7,E7,G7,F7,Permanent,Trigger,ObjectOverwrite)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_xll.cfyql_CompositeQuote(H8,E8,G8,F8,Permanent,Trigger,ObjectOverwrite)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_xll.cfyql_CompositeQuote(H9,E9,G9,F9,Permanent,Trigger,ObjectOverwrite)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_xll.cfyql_CompositeQuote(H10,E10,G10,F10,Permanent,Trigger,ObjectOverwrite)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_xll.cfyql_CompositeQuote(H11,E11,G11,F11,Permanent,Trigger,ObjectOverwrite)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_xll.cfyql_CompositeQuote(H12,E12,G12,F12,Permanent,Trigger,ObjectOverwrite)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_xll.cfyql_CompositeQuote(H13,E13,G13,F13,Permanent,Trigger,ObjectOverwrite)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_xll.cfyql_CompositeQuote(H14,E14,G14,F14,Permanent,Trigger,ObjectOverwrite)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_xll.cfyql_CompositeQuote(H15,E15,G15,F15,Permanent,Trigger,ObjectOverwrite)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_xll.cfyql_CompositeQuote(H16,E16,G16,F16,Permanent,Trigger,ObjectOverwrite)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_xll.cfyql_CompositeQuote(H17,E17,G17,F17,Permanent,Trigger,ObjectOverwrite)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_xll.cfyql_CompositeQuote(H18,E18,G18,F18,Permanent,Trigger,ObjectOverwrite)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_xll.cfyql_CompositeQuote(H19,E19,G19,F19,Permanent,Trigger,ObjectOverwrite)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_xll.cfyql_CompositeQuote(H20,E20,G20,F20,Permanent,Trigger,ObjectOverwrite)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_xll.cfyql_CompositeQuote(H21,E21,G21,F21,Permanent,Trigger,ObjectOverwrite)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_xll.cfyql_CompositeQuote(H22,E22,G22,F22,Permanent,Trigger,ObjectOverwrite)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_xll.cfyql_CompositeQuote(H23,E23,G23,F23,Permanent,Trigger,ObjectOverwrite)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_xll.cfyql_CompositeQuote(H24,E24,G24,F24,Permanent,Trigger,ObjectOverwrite)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_xll.cfyql_CompositeQuote(H25,E25,G25,F25,Permanent,Trigger,ObjectOverwrite)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_xll.cfyql_CompositeQuote(H26,E26,G26,F26,Permanent,Trigger,ObjectOverwrite)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_xll.cfyql_CompositeQuote(H27,E27,G27,F27,Permanent,Trigger,ObjectOverwrite)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_xll.cfyql_CompositeQuote(H28,E28,G28,F28,Permanent,Trigger,ObjectOverwrite)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_xll.cfyql_CompositeQuote(H29,E29,G29,F29,Permanent,Trigger,ObjectOverwrite)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_xll.cfyql_CompositeQuote(H30,E30,G30,F30,Permanent,Trigger,ObjectOverwrite)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_xll.cfyql_CompositeQuote(H31,E31,G31,F31,Permanent,Trigger,ObjectOverwrite)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_xll.cfyql_CompositeQuote(H32,E32,G32,F32,Permanent,Trigger,ObjectOverwrite)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_xll.cfyql_CompositeQuote(H33,E33,G33,F33,Permanent,Trigger,ObjectOverwrite)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_xll.cfyql_CompositeQuote(H34,E34,G34,F34,Permanent,Trigger,ObjectOverwrite)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_xll.cfyql_CompositeQuote(H35,E35,G35,F35,Permanent,Trigger,ObjectOverwrite)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_xll.cfyql_CompositeQuote(H36,E36,G36,F36,Permanent,Trigger,ObjectOverwrite)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_xll.cfyql_CompositeQuote(H37,E37,G37,F37,Permanent,Trigger,ObjectOverwrite)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_xll.cfyql_CompositeQuote(H38,E38,G38,F38,Permanent,Trigger,ObjectOverwrite)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_xll.cfyql_CompositeQuote(H39,E39,G39,F39,Permanent,Trigger,ObjectOverwrite)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_xll.cfyql_CalendarAdvance("TARGET",B3,"-4M","f",FALSE,Trigger)</f>
        <v>#NAME?</v>
      </c>
      <c r="D2" s="21" t="e">
        <f ca="1">_xll.RHistory("EURIBOR3MD=",B6:B7,B4,,"CH:In;Fd TSREPEAT:N SORT:"&amp;B5,D3)</f>
        <v>#NAME?</v>
      </c>
      <c r="E2" s="21"/>
      <c r="F2" s="1"/>
      <c r="H2" s="1360" t="s">
        <v>529</v>
      </c>
      <c r="I2" s="1363" t="e">
        <f ca="1">_xll.cfyql_Trigger('General Settings'!Trigger,Euribor!Trigger2)</f>
        <v>#NAME?</v>
      </c>
    </row>
    <row r="3" spans="1:9" ht="15.75" thickBot="1" x14ac:dyDescent="0.3">
      <c r="A3" s="16" t="s">
        <v>10</v>
      </c>
      <c r="B3" s="27" t="e">
        <f ca="1">_xll.cfyql_SettingsEvaluationDate(Trigger)</f>
        <v>#NAME?</v>
      </c>
      <c r="D3" s="20" t="s">
        <v>17</v>
      </c>
      <c r="E3" s="20" t="s">
        <v>17</v>
      </c>
      <c r="F3" s="1"/>
      <c r="H3" s="1361" t="s">
        <v>530</v>
      </c>
      <c r="I3" s="1364" t="e">
        <f ca="1">_xll.cfyql_Trigger(F5:F259)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ca="1">_xll.cfyql_IndexAddFixings($B$1,D5,E5/100,TRUE,Trigger)</f>
        <v>#NAME?</v>
      </c>
    </row>
    <row r="6" spans="1:9" x14ac:dyDescent="0.2">
      <c r="A6" s="10" t="s">
        <v>2</v>
      </c>
      <c r="B6" s="26" t="s">
        <v>1</v>
      </c>
      <c r="D6" s="5">
        <v>42276</v>
      </c>
      <c r="E6" s="4">
        <v>-4.1000000000000002E-2</v>
      </c>
      <c r="F6" s="4" t="e">
        <f ca="1">_xll.cfyql_IndexAddFixings($B$1,D6,E6/100,TRUE,Trigger)</f>
        <v>#NAME?</v>
      </c>
    </row>
    <row r="7" spans="1:9" x14ac:dyDescent="0.2">
      <c r="A7" s="8"/>
      <c r="B7" s="25" t="s">
        <v>0</v>
      </c>
      <c r="D7" s="5">
        <v>42275</v>
      </c>
      <c r="E7" s="4">
        <v>-4.1000000000000002E-2</v>
      </c>
      <c r="F7" s="4" t="e">
        <f ca="1">_xll.cfyql_IndexAddFixings($B$1,D7,E7/100,TRUE,Trigger)</f>
        <v>#NAME?</v>
      </c>
    </row>
    <row r="8" spans="1:9" x14ac:dyDescent="0.2">
      <c r="D8" s="5">
        <v>42272</v>
      </c>
      <c r="E8" s="4">
        <v>-4.1000000000000002E-2</v>
      </c>
      <c r="F8" s="4" t="e">
        <f ca="1">_xll.cfyql_IndexAddFixings($B$1,D8,E8/100,TRUE,Trigger)</f>
        <v>#NAME?</v>
      </c>
    </row>
    <row r="9" spans="1:9" x14ac:dyDescent="0.2">
      <c r="D9" s="5">
        <v>42271</v>
      </c>
      <c r="E9" s="4">
        <v>-0.04</v>
      </c>
      <c r="F9" s="4" t="e">
        <f ca="1">_xll.cfyql_IndexAddFixings($B$1,D9,E9/100,TRUE,Trigger)</f>
        <v>#NAME?</v>
      </c>
    </row>
    <row r="10" spans="1:9" x14ac:dyDescent="0.2">
      <c r="D10" s="5">
        <v>42270</v>
      </c>
      <c r="E10" s="4">
        <v>-3.9E-2</v>
      </c>
      <c r="F10" s="4" t="e">
        <f ca="1">_xll.cfyql_IndexAddFixings($B$1,D10,E10/100,TRUE,Trigger)</f>
        <v>#NAME?</v>
      </c>
    </row>
    <row r="11" spans="1:9" x14ac:dyDescent="0.2">
      <c r="D11" s="5">
        <v>42269</v>
      </c>
      <c r="E11" s="4">
        <v>-3.9E-2</v>
      </c>
      <c r="F11" s="4" t="e">
        <f ca="1">_xll.cfyql_IndexAddFixings($B$1,D11,E11/100,TRUE,Trigger)</f>
        <v>#NAME?</v>
      </c>
    </row>
    <row r="12" spans="1:9" x14ac:dyDescent="0.2">
      <c r="D12" s="5">
        <v>42268</v>
      </c>
      <c r="E12" s="4">
        <v>-3.7999999999999999E-2</v>
      </c>
      <c r="F12" s="4" t="e">
        <f ca="1">_xll.cfyql_IndexAddFixings($B$1,D12,E12/100,TRUE,Trigger)</f>
        <v>#NAME?</v>
      </c>
    </row>
    <row r="13" spans="1:9" x14ac:dyDescent="0.2">
      <c r="D13" s="5">
        <v>42265</v>
      </c>
      <c r="E13" s="4">
        <v>-3.6999999999999998E-2</v>
      </c>
      <c r="F13" s="4" t="e">
        <f ca="1">_xll.cfyql_IndexAddFixings($B$1,D13,E13/100,TRUE,Trigger)</f>
        <v>#NAME?</v>
      </c>
    </row>
    <row r="14" spans="1:9" x14ac:dyDescent="0.2">
      <c r="D14" s="5">
        <v>42264</v>
      </c>
      <c r="E14" s="4">
        <v>-3.6999999999999998E-2</v>
      </c>
      <c r="F14" s="4" t="e">
        <f ca="1">_xll.cfyql_IndexAddFixings($B$1,D14,E14/100,TRUE,Trigger)</f>
        <v>#NAME?</v>
      </c>
    </row>
    <row r="15" spans="1:9" x14ac:dyDescent="0.2">
      <c r="D15" s="5">
        <v>42263</v>
      </c>
      <c r="E15" s="4">
        <v>-3.6999999999999998E-2</v>
      </c>
      <c r="F15" s="4" t="e">
        <f ca="1">_xll.cfyql_IndexAddFixings($B$1,D15,E15/100,TRUE,Trigger)</f>
        <v>#NAME?</v>
      </c>
    </row>
    <row r="16" spans="1:9" x14ac:dyDescent="0.2">
      <c r="D16" s="5">
        <v>42262</v>
      </c>
      <c r="E16" s="4">
        <v>-3.5999999999999997E-2</v>
      </c>
      <c r="F16" s="4" t="e">
        <f ca="1">_xll.cfyql_IndexAddFixings($B$1,D16,E16/100,TRUE,Trigger)</f>
        <v>#NAME?</v>
      </c>
    </row>
    <row r="17" spans="4:6" x14ac:dyDescent="0.2">
      <c r="D17" s="5">
        <v>42261</v>
      </c>
      <c r="E17" s="4">
        <v>-3.7999999999999999E-2</v>
      </c>
      <c r="F17" s="4" t="e">
        <f ca="1">_xll.cfyql_IndexAddFixings($B$1,D17,E17/100,TRUE,Trigger)</f>
        <v>#NAME?</v>
      </c>
    </row>
    <row r="18" spans="4:6" x14ac:dyDescent="0.2">
      <c r="D18" s="5">
        <v>42258</v>
      </c>
      <c r="E18" s="4">
        <v>-3.7999999999999999E-2</v>
      </c>
      <c r="F18" s="4" t="e">
        <f ca="1">_xll.cfyql_IndexAddFixings($B$1,D18,E18/100,TRUE,Trigger)</f>
        <v>#NAME?</v>
      </c>
    </row>
    <row r="19" spans="4:6" x14ac:dyDescent="0.2">
      <c r="D19" s="5">
        <v>42257</v>
      </c>
      <c r="E19" s="4">
        <v>-3.5999999999999997E-2</v>
      </c>
      <c r="F19" s="4" t="e">
        <f ca="1">_xll.cfyql_IndexAddFixings($B$1,D19,E19/100,TRUE,Trigger)</f>
        <v>#NAME?</v>
      </c>
    </row>
    <row r="20" spans="4:6" x14ac:dyDescent="0.2">
      <c r="D20" s="5">
        <v>42256</v>
      </c>
      <c r="E20" s="4">
        <v>-3.5000000000000003E-2</v>
      </c>
      <c r="F20" s="4" t="e">
        <f ca="1">_xll.cfyql_IndexAddFixings($B$1,D20,E20/100,TRUE,Trigger)</f>
        <v>#NAME?</v>
      </c>
    </row>
    <row r="21" spans="4:6" x14ac:dyDescent="0.2">
      <c r="D21" s="5">
        <v>42255</v>
      </c>
      <c r="E21" s="4">
        <v>-3.5000000000000003E-2</v>
      </c>
      <c r="F21" s="4" t="e">
        <f ca="1">_xll.cfyql_IndexAddFixings($B$1,D21,E21/100,TRUE,Trigger)</f>
        <v>#NAME?</v>
      </c>
    </row>
    <row r="22" spans="4:6" x14ac:dyDescent="0.2">
      <c r="D22" s="5">
        <v>42254</v>
      </c>
      <c r="E22" s="4">
        <v>-3.4000000000000002E-2</v>
      </c>
      <c r="F22" s="4" t="e">
        <f ca="1">_xll.cfyql_IndexAddFixings($B$1,D22,E22/100,TRUE,Trigger)</f>
        <v>#NAME?</v>
      </c>
    </row>
    <row r="23" spans="4:6" x14ac:dyDescent="0.2">
      <c r="D23" s="5">
        <v>42251</v>
      </c>
      <c r="E23" s="4">
        <v>-3.4000000000000002E-2</v>
      </c>
      <c r="F23" s="4" t="e">
        <f ca="1">_xll.cfyql_IndexAddFixings($B$1,D23,E23/100,TRUE,Trigger)</f>
        <v>#NAME?</v>
      </c>
    </row>
    <row r="24" spans="4:6" x14ac:dyDescent="0.2">
      <c r="D24" s="5">
        <v>42250</v>
      </c>
      <c r="E24" s="4">
        <v>-3.3000000000000002E-2</v>
      </c>
      <c r="F24" s="4" t="e">
        <f ca="1">_xll.cfyql_IndexAddFixings($B$1,D24,E24/100,TRUE,Trigger)</f>
        <v>#NAME?</v>
      </c>
    </row>
    <row r="25" spans="4:6" x14ac:dyDescent="0.2">
      <c r="D25" s="5">
        <v>42249</v>
      </c>
      <c r="E25" s="4">
        <v>-3.3000000000000002E-2</v>
      </c>
      <c r="F25" s="4" t="e">
        <f ca="1">_xll.cfyql_IndexAddFixings($B$1,D25,E25/100,TRUE,Trigger)</f>
        <v>#NAME?</v>
      </c>
    </row>
    <row r="26" spans="4:6" x14ac:dyDescent="0.2">
      <c r="D26" s="5">
        <v>42248</v>
      </c>
      <c r="E26" s="4">
        <v>-3.3000000000000002E-2</v>
      </c>
      <c r="F26" s="4" t="e">
        <f ca="1">_xll.cfyql_IndexAddFixings($B$1,D26,E26/100,TRUE,Trigger)</f>
        <v>#NAME?</v>
      </c>
    </row>
    <row r="27" spans="4:6" x14ac:dyDescent="0.2">
      <c r="D27" s="5">
        <v>42247</v>
      </c>
      <c r="E27" s="4">
        <v>-3.3000000000000002E-2</v>
      </c>
      <c r="F27" s="4" t="e">
        <f ca="1">_xll.cfyql_IndexAddFixings($B$1,D27,E27/100,TRUE,Trigger)</f>
        <v>#NAME?</v>
      </c>
    </row>
    <row r="28" spans="4:6" x14ac:dyDescent="0.2">
      <c r="D28" s="5">
        <v>42244</v>
      </c>
      <c r="E28" s="4">
        <v>-3.3000000000000002E-2</v>
      </c>
      <c r="F28" s="4" t="e">
        <f ca="1">_xll.cfyql_IndexAddFixings($B$1,D28,E28/100,TRUE,Trigger)</f>
        <v>#NAME?</v>
      </c>
    </row>
    <row r="29" spans="4:6" x14ac:dyDescent="0.2">
      <c r="D29" s="5">
        <v>42243</v>
      </c>
      <c r="E29" s="4">
        <v>-3.3000000000000002E-2</v>
      </c>
      <c r="F29" s="4" t="e">
        <f ca="1">_xll.cfyql_IndexAddFixings($B$1,D29,E29/100,TRUE,Trigger)</f>
        <v>#NAME?</v>
      </c>
    </row>
    <row r="30" spans="4:6" x14ac:dyDescent="0.2">
      <c r="D30" s="5">
        <v>42242</v>
      </c>
      <c r="E30" s="4">
        <v>-3.3000000000000002E-2</v>
      </c>
      <c r="F30" s="4" t="e">
        <f ca="1">_xll.cfyql_IndexAddFixings($B$1,D30,E30/100,TRUE,Trigger)</f>
        <v>#NAME?</v>
      </c>
    </row>
    <row r="31" spans="4:6" x14ac:dyDescent="0.2">
      <c r="D31" s="5">
        <v>42241</v>
      </c>
      <c r="E31" s="4">
        <v>-3.3000000000000002E-2</v>
      </c>
      <c r="F31" s="4" t="e">
        <f ca="1">_xll.cfyql_IndexAddFixings($B$1,D31,E31/100,TRUE,Trigger)</f>
        <v>#NAME?</v>
      </c>
    </row>
    <row r="32" spans="4:6" x14ac:dyDescent="0.2">
      <c r="D32" s="5">
        <v>42240</v>
      </c>
      <c r="E32" s="4">
        <v>-3.2000000000000001E-2</v>
      </c>
      <c r="F32" s="4" t="e">
        <f ca="1">_xll.cfyql_IndexAddFixings($B$1,D32,E32/100,TRUE,Trigger)</f>
        <v>#NAME?</v>
      </c>
    </row>
    <row r="33" spans="4:6" x14ac:dyDescent="0.2">
      <c r="D33" s="5">
        <v>42237</v>
      </c>
      <c r="E33" s="4">
        <v>-3.1E-2</v>
      </c>
      <c r="F33" s="4" t="e">
        <f ca="1">_xll.cfyql_IndexAddFixings($B$1,D33,E33/100,TRUE,Trigger)</f>
        <v>#NAME?</v>
      </c>
    </row>
    <row r="34" spans="4:6" x14ac:dyDescent="0.2">
      <c r="D34" s="5">
        <v>42236</v>
      </c>
      <c r="E34" s="4">
        <v>-0.03</v>
      </c>
      <c r="F34" s="4" t="e">
        <f ca="1">_xll.cfyql_IndexAddFixings($B$1,D34,E34/100,TRUE,Trigger)</f>
        <v>#NAME?</v>
      </c>
    </row>
    <row r="35" spans="4:6" x14ac:dyDescent="0.2">
      <c r="D35" s="5">
        <v>42235</v>
      </c>
      <c r="E35" s="4">
        <v>-2.9000000000000001E-2</v>
      </c>
      <c r="F35" s="4" t="e">
        <f ca="1">_xll.cfyql_IndexAddFixings($B$1,D35,E35/100,TRUE,Trigger)</f>
        <v>#NAME?</v>
      </c>
    </row>
    <row r="36" spans="4:6" x14ac:dyDescent="0.2">
      <c r="D36" s="5">
        <v>42234</v>
      </c>
      <c r="E36" s="4">
        <v>-2.8000000000000001E-2</v>
      </c>
      <c r="F36" s="4" t="e">
        <f ca="1">_xll.cfyql_IndexAddFixings($B$1,D36,E36/100,TRUE,Trigger)</f>
        <v>#NAME?</v>
      </c>
    </row>
    <row r="37" spans="4:6" x14ac:dyDescent="0.2">
      <c r="D37" s="5">
        <v>42233</v>
      </c>
      <c r="E37" s="4">
        <v>-2.7E-2</v>
      </c>
      <c r="F37" s="4" t="e">
        <f ca="1">_xll.cfyql_IndexAddFixings($B$1,D37,E37/100,TRUE,Trigger)</f>
        <v>#NAME?</v>
      </c>
    </row>
    <row r="38" spans="4:6" x14ac:dyDescent="0.2">
      <c r="D38" s="5">
        <v>42230</v>
      </c>
      <c r="E38" s="4">
        <v>-2.5000000000000001E-2</v>
      </c>
      <c r="F38" s="4" t="e">
        <f ca="1">_xll.cfyql_IndexAddFixings($B$1,D38,E38/100,TRUE,Trigger)</f>
        <v>#NAME?</v>
      </c>
    </row>
    <row r="39" spans="4:6" x14ac:dyDescent="0.2">
      <c r="D39" s="5">
        <v>42229</v>
      </c>
      <c r="E39" s="4">
        <v>-2.4E-2</v>
      </c>
      <c r="F39" s="4" t="e">
        <f ca="1">_xll.cfyql_IndexAddFixings($B$1,D39,E39/100,TRUE,Trigger)</f>
        <v>#NAME?</v>
      </c>
    </row>
    <row r="40" spans="4:6" x14ac:dyDescent="0.2">
      <c r="D40" s="5">
        <v>42228</v>
      </c>
      <c r="E40" s="4">
        <v>-2.4E-2</v>
      </c>
      <c r="F40" s="4" t="e">
        <f ca="1">_xll.cfyql_IndexAddFixings($B$1,D40,E40/100,TRUE,Trigger)</f>
        <v>#NAME?</v>
      </c>
    </row>
    <row r="41" spans="4:6" x14ac:dyDescent="0.2">
      <c r="D41" s="5">
        <v>42227</v>
      </c>
      <c r="E41" s="4">
        <v>-2.4E-2</v>
      </c>
      <c r="F41" s="4" t="e">
        <f ca="1">_xll.cfyql_IndexAddFixings($B$1,D41,E41/100,TRUE,Trigger)</f>
        <v>#NAME?</v>
      </c>
    </row>
    <row r="42" spans="4:6" x14ac:dyDescent="0.2">
      <c r="D42" s="5">
        <v>42226</v>
      </c>
      <c r="E42" s="4">
        <v>-2.4E-2</v>
      </c>
      <c r="F42" s="4" t="e">
        <f ca="1">_xll.cfyql_IndexAddFixings($B$1,D42,E42/100,TRUE,Trigger)</f>
        <v>#NAME?</v>
      </c>
    </row>
    <row r="43" spans="4:6" x14ac:dyDescent="0.2">
      <c r="D43" s="5">
        <v>42223</v>
      </c>
      <c r="E43" s="4">
        <v>-2.4E-2</v>
      </c>
      <c r="F43" s="4" t="e">
        <f ca="1">_xll.cfyql_IndexAddFixings($B$1,D43,E43/100,TRUE,Trigger)</f>
        <v>#NAME?</v>
      </c>
    </row>
    <row r="44" spans="4:6" x14ac:dyDescent="0.2">
      <c r="D44" s="5">
        <v>42222</v>
      </c>
      <c r="E44" s="4">
        <v>-2.4E-2</v>
      </c>
      <c r="F44" s="4" t="e">
        <f ca="1">_xll.cfyql_IndexAddFixings($B$1,D44,E44/100,TRUE,Trigger)</f>
        <v>#NAME?</v>
      </c>
    </row>
    <row r="45" spans="4:6" x14ac:dyDescent="0.2">
      <c r="D45" s="5">
        <v>42221</v>
      </c>
      <c r="E45" s="4">
        <v>-2.4E-2</v>
      </c>
      <c r="F45" s="4" t="e">
        <f ca="1">_xll.cfyql_IndexAddFixings($B$1,D45,E45/100,TRUE,Trigger)</f>
        <v>#NAME?</v>
      </c>
    </row>
    <row r="46" spans="4:6" x14ac:dyDescent="0.2">
      <c r="D46" s="5">
        <v>42220</v>
      </c>
      <c r="E46" s="4">
        <v>-2.3E-2</v>
      </c>
      <c r="F46" s="4" t="e">
        <f ca="1">_xll.cfyql_IndexAddFixings($B$1,D46,E46/100,TRUE,Trigger)</f>
        <v>#NAME?</v>
      </c>
    </row>
    <row r="47" spans="4:6" x14ac:dyDescent="0.2">
      <c r="D47" s="5">
        <v>42219</v>
      </c>
      <c r="E47" s="4">
        <v>-2.3E-2</v>
      </c>
      <c r="F47" s="4" t="e">
        <f ca="1">_xll.cfyql_IndexAddFixings($B$1,D47,E47/100,TRUE,Trigger)</f>
        <v>#NAME?</v>
      </c>
    </row>
    <row r="48" spans="4:6" x14ac:dyDescent="0.2">
      <c r="D48" s="5">
        <v>42216</v>
      </c>
      <c r="E48" s="4">
        <v>-2.3E-2</v>
      </c>
      <c r="F48" s="4" t="e">
        <f ca="1">_xll.cfyql_IndexAddFixings($B$1,D48,E48/100,TRUE,Trigger)</f>
        <v>#NAME?</v>
      </c>
    </row>
    <row r="49" spans="4:6" x14ac:dyDescent="0.2">
      <c r="D49" s="5">
        <v>42215</v>
      </c>
      <c r="E49" s="4">
        <v>-2.3E-2</v>
      </c>
      <c r="F49" s="4" t="e">
        <f ca="1">_xll.cfyql_IndexAddFixings($B$1,D49,E49/100,TRUE,Trigger)</f>
        <v>#NAME?</v>
      </c>
    </row>
    <row r="50" spans="4:6" x14ac:dyDescent="0.2">
      <c r="D50" s="5">
        <v>42214</v>
      </c>
      <c r="E50" s="4">
        <v>-2.1999999999999999E-2</v>
      </c>
      <c r="F50" s="4" t="e">
        <f ca="1">_xll.cfyql_IndexAddFixings($B$1,D50,E50/100,TRUE,Trigger)</f>
        <v>#NAME?</v>
      </c>
    </row>
    <row r="51" spans="4:6" x14ac:dyDescent="0.2">
      <c r="D51" s="5">
        <v>42213</v>
      </c>
      <c r="E51" s="4">
        <v>-2.1000000000000001E-2</v>
      </c>
      <c r="F51" s="4" t="e">
        <f ca="1">_xll.cfyql_IndexAddFixings($B$1,D51,E51/100,TRUE,Trigger)</f>
        <v>#NAME?</v>
      </c>
    </row>
    <row r="52" spans="4:6" x14ac:dyDescent="0.2">
      <c r="D52" s="5">
        <v>42212</v>
      </c>
      <c r="E52" s="4">
        <v>-0.02</v>
      </c>
      <c r="F52" s="4" t="e">
        <f ca="1">_xll.cfyql_IndexAddFixings($B$1,D52,E52/100,TRUE,Trigger)</f>
        <v>#NAME?</v>
      </c>
    </row>
    <row r="53" spans="4:6" x14ac:dyDescent="0.2">
      <c r="D53" s="5">
        <v>42209</v>
      </c>
      <c r="E53" s="4">
        <v>-1.9E-2</v>
      </c>
      <c r="F53" s="4" t="e">
        <f ca="1">_xll.cfyql_IndexAddFixings($B$1,D53,E53/100,TRUE,Trigger)</f>
        <v>#NAME?</v>
      </c>
    </row>
    <row r="54" spans="4:6" x14ac:dyDescent="0.2">
      <c r="D54" s="5">
        <v>42208</v>
      </c>
      <c r="E54" s="4">
        <v>-1.9E-2</v>
      </c>
      <c r="F54" s="4" t="e">
        <f ca="1">_xll.cfyql_IndexAddFixings($B$1,D54,E54/100,TRUE,Trigger)</f>
        <v>#NAME?</v>
      </c>
    </row>
    <row r="55" spans="4:6" x14ac:dyDescent="0.2">
      <c r="D55" s="5">
        <v>42207</v>
      </c>
      <c r="E55" s="4">
        <v>-1.9E-2</v>
      </c>
      <c r="F55" s="4" t="e">
        <f ca="1">_xll.cfyql_IndexAddFixings($B$1,D55,E55/100,TRUE,Trigger)</f>
        <v>#NAME?</v>
      </c>
    </row>
    <row r="56" spans="4:6" x14ac:dyDescent="0.2">
      <c r="D56" s="5">
        <v>42206</v>
      </c>
      <c r="E56" s="4">
        <v>-1.9E-2</v>
      </c>
      <c r="F56" s="4" t="e">
        <f ca="1">_xll.cfyql_IndexAddFixings($B$1,D56,E56/100,TRUE,Trigger)</f>
        <v>#NAME?</v>
      </c>
    </row>
    <row r="57" spans="4:6" x14ac:dyDescent="0.2">
      <c r="D57" s="5">
        <v>42205</v>
      </c>
      <c r="E57" s="4">
        <v>-1.9E-2</v>
      </c>
      <c r="F57" s="4" t="e">
        <f ca="1">_xll.cfyql_IndexAddFixings($B$1,D57,E57/100,TRUE,Trigger)</f>
        <v>#NAME?</v>
      </c>
    </row>
    <row r="58" spans="4:6" x14ac:dyDescent="0.2">
      <c r="D58" s="5">
        <v>42202</v>
      </c>
      <c r="E58" s="4">
        <v>-1.9E-2</v>
      </c>
      <c r="F58" s="4" t="e">
        <f ca="1">_xll.cfyql_IndexAddFixings($B$1,D58,E58/100,TRUE,Trigger)</f>
        <v>#NAME?</v>
      </c>
    </row>
    <row r="59" spans="4:6" x14ac:dyDescent="0.2">
      <c r="D59" s="5">
        <v>42201</v>
      </c>
      <c r="E59" s="4">
        <v>-1.9E-2</v>
      </c>
      <c r="F59" s="4" t="e">
        <f ca="1">_xll.cfyql_IndexAddFixings($B$1,D59,E59/100,TRUE,Trigger)</f>
        <v>#NAME?</v>
      </c>
    </row>
    <row r="60" spans="4:6" x14ac:dyDescent="0.2">
      <c r="D60" s="5">
        <v>42200</v>
      </c>
      <c r="E60" s="4">
        <v>-1.9E-2</v>
      </c>
      <c r="F60" s="4" t="e">
        <f ca="1">_xll.cfyql_IndexAddFixings($B$1,D60,E60/100,TRUE,Trigger)</f>
        <v>#NAME?</v>
      </c>
    </row>
    <row r="61" spans="4:6" x14ac:dyDescent="0.2">
      <c r="D61" s="5">
        <v>42199</v>
      </c>
      <c r="E61" s="4">
        <v>-1.9E-2</v>
      </c>
      <c r="F61" s="4" t="e">
        <f ca="1">_xll.cfyql_IndexAddFixings($B$1,D61,E61/100,TRUE,Trigger)</f>
        <v>#NAME?</v>
      </c>
    </row>
    <row r="62" spans="4:6" x14ac:dyDescent="0.2">
      <c r="D62" s="5">
        <v>42198</v>
      </c>
      <c r="E62" s="4">
        <v>-1.9E-2</v>
      </c>
      <c r="F62" s="4" t="e">
        <f ca="1">_xll.cfyql_IndexAddFixings($B$1,D62,E62/100,TRUE,Trigger)</f>
        <v>#NAME?</v>
      </c>
    </row>
    <row r="63" spans="4:6" x14ac:dyDescent="0.2">
      <c r="D63" s="5">
        <v>42195</v>
      </c>
      <c r="E63" s="4">
        <v>-1.7999999999999999E-2</v>
      </c>
      <c r="F63" s="4" t="e">
        <f ca="1">_xll.cfyql_IndexAddFixings($B$1,D63,E63/100,TRUE,Trigger)</f>
        <v>#NAME?</v>
      </c>
    </row>
    <row r="64" spans="4:6" x14ac:dyDescent="0.2">
      <c r="D64" s="5">
        <v>42194</v>
      </c>
      <c r="E64" s="4">
        <v>-1.7999999999999999E-2</v>
      </c>
      <c r="F64" s="4" t="e">
        <f ca="1">_xll.cfyql_IndexAddFixings($B$1,D64,E64/100,TRUE,Trigger)</f>
        <v>#NAME?</v>
      </c>
    </row>
    <row r="65" spans="4:6" x14ac:dyDescent="0.2">
      <c r="D65" s="5">
        <v>42193</v>
      </c>
      <c r="E65" s="4">
        <v>-1.7999999999999999E-2</v>
      </c>
      <c r="F65" s="4" t="e">
        <f ca="1">_xll.cfyql_IndexAddFixings($B$1,D65,E65/100,TRUE,Trigger)</f>
        <v>#NAME?</v>
      </c>
    </row>
    <row r="66" spans="4:6" x14ac:dyDescent="0.2">
      <c r="D66" s="5">
        <v>42192</v>
      </c>
      <c r="E66" s="4">
        <v>-1.7999999999999999E-2</v>
      </c>
      <c r="F66" s="4" t="e">
        <f ca="1">_xll.cfyql_IndexAddFixings($B$1,D66,E66/100,TRUE,Trigger)</f>
        <v>#NAME?</v>
      </c>
    </row>
    <row r="67" spans="4:6" x14ac:dyDescent="0.2">
      <c r="D67" s="5">
        <v>42191</v>
      </c>
      <c r="E67" s="4">
        <v>-1.6E-2</v>
      </c>
      <c r="F67" s="4" t="e">
        <f ca="1">_xll.cfyql_IndexAddFixings($B$1,D67,E67/100,TRUE,Trigger)</f>
        <v>#NAME?</v>
      </c>
    </row>
    <row r="68" spans="4:6" x14ac:dyDescent="0.2">
      <c r="D68" s="5">
        <v>42188</v>
      </c>
      <c r="E68" s="4">
        <v>-1.4999999999999999E-2</v>
      </c>
      <c r="F68" s="4" t="e">
        <f ca="1">_xll.cfyql_IndexAddFixings($B$1,D68,E68/100,TRUE,Trigger)</f>
        <v>#NAME?</v>
      </c>
    </row>
    <row r="69" spans="4:6" x14ac:dyDescent="0.2">
      <c r="D69" s="5">
        <v>42187</v>
      </c>
      <c r="E69" s="4">
        <v>-1.4999999999999999E-2</v>
      </c>
      <c r="F69" s="4" t="e">
        <f ca="1">_xll.cfyql_IndexAddFixings($B$1,D69,E69/100,TRUE,Trigger)</f>
        <v>#NAME?</v>
      </c>
    </row>
    <row r="70" spans="4:6" x14ac:dyDescent="0.2">
      <c r="D70" s="5">
        <v>42186</v>
      </c>
      <c r="E70" s="4">
        <v>-1.4E-2</v>
      </c>
      <c r="F70" s="4" t="e">
        <f ca="1">_xll.cfyql_IndexAddFixings($B$1,D70,E70/100,TRUE,Trigger)</f>
        <v>#NAME?</v>
      </c>
    </row>
    <row r="71" spans="4:6" x14ac:dyDescent="0.2">
      <c r="D71" s="5">
        <v>42185</v>
      </c>
      <c r="E71" s="4">
        <v>-1.4E-2</v>
      </c>
      <c r="F71" s="4" t="e">
        <f ca="1">_xll.cfyql_IndexAddFixings($B$1,D71,E71/100,TRUE,Trigger)</f>
        <v>#NAME?</v>
      </c>
    </row>
    <row r="72" spans="4:6" x14ac:dyDescent="0.2">
      <c r="D72" s="5">
        <v>42184</v>
      </c>
      <c r="E72" s="4">
        <v>-1.6E-2</v>
      </c>
      <c r="F72" s="4" t="e">
        <f ca="1">_xll.cfyql_IndexAddFixings($B$1,D72,E72/100,TRUE,Trigger)</f>
        <v>#NAME?</v>
      </c>
    </row>
    <row r="73" spans="4:6" x14ac:dyDescent="0.2">
      <c r="D73" s="5">
        <v>42181</v>
      </c>
      <c r="E73" s="4">
        <v>-1.4999999999999999E-2</v>
      </c>
      <c r="F73" s="4" t="e">
        <f ca="1">_xll.cfyql_IndexAddFixings($B$1,D73,E73/100,TRUE,Trigger)</f>
        <v>#NAME?</v>
      </c>
    </row>
    <row r="74" spans="4:6" x14ac:dyDescent="0.2">
      <c r="D74" s="5">
        <v>42180</v>
      </c>
      <c r="E74" s="4">
        <v>-1.4999999999999999E-2</v>
      </c>
      <c r="F74" s="4" t="e">
        <f ca="1">_xll.cfyql_IndexAddFixings($B$1,D74,E74/100,TRUE,Trigger)</f>
        <v>#NAME?</v>
      </c>
    </row>
    <row r="75" spans="4:6" x14ac:dyDescent="0.2">
      <c r="D75" s="5">
        <v>42179</v>
      </c>
      <c r="E75" s="4">
        <v>-1.4E-2</v>
      </c>
      <c r="F75" s="4" t="e">
        <f ca="1">_xll.cfyql_IndexAddFixings($B$1,D75,E75/100,TRUE,Trigger)</f>
        <v>#NAME?</v>
      </c>
    </row>
    <row r="76" spans="4:6" x14ac:dyDescent="0.2">
      <c r="D76" s="5">
        <v>42178</v>
      </c>
      <c r="E76" s="4">
        <v>-1.4E-2</v>
      </c>
      <c r="F76" s="4" t="e">
        <f ca="1">_xll.cfyql_IndexAddFixings($B$1,D76,E76/100,TRUE,Trigger)</f>
        <v>#NAME?</v>
      </c>
    </row>
    <row r="77" spans="4:6" x14ac:dyDescent="0.2">
      <c r="D77" s="5">
        <v>42177</v>
      </c>
      <c r="E77" s="4">
        <v>-1.4E-2</v>
      </c>
      <c r="F77" s="4" t="e">
        <f ca="1">_xll.cfyql_IndexAddFixings($B$1,D77,E77/100,TRUE,Trigger)</f>
        <v>#NAME?</v>
      </c>
    </row>
    <row r="78" spans="4:6" x14ac:dyDescent="0.2">
      <c r="D78" s="5">
        <v>42174</v>
      </c>
      <c r="E78" s="4">
        <v>-1.4E-2</v>
      </c>
      <c r="F78" s="4" t="e">
        <f ca="1">_xll.cfyql_IndexAddFixings($B$1,D78,E78/100,TRUE,Trigger)</f>
        <v>#NAME?</v>
      </c>
    </row>
    <row r="79" spans="4:6" x14ac:dyDescent="0.2">
      <c r="D79" s="5">
        <v>42173</v>
      </c>
      <c r="E79" s="4">
        <v>-1.4E-2</v>
      </c>
      <c r="F79" s="4" t="e">
        <f ca="1">_xll.cfyql_IndexAddFixings($B$1,D79,E79/100,TRUE,Trigger)</f>
        <v>#NAME?</v>
      </c>
    </row>
    <row r="80" spans="4:6" x14ac:dyDescent="0.2">
      <c r="D80" s="5">
        <v>42172</v>
      </c>
      <c r="E80" s="4">
        <v>-1.4E-2</v>
      </c>
      <c r="F80" s="4" t="e">
        <f ca="1">_xll.cfyql_IndexAddFixings($B$1,D80,E80/100,TRUE,Trigger)</f>
        <v>#NAME?</v>
      </c>
    </row>
    <row r="81" spans="4:6" x14ac:dyDescent="0.2">
      <c r="D81" s="5">
        <v>42171</v>
      </c>
      <c r="E81" s="4">
        <v>-1.4E-2</v>
      </c>
      <c r="F81" s="4" t="e">
        <f ca="1">_xll.cfyql_IndexAddFixings($B$1,D81,E81/100,TRUE,Trigger)</f>
        <v>#NAME?</v>
      </c>
    </row>
    <row r="82" spans="4:6" x14ac:dyDescent="0.2">
      <c r="D82" s="5">
        <v>42170</v>
      </c>
      <c r="E82" s="4">
        <v>-1.4E-2</v>
      </c>
      <c r="F82" s="4" t="e">
        <f ca="1">_xll.cfyql_IndexAddFixings($B$1,D82,E82/100,TRUE,Trigger)</f>
        <v>#NAME?</v>
      </c>
    </row>
    <row r="83" spans="4:6" x14ac:dyDescent="0.2">
      <c r="D83" s="5">
        <v>42167</v>
      </c>
      <c r="E83" s="4">
        <v>-1.4E-2</v>
      </c>
      <c r="F83" s="4" t="e">
        <f ca="1">_xll.cfyql_IndexAddFixings($B$1,D83,E83/100,TRUE,Trigger)</f>
        <v>#NAME?</v>
      </c>
    </row>
    <row r="84" spans="4:6" x14ac:dyDescent="0.2">
      <c r="D84" s="5">
        <v>42166</v>
      </c>
      <c r="E84" s="4">
        <v>-1.4E-2</v>
      </c>
      <c r="F84" s="4" t="e">
        <f ca="1">_xll.cfyql_IndexAddFixings($B$1,D84,E84/100,TRUE,Trigger)</f>
        <v>#NAME?</v>
      </c>
    </row>
    <row r="85" spans="4:6" x14ac:dyDescent="0.2">
      <c r="D85" s="5">
        <v>42165</v>
      </c>
      <c r="E85" s="4">
        <v>-1.4E-2</v>
      </c>
      <c r="F85" s="4" t="e">
        <f ca="1">_xll.cfyql_IndexAddFixings($B$1,D85,E85/100,TRUE,Trigger)</f>
        <v>#NAME?</v>
      </c>
    </row>
    <row r="86" spans="4:6" x14ac:dyDescent="0.2">
      <c r="D86" s="5">
        <v>42164</v>
      </c>
      <c r="E86" s="4">
        <v>-1.2999999999999999E-2</v>
      </c>
      <c r="F86" s="4" t="e">
        <f ca="1">_xll.cfyql_IndexAddFixings($B$1,D86,E86/100,TRUE,Trigger)</f>
        <v>#NAME?</v>
      </c>
    </row>
    <row r="87" spans="4:6" x14ac:dyDescent="0.2">
      <c r="D87" s="5">
        <v>42163</v>
      </c>
      <c r="E87" s="4">
        <v>-1.2999999999999999E-2</v>
      </c>
      <c r="F87" s="4" t="e">
        <f ca="1">_xll.cfyql_IndexAddFixings($B$1,D87,E87/100,TRUE,Trigger)</f>
        <v>#NAME?</v>
      </c>
    </row>
    <row r="88" spans="4:6" x14ac:dyDescent="0.2">
      <c r="D88" s="5">
        <v>42160</v>
      </c>
      <c r="E88" s="4">
        <v>-1.2999999999999999E-2</v>
      </c>
      <c r="F88" s="4" t="e">
        <f ca="1">_xll.cfyql_IndexAddFixings($B$1,D88,E88/100,TRUE,Trigger)</f>
        <v>#NAME?</v>
      </c>
    </row>
    <row r="89" spans="4:6" x14ac:dyDescent="0.2">
      <c r="D89" s="5">
        <v>42159</v>
      </c>
      <c r="E89" s="4">
        <v>-1.2999999999999999E-2</v>
      </c>
      <c r="F89" s="4" t="e">
        <f ca="1">_xll.cfyql_IndexAddFixings($B$1,D89,E89/100,TRUE,Trigger)</f>
        <v>#NAME?</v>
      </c>
    </row>
    <row r="90" spans="4:6" x14ac:dyDescent="0.2">
      <c r="D90" s="5">
        <v>42158</v>
      </c>
      <c r="E90" s="4">
        <v>-1.4E-2</v>
      </c>
      <c r="F90" s="4" t="e">
        <f ca="1">_xll.cfyql_IndexAddFixings($B$1,D90,E90/100,TRUE,Trigger)</f>
        <v>#NAME?</v>
      </c>
    </row>
    <row r="91" spans="4:6" x14ac:dyDescent="0.2">
      <c r="D91" s="5">
        <v>42157</v>
      </c>
      <c r="E91" s="4">
        <v>-1.2999999999999999E-2</v>
      </c>
      <c r="F91" s="4" t="e">
        <f ca="1">_xll.cfyql_IndexAddFixings($B$1,D91,E91/100,TRUE,Trigger)</f>
        <v>#NAME?</v>
      </c>
    </row>
    <row r="92" spans="4:6" x14ac:dyDescent="0.2">
      <c r="D92" s="5">
        <v>42156</v>
      </c>
      <c r="E92" s="4">
        <v>-1.2999999999999999E-2</v>
      </c>
      <c r="F92" s="4" t="e">
        <f ca="1">_xll.cfyql_IndexAddFixings($B$1,D92,E92/100,TRUE,Trigger)</f>
        <v>#NAME?</v>
      </c>
    </row>
    <row r="93" spans="4:6" x14ac:dyDescent="0.2">
      <c r="D93" s="5">
        <v>41841</v>
      </c>
      <c r="E93" s="4">
        <v>0.20399999999999999</v>
      </c>
      <c r="F93" s="4" t="e">
        <f ca="1">_xll.cfyql_IndexAddFixings($B$1,D93,E93/100,TRUE,Trigger)</f>
        <v>#NAME?</v>
      </c>
    </row>
    <row r="94" spans="4:6" x14ac:dyDescent="0.2">
      <c r="D94" s="5"/>
      <c r="E94" s="4"/>
      <c r="F94" s="4" t="e">
        <f ca="1">_xll.cfyql_IndexAddFixings($B$1,D94,E94/100,TRUE,Trigger)</f>
        <v>#NAME?</v>
      </c>
    </row>
    <row r="95" spans="4:6" x14ac:dyDescent="0.2">
      <c r="D95" s="5"/>
      <c r="E95" s="4"/>
      <c r="F95" s="4" t="e">
        <f ca="1">_xll.cfyql_IndexAddFixings($B$1,D95,E95/100,TRUE,Trigger)</f>
        <v>#NAME?</v>
      </c>
    </row>
    <row r="96" spans="4:6" x14ac:dyDescent="0.2">
      <c r="D96" s="5"/>
      <c r="E96" s="4"/>
      <c r="F96" s="4" t="e">
        <f ca="1">_xll.cfyql_IndexAddFixings($B$1,D96,E96/100,TRUE,Trigger)</f>
        <v>#NAME?</v>
      </c>
    </row>
    <row r="97" spans="4:6" x14ac:dyDescent="0.2">
      <c r="D97" s="5"/>
      <c r="E97" s="4"/>
      <c r="F97" s="4" t="e">
        <f ca="1">_xll.cfyql_IndexAddFixings($B$1,D97,E97/100,TRUE,Trigger)</f>
        <v>#NAME?</v>
      </c>
    </row>
    <row r="98" spans="4:6" x14ac:dyDescent="0.2">
      <c r="D98" s="5"/>
      <c r="E98" s="4"/>
      <c r="F98" s="4" t="e">
        <f ca="1">_xll.cfyql_IndexAddFixings($B$1,D98,E98/100,TRUE,Trigger)</f>
        <v>#NAME?</v>
      </c>
    </row>
    <row r="99" spans="4:6" x14ac:dyDescent="0.2">
      <c r="D99" s="5"/>
      <c r="E99" s="4"/>
      <c r="F99" s="4" t="e">
        <f ca="1">_xll.cfyql_IndexAddFixings($B$1,D99,E99/100,TRUE,Trigger)</f>
        <v>#NAME?</v>
      </c>
    </row>
    <row r="100" spans="4:6" x14ac:dyDescent="0.2">
      <c r="D100" s="5"/>
      <c r="E100" s="4"/>
      <c r="F100" s="4" t="e">
        <f ca="1">_xll.cfyql_IndexAddFixings($B$1,D100,E100/100,TRUE,Trigger)</f>
        <v>#NAME?</v>
      </c>
    </row>
    <row r="101" spans="4:6" x14ac:dyDescent="0.2">
      <c r="D101" s="5"/>
      <c r="E101" s="4"/>
      <c r="F101" s="4" t="e">
        <f ca="1">_xll.cfyql_IndexAddFixings($B$1,D101,E101/100,TRUE,Trigger)</f>
        <v>#NAME?</v>
      </c>
    </row>
    <row r="102" spans="4:6" x14ac:dyDescent="0.2">
      <c r="D102" s="5"/>
      <c r="E102" s="4"/>
      <c r="F102" s="4" t="e">
        <f ca="1">_xll.cfyql_IndexAddFixings($B$1,D102,E102/100,TRUE,Trigger)</f>
        <v>#NAME?</v>
      </c>
    </row>
    <row r="103" spans="4:6" x14ac:dyDescent="0.2">
      <c r="D103" s="5"/>
      <c r="E103" s="4"/>
      <c r="F103" s="4" t="e">
        <f ca="1">_xll.cfyql_IndexAddFixings($B$1,D103,E103/100,TRUE,Trigger)</f>
        <v>#NAME?</v>
      </c>
    </row>
    <row r="104" spans="4:6" x14ac:dyDescent="0.2">
      <c r="D104" s="5"/>
      <c r="E104" s="4"/>
      <c r="F104" s="4" t="e">
        <f ca="1">_xll.cfyql_IndexAddFixings($B$1,D104,E104/100,TRUE,Trigger)</f>
        <v>#NAME?</v>
      </c>
    </row>
    <row r="105" spans="4:6" x14ac:dyDescent="0.2">
      <c r="D105" s="5"/>
      <c r="E105" s="4"/>
      <c r="F105" s="4" t="e">
        <f ca="1">_xll.cfyql_IndexAddFixings($B$1,D105,E105/100,TRUE,Trigger)</f>
        <v>#NAME?</v>
      </c>
    </row>
    <row r="106" spans="4:6" x14ac:dyDescent="0.2">
      <c r="D106" s="5"/>
      <c r="E106" s="4"/>
      <c r="F106" s="4" t="e">
        <f ca="1">_xll.cfyql_IndexAddFixings($B$1,D106,E106/100,TRUE,Trigger)</f>
        <v>#NAME?</v>
      </c>
    </row>
    <row r="107" spans="4:6" x14ac:dyDescent="0.2">
      <c r="D107" s="5"/>
      <c r="E107" s="4"/>
      <c r="F107" s="4" t="e">
        <f ca="1">_xll.cfyql_IndexAddFixings($B$1,D107,E107/100,TRUE,Trigger)</f>
        <v>#NAME?</v>
      </c>
    </row>
    <row r="108" spans="4:6" x14ac:dyDescent="0.2">
      <c r="D108" s="5"/>
      <c r="E108" s="4"/>
      <c r="F108" s="4" t="e">
        <f ca="1">_xll.cfyql_IndexAddFixings($B$1,D108,E108/100,TRUE,Trigger)</f>
        <v>#NAME?</v>
      </c>
    </row>
    <row r="109" spans="4:6" x14ac:dyDescent="0.2">
      <c r="D109" s="5"/>
      <c r="E109" s="4"/>
      <c r="F109" s="4" t="e">
        <f ca="1">_xll.cfyql_IndexAddFixings($B$1,D109,E109/100,TRUE,Trigger)</f>
        <v>#NAME?</v>
      </c>
    </row>
    <row r="110" spans="4:6" x14ac:dyDescent="0.2">
      <c r="D110" s="5"/>
      <c r="E110" s="4"/>
      <c r="F110" s="4" t="e">
        <f ca="1">_xll.cfyql_IndexAddFixings($B$1,D110,E110/100,TRUE,Trigger)</f>
        <v>#NAME?</v>
      </c>
    </row>
    <row r="111" spans="4:6" x14ac:dyDescent="0.2">
      <c r="D111" s="5"/>
      <c r="E111" s="4"/>
      <c r="F111" s="4" t="e">
        <f ca="1">_xll.cfyql_IndexAddFixings($B$1,D111,E111/100,TRUE,Trigger)</f>
        <v>#NAME?</v>
      </c>
    </row>
    <row r="112" spans="4:6" x14ac:dyDescent="0.2">
      <c r="D112" s="5"/>
      <c r="E112" s="4"/>
      <c r="F112" s="4" t="e">
        <f ca="1">_xll.cfyql_IndexAddFixings($B$1,D112,E112/100,TRUE,Trigger)</f>
        <v>#NAME?</v>
      </c>
    </row>
    <row r="113" spans="4:6" x14ac:dyDescent="0.2">
      <c r="D113" s="5"/>
      <c r="E113" s="4"/>
      <c r="F113" s="4" t="e">
        <f ca="1">_xll.cfyql_IndexAddFixings($B$1,D113,E113/100,TRUE,Trigger)</f>
        <v>#NAME?</v>
      </c>
    </row>
    <row r="114" spans="4:6" x14ac:dyDescent="0.2">
      <c r="D114" s="5"/>
      <c r="E114" s="4"/>
      <c r="F114" s="4" t="e">
        <f ca="1">_xll.cfyql_IndexAddFixings($B$1,D114,E114/100,TRUE,Trigger)</f>
        <v>#NAME?</v>
      </c>
    </row>
    <row r="115" spans="4:6" x14ac:dyDescent="0.2">
      <c r="D115" s="5"/>
      <c r="E115" s="4"/>
      <c r="F115" s="4" t="e">
        <f ca="1">_xll.cfyql_IndexAddFixings($B$1,D115,E115/100,TRUE,Trigger)</f>
        <v>#NAME?</v>
      </c>
    </row>
    <row r="116" spans="4:6" x14ac:dyDescent="0.2">
      <c r="D116" s="5"/>
      <c r="E116" s="4"/>
      <c r="F116" s="4" t="e">
        <f ca="1">_xll.cfyql_IndexAddFixings($B$1,D116,E116/100,TRUE,Trigger)</f>
        <v>#NAME?</v>
      </c>
    </row>
    <row r="117" spans="4:6" x14ac:dyDescent="0.2">
      <c r="D117" s="5"/>
      <c r="E117" s="4"/>
      <c r="F117" s="4" t="e">
        <f ca="1">_xll.cfyql_IndexAddFixings($B$1,D117,E117/100,TRUE,Trigger)</f>
        <v>#NAME?</v>
      </c>
    </row>
    <row r="118" spans="4:6" x14ac:dyDescent="0.2">
      <c r="D118" s="5"/>
      <c r="E118" s="4"/>
      <c r="F118" s="4" t="e">
        <f ca="1">_xll.cfyql_IndexAddFixings($B$1,D118,E118/100,TRUE,Trigger)</f>
        <v>#NAME?</v>
      </c>
    </row>
    <row r="119" spans="4:6" x14ac:dyDescent="0.2">
      <c r="D119" s="5"/>
      <c r="E119" s="4"/>
      <c r="F119" s="4" t="e">
        <f ca="1">_xll.cfyql_IndexAddFixings($B$1,D119,E119/100,TRUE,Trigger)</f>
        <v>#NAME?</v>
      </c>
    </row>
    <row r="120" spans="4:6" x14ac:dyDescent="0.2">
      <c r="D120" s="5"/>
      <c r="E120" s="4"/>
      <c r="F120" s="4" t="e">
        <f ca="1">_xll.cfyql_IndexAddFixings($B$1,D120,E120/100,TRUE,Trigger)</f>
        <v>#NAME?</v>
      </c>
    </row>
    <row r="121" spans="4:6" x14ac:dyDescent="0.2">
      <c r="D121" s="5"/>
      <c r="E121" s="4"/>
      <c r="F121" s="4" t="e">
        <f ca="1">_xll.cfyql_IndexAddFixings($B$1,D121,E121/100,TRUE,Trigger)</f>
        <v>#NAME?</v>
      </c>
    </row>
    <row r="122" spans="4:6" x14ac:dyDescent="0.2">
      <c r="D122" s="5"/>
      <c r="E122" s="4"/>
      <c r="F122" s="4" t="e">
        <f ca="1">_xll.cfyql_IndexAddFixings($B$1,D122,E122/100,TRUE,Trigger)</f>
        <v>#NAME?</v>
      </c>
    </row>
    <row r="123" spans="4:6" x14ac:dyDescent="0.2">
      <c r="D123" s="5"/>
      <c r="E123" s="4"/>
      <c r="F123" s="4" t="e">
        <f ca="1">_xll.cfyql_IndexAddFixings($B$1,D123,E123/100,TRUE,Trigger)</f>
        <v>#NAME?</v>
      </c>
    </row>
    <row r="124" spans="4:6" x14ac:dyDescent="0.2">
      <c r="D124" s="5"/>
      <c r="E124" s="4"/>
      <c r="F124" s="4" t="e">
        <f ca="1">_xll.cfyql_IndexAddFixings($B$1,D124,E124/100,TRUE,Trigger)</f>
        <v>#NAME?</v>
      </c>
    </row>
    <row r="125" spans="4:6" x14ac:dyDescent="0.2">
      <c r="D125" s="5"/>
      <c r="E125" s="4"/>
      <c r="F125" s="4" t="e">
        <f ca="1">_xll.cfyql_IndexAddFixings($B$1,D125,E125/100,TRUE,Trigger)</f>
        <v>#NAME?</v>
      </c>
    </row>
    <row r="126" spans="4:6" x14ac:dyDescent="0.2">
      <c r="D126" s="5"/>
      <c r="E126" s="4"/>
      <c r="F126" s="4" t="e">
        <f ca="1">_xll.cfyql_IndexAddFixings($B$1,D126,E126/100,TRUE,Trigger)</f>
        <v>#NAME?</v>
      </c>
    </row>
    <row r="127" spans="4:6" x14ac:dyDescent="0.2">
      <c r="D127" s="5"/>
      <c r="E127" s="4"/>
      <c r="F127" s="4" t="e">
        <f ca="1">_xll.cfyql_IndexAddFixings($B$1,D127,E127/100,TRUE,Trigger)</f>
        <v>#NAME?</v>
      </c>
    </row>
    <row r="128" spans="4:6" x14ac:dyDescent="0.2">
      <c r="D128" s="5"/>
      <c r="E128" s="4"/>
      <c r="F128" s="4" t="e">
        <f ca="1">_xll.cfyql_IndexAddFixings($B$1,D128,E128/100,TRUE,Trigger)</f>
        <v>#NAME?</v>
      </c>
    </row>
    <row r="129" spans="4:6" x14ac:dyDescent="0.2">
      <c r="D129" s="5"/>
      <c r="E129" s="4"/>
      <c r="F129" s="4" t="e">
        <f ca="1">_xll.cfyql_IndexAddFixings($B$1,D129,E129/100,TRUE,Trigger)</f>
        <v>#NAME?</v>
      </c>
    </row>
    <row r="130" spans="4:6" x14ac:dyDescent="0.2">
      <c r="D130" s="5"/>
      <c r="E130" s="4"/>
      <c r="F130" s="4" t="e">
        <f ca="1">_xll.cfyql_IndexAddFixings($B$1,D130,E130/100,TRUE,Trigger)</f>
        <v>#NAME?</v>
      </c>
    </row>
    <row r="131" spans="4:6" x14ac:dyDescent="0.2">
      <c r="D131" s="5"/>
      <c r="E131" s="4"/>
      <c r="F131" s="4" t="e">
        <f ca="1">_xll.cfyql_IndexAddFixings($B$1,D131,E131/100,TRUE,Trigger)</f>
        <v>#NAME?</v>
      </c>
    </row>
    <row r="132" spans="4:6" x14ac:dyDescent="0.2">
      <c r="D132" s="5"/>
      <c r="E132" s="4"/>
      <c r="F132" s="4" t="e">
        <f ca="1">_xll.cfyql_IndexAddFixings($B$1,D132,E132/100,TRUE,Trigger)</f>
        <v>#NAME?</v>
      </c>
    </row>
    <row r="133" spans="4:6" x14ac:dyDescent="0.2">
      <c r="D133" s="5"/>
      <c r="E133" s="4"/>
      <c r="F133" s="4" t="e">
        <f ca="1">_xll.cfyql_IndexAddFixings($B$1,D133,E133/100,TRUE,Trigger)</f>
        <v>#NAME?</v>
      </c>
    </row>
    <row r="134" spans="4:6" x14ac:dyDescent="0.2">
      <c r="D134" s="5"/>
      <c r="E134" s="4"/>
      <c r="F134" s="4" t="e">
        <f ca="1">_xll.cfyql_IndexAddFixings($B$1,D134,E134/100,TRUE,Trigger)</f>
        <v>#NAME?</v>
      </c>
    </row>
    <row r="135" spans="4:6" x14ac:dyDescent="0.2">
      <c r="D135" s="5"/>
      <c r="E135" s="4"/>
      <c r="F135" s="4" t="e">
        <f ca="1">_xll.cfyql_IndexAddFixings($B$1,D135,E135/100,TRUE,Trigger)</f>
        <v>#NAME?</v>
      </c>
    </row>
    <row r="136" spans="4:6" x14ac:dyDescent="0.2">
      <c r="D136" s="5"/>
      <c r="E136" s="4"/>
      <c r="F136" s="4" t="e">
        <f ca="1">_xll.cfyql_IndexAddFixings($B$1,D136,E136/100,TRUE,Trigger)</f>
        <v>#NAME?</v>
      </c>
    </row>
    <row r="137" spans="4:6" x14ac:dyDescent="0.2">
      <c r="D137" s="5"/>
      <c r="E137" s="4"/>
      <c r="F137" s="4" t="e">
        <f ca="1">_xll.cfyql_IndexAddFixings($B$1,D137,E137/100,TRUE,Trigger)</f>
        <v>#NAME?</v>
      </c>
    </row>
    <row r="138" spans="4:6" x14ac:dyDescent="0.2">
      <c r="D138" s="5"/>
      <c r="E138" s="4"/>
      <c r="F138" s="4" t="e">
        <f ca="1">_xll.cfyql_IndexAddFixings($B$1,D138,E138/100,TRUE,Trigger)</f>
        <v>#NAME?</v>
      </c>
    </row>
    <row r="139" spans="4:6" x14ac:dyDescent="0.2">
      <c r="D139" s="5"/>
      <c r="E139" s="4"/>
      <c r="F139" s="4" t="e">
        <f ca="1">_xll.cfyql_IndexAddFixings($B$1,D139,E139/100,TRUE,Trigger)</f>
        <v>#NAME?</v>
      </c>
    </row>
    <row r="140" spans="4:6" x14ac:dyDescent="0.2">
      <c r="D140" s="5"/>
      <c r="E140" s="4"/>
      <c r="F140" s="4" t="e">
        <f ca="1">_xll.cfyql_IndexAddFixings($B$1,D140,E140/100,TRUE,Trigger)</f>
        <v>#NAME?</v>
      </c>
    </row>
    <row r="141" spans="4:6" x14ac:dyDescent="0.2">
      <c r="D141" s="5"/>
      <c r="E141" s="4"/>
      <c r="F141" s="4" t="e">
        <f ca="1">_xll.cfyql_IndexAddFixings($B$1,D141,E141/100,TRUE,Trigger)</f>
        <v>#NAME?</v>
      </c>
    </row>
    <row r="142" spans="4:6" x14ac:dyDescent="0.2">
      <c r="D142" s="5"/>
      <c r="E142" s="4"/>
      <c r="F142" s="4" t="e">
        <f ca="1">_xll.cfyql_IndexAddFixings($B$1,D142,E142/100,TRUE,Trigger)</f>
        <v>#NAME?</v>
      </c>
    </row>
    <row r="143" spans="4:6" x14ac:dyDescent="0.2">
      <c r="D143" s="5"/>
      <c r="E143" s="4"/>
      <c r="F143" s="4" t="e">
        <f ca="1">_xll.cfyql_IndexAddFixings($B$1,D143,E143/100,TRUE,Trigger)</f>
        <v>#NAME?</v>
      </c>
    </row>
    <row r="144" spans="4:6" x14ac:dyDescent="0.2">
      <c r="D144" s="5"/>
      <c r="E144" s="4"/>
      <c r="F144" s="4" t="e">
        <f ca="1">_xll.cfyql_IndexAddFixings($B$1,D144,E144/100,TRUE,Trigger)</f>
        <v>#NAME?</v>
      </c>
    </row>
    <row r="145" spans="4:6" x14ac:dyDescent="0.2">
      <c r="D145" s="5"/>
      <c r="E145" s="4"/>
      <c r="F145" s="4" t="e">
        <f ca="1">_xll.cfyql_IndexAddFixings($B$1,D145,E145/100,TRUE,Trigger)</f>
        <v>#NAME?</v>
      </c>
    </row>
    <row r="146" spans="4:6" x14ac:dyDescent="0.2">
      <c r="D146" s="5"/>
      <c r="E146" s="4"/>
      <c r="F146" s="4" t="e">
        <f ca="1">_xll.cfyql_IndexAddFixings($B$1,D146,E146/100,TRUE,Trigger)</f>
        <v>#NAME?</v>
      </c>
    </row>
    <row r="147" spans="4:6" x14ac:dyDescent="0.2">
      <c r="D147" s="5"/>
      <c r="E147" s="4"/>
      <c r="F147" s="4" t="e">
        <f ca="1">_xll.cfyql_IndexAddFixings($B$1,D147,E147/100,TRUE,Trigger)</f>
        <v>#NAME?</v>
      </c>
    </row>
    <row r="148" spans="4:6" x14ac:dyDescent="0.2">
      <c r="D148" s="5"/>
      <c r="E148" s="4"/>
      <c r="F148" s="4" t="e">
        <f ca="1">_xll.cfyql_IndexAddFixings($B$1,D148,E148/100,TRUE,Trigger)</f>
        <v>#NAME?</v>
      </c>
    </row>
    <row r="149" spans="4:6" x14ac:dyDescent="0.2">
      <c r="D149" s="5"/>
      <c r="E149" s="4"/>
      <c r="F149" s="4" t="e">
        <f ca="1">_xll.cfyql_IndexAddFixings($B$1,D149,E149/100,TRUE,Trigger)</f>
        <v>#NAME?</v>
      </c>
    </row>
    <row r="150" spans="4:6" x14ac:dyDescent="0.2">
      <c r="D150" s="5"/>
      <c r="E150" s="4"/>
      <c r="F150" s="4" t="e">
        <f ca="1">_xll.cfyql_IndexAddFixings($B$1,D150,E150/100,TRUE,Trigger)</f>
        <v>#NAME?</v>
      </c>
    </row>
    <row r="151" spans="4:6" x14ac:dyDescent="0.2">
      <c r="D151" s="5"/>
      <c r="E151" s="4"/>
      <c r="F151" s="4" t="e">
        <f ca="1">_xll.cfyql_IndexAddFixings($B$1,D151,E151/100,TRUE,Trigger)</f>
        <v>#NAME?</v>
      </c>
    </row>
    <row r="152" spans="4:6" x14ac:dyDescent="0.2">
      <c r="D152" s="5"/>
      <c r="E152" s="4"/>
      <c r="F152" s="4" t="e">
        <f ca="1">_xll.cfyql_IndexAddFixings($B$1,D152,E152/100,TRUE,Trigger)</f>
        <v>#NAME?</v>
      </c>
    </row>
    <row r="153" spans="4:6" x14ac:dyDescent="0.2">
      <c r="D153" s="5"/>
      <c r="E153" s="4"/>
      <c r="F153" s="4" t="e">
        <f ca="1">_xll.cfyql_IndexAddFixings($B$1,D153,E153/100,TRUE,Trigger)</f>
        <v>#NAME?</v>
      </c>
    </row>
    <row r="154" spans="4:6" x14ac:dyDescent="0.2">
      <c r="D154" s="5"/>
      <c r="E154" s="4"/>
      <c r="F154" s="4" t="e">
        <f ca="1">_xll.cfyql_IndexAddFixings($B$1,D154,E154/100,TRUE,Trigger)</f>
        <v>#NAME?</v>
      </c>
    </row>
    <row r="155" spans="4:6" x14ac:dyDescent="0.2">
      <c r="D155" s="5"/>
      <c r="E155" s="4"/>
      <c r="F155" s="4" t="e">
        <f ca="1">_xll.cfyql_IndexAddFixings($B$1,D155,E155/100,TRUE,Trigger)</f>
        <v>#NAME?</v>
      </c>
    </row>
    <row r="156" spans="4:6" x14ac:dyDescent="0.2">
      <c r="D156" s="5"/>
      <c r="E156" s="4"/>
      <c r="F156" s="4" t="e">
        <f ca="1">_xll.cfyql_IndexAddFixings($B$1,D156,E156/100,TRUE,Trigger)</f>
        <v>#NAME?</v>
      </c>
    </row>
    <row r="157" spans="4:6" x14ac:dyDescent="0.2">
      <c r="D157" s="5"/>
      <c r="E157" s="4"/>
      <c r="F157" s="4" t="e">
        <f ca="1">_xll.cfyql_IndexAddFixings($B$1,D157,E157/100,TRUE,Trigger)</f>
        <v>#NAME?</v>
      </c>
    </row>
    <row r="158" spans="4:6" x14ac:dyDescent="0.2">
      <c r="D158" s="5"/>
      <c r="E158" s="4"/>
      <c r="F158" s="4" t="e">
        <f ca="1">_xll.cfyql_IndexAddFixings($B$1,D158,E158/100,TRUE,Trigger)</f>
        <v>#NAME?</v>
      </c>
    </row>
    <row r="159" spans="4:6" x14ac:dyDescent="0.2">
      <c r="D159" s="5"/>
      <c r="E159" s="4"/>
      <c r="F159" s="4" t="e">
        <f ca="1">_xll.cfyql_IndexAddFixings($B$1,D159,E159/100,TRUE,Trigger)</f>
        <v>#NAME?</v>
      </c>
    </row>
    <row r="160" spans="4:6" x14ac:dyDescent="0.2">
      <c r="D160" s="5"/>
      <c r="E160" s="4"/>
      <c r="F160" s="4" t="e">
        <f ca="1">_xll.cfyql_IndexAddFixings($B$1,D160,E160/100,TRUE,Trigger)</f>
        <v>#NAME?</v>
      </c>
    </row>
    <row r="161" spans="4:6" x14ac:dyDescent="0.2">
      <c r="D161" s="5"/>
      <c r="E161" s="4"/>
      <c r="F161" s="4" t="e">
        <f ca="1">_xll.cfyql_IndexAddFixings($B$1,D161,E161/100,TRUE,Trigger)</f>
        <v>#NAME?</v>
      </c>
    </row>
    <row r="162" spans="4:6" x14ac:dyDescent="0.2">
      <c r="D162" s="5"/>
      <c r="E162" s="4"/>
      <c r="F162" s="4" t="e">
        <f ca="1">_xll.cfyql_IndexAddFixings($B$1,D162,E162/100,TRUE,Trigger)</f>
        <v>#NAME?</v>
      </c>
    </row>
    <row r="163" spans="4:6" x14ac:dyDescent="0.2">
      <c r="D163" s="5"/>
      <c r="E163" s="4"/>
      <c r="F163" s="4" t="e">
        <f ca="1">_xll.cfyql_IndexAddFixings($B$1,D163,E163/100,TRUE,Trigger)</f>
        <v>#NAME?</v>
      </c>
    </row>
    <row r="164" spans="4:6" x14ac:dyDescent="0.2">
      <c r="D164" s="5"/>
      <c r="E164" s="4"/>
      <c r="F164" s="4" t="e">
        <f ca="1">_xll.cfyql_IndexAddFixings($B$1,D164,E164/100,TRUE,Trigger)</f>
        <v>#NAME?</v>
      </c>
    </row>
    <row r="165" spans="4:6" x14ac:dyDescent="0.2">
      <c r="D165" s="5"/>
      <c r="E165" s="4"/>
      <c r="F165" s="4" t="e">
        <f ca="1">_xll.cfyql_IndexAddFixings($B$1,D165,E165/100,TRUE,Trigger)</f>
        <v>#NAME?</v>
      </c>
    </row>
    <row r="166" spans="4:6" x14ac:dyDescent="0.2">
      <c r="D166" s="5"/>
      <c r="E166" s="4"/>
      <c r="F166" s="4" t="e">
        <f ca="1">_xll.cfyql_IndexAddFixings($B$1,D166,E166/100,TRUE,Trigger)</f>
        <v>#NAME?</v>
      </c>
    </row>
    <row r="167" spans="4:6" x14ac:dyDescent="0.2">
      <c r="D167" s="5"/>
      <c r="E167" s="4"/>
      <c r="F167" s="4" t="e">
        <f ca="1">_xll.cfyql_IndexAddFixings($B$1,D167,E167/100,TRUE,Trigger)</f>
        <v>#NAME?</v>
      </c>
    </row>
    <row r="168" spans="4:6" x14ac:dyDescent="0.2">
      <c r="D168" s="5"/>
      <c r="E168" s="4"/>
      <c r="F168" s="4" t="e">
        <f ca="1">_xll.cfyql_IndexAddFixings($B$1,D168,E168/100,TRUE,Trigger)</f>
        <v>#NAME?</v>
      </c>
    </row>
    <row r="169" spans="4:6" x14ac:dyDescent="0.2">
      <c r="D169" s="5"/>
      <c r="E169" s="4"/>
      <c r="F169" s="4" t="e">
        <f ca="1">_xll.cfyql_IndexAddFixings($B$1,D169,E169/100,TRUE,Trigger)</f>
        <v>#NAME?</v>
      </c>
    </row>
    <row r="170" spans="4:6" x14ac:dyDescent="0.2">
      <c r="D170" s="5"/>
      <c r="E170" s="4"/>
      <c r="F170" s="4" t="e">
        <f ca="1">_xll.cfyql_IndexAddFixings($B$1,D170,E170/100,TRUE,Trigger)</f>
        <v>#NAME?</v>
      </c>
    </row>
    <row r="171" spans="4:6" x14ac:dyDescent="0.2">
      <c r="D171" s="5"/>
      <c r="E171" s="4"/>
      <c r="F171" s="4" t="e">
        <f ca="1">_xll.cfyql_IndexAddFixings($B$1,D171,E171/100,TRUE,Trigger)</f>
        <v>#NAME?</v>
      </c>
    </row>
    <row r="172" spans="4:6" x14ac:dyDescent="0.2">
      <c r="D172" s="5"/>
      <c r="E172" s="4"/>
      <c r="F172" s="4" t="e">
        <f ca="1">_xll.cfyql_IndexAddFixings($B$1,D172,E172/100,TRUE,Trigger)</f>
        <v>#NAME?</v>
      </c>
    </row>
    <row r="173" spans="4:6" x14ac:dyDescent="0.2">
      <c r="D173" s="5"/>
      <c r="E173" s="4"/>
      <c r="F173" s="4" t="e">
        <f ca="1">_xll.cfyql_IndexAddFixings($B$1,D173,E173/100,TRUE,Trigger)</f>
        <v>#NAME?</v>
      </c>
    </row>
    <row r="174" spans="4:6" x14ac:dyDescent="0.2">
      <c r="D174" s="5"/>
      <c r="E174" s="4"/>
      <c r="F174" s="4" t="e">
        <f ca="1">_xll.cfyql_IndexAddFixings($B$1,D174,E174/100,TRUE,Trigger)</f>
        <v>#NAME?</v>
      </c>
    </row>
    <row r="175" spans="4:6" x14ac:dyDescent="0.2">
      <c r="D175" s="5"/>
      <c r="E175" s="4"/>
      <c r="F175" s="4" t="e">
        <f ca="1">_xll.cfyql_IndexAddFixings($B$1,D175,E175/100,TRUE,Trigger)</f>
        <v>#NAME?</v>
      </c>
    </row>
    <row r="176" spans="4:6" x14ac:dyDescent="0.2">
      <c r="D176" s="5"/>
      <c r="E176" s="4"/>
      <c r="F176" s="4" t="e">
        <f ca="1">_xll.cfyql_IndexAddFixings($B$1,D176,E176/100,TRUE,Trigger)</f>
        <v>#NAME?</v>
      </c>
    </row>
    <row r="177" spans="4:6" x14ac:dyDescent="0.2">
      <c r="D177" s="5"/>
      <c r="E177" s="4"/>
      <c r="F177" s="4" t="e">
        <f ca="1">_xll.cfyql_IndexAddFixings($B$1,D177,E177/100,TRUE,Trigger)</f>
        <v>#NAME?</v>
      </c>
    </row>
    <row r="178" spans="4:6" x14ac:dyDescent="0.2">
      <c r="D178" s="5"/>
      <c r="E178" s="4"/>
      <c r="F178" s="4" t="e">
        <f ca="1">_xll.cfyql_IndexAddFixings($B$1,D178,E178/100,TRUE,Trigger)</f>
        <v>#NAME?</v>
      </c>
    </row>
    <row r="179" spans="4:6" x14ac:dyDescent="0.2">
      <c r="D179" s="5"/>
      <c r="E179" s="4"/>
      <c r="F179" s="4" t="e">
        <f ca="1">_xll.cfyql_IndexAddFixings($B$1,D179,E179/100,TRUE,Trigger)</f>
        <v>#NAME?</v>
      </c>
    </row>
    <row r="180" spans="4:6" x14ac:dyDescent="0.2">
      <c r="D180" s="5"/>
      <c r="E180" s="4"/>
      <c r="F180" s="4" t="e">
        <f ca="1">_xll.cfyql_IndexAddFixings($B$1,D180,E180/100,TRUE,Trigger)</f>
        <v>#NAME?</v>
      </c>
    </row>
    <row r="181" spans="4:6" x14ac:dyDescent="0.2">
      <c r="D181" s="5"/>
      <c r="E181" s="4"/>
      <c r="F181" s="4" t="e">
        <f ca="1">_xll.cfyql_IndexAddFixings($B$1,D181,E181/100,TRUE,Trigger)</f>
        <v>#NAME?</v>
      </c>
    </row>
    <row r="182" spans="4:6" x14ac:dyDescent="0.2">
      <c r="D182" s="5"/>
      <c r="E182" s="4"/>
      <c r="F182" s="4" t="e">
        <f ca="1">_xll.cfyql_IndexAddFixings($B$1,D182,E182/100,TRUE,Trigger)</f>
        <v>#NAME?</v>
      </c>
    </row>
    <row r="183" spans="4:6" x14ac:dyDescent="0.2">
      <c r="D183" s="5"/>
      <c r="E183" s="4"/>
      <c r="F183" s="4" t="e">
        <f ca="1">_xll.cfyql_IndexAddFixings($B$1,D183,E183/100,TRUE,Trigger)</f>
        <v>#NAME?</v>
      </c>
    </row>
    <row r="184" spans="4:6" x14ac:dyDescent="0.2">
      <c r="D184" s="5"/>
      <c r="E184" s="4"/>
      <c r="F184" s="4" t="e">
        <f ca="1">_xll.cfyql_IndexAddFixings($B$1,D184,E184/100,TRUE,Trigger)</f>
        <v>#NAME?</v>
      </c>
    </row>
    <row r="185" spans="4:6" x14ac:dyDescent="0.2">
      <c r="D185" s="5"/>
      <c r="E185" s="4"/>
      <c r="F185" s="4" t="e">
        <f ca="1">_xll.cfyql_IndexAddFixings($B$1,D185,E185/100,TRUE,Trigger)</f>
        <v>#NAME?</v>
      </c>
    </row>
    <row r="186" spans="4:6" x14ac:dyDescent="0.2">
      <c r="D186" s="5"/>
      <c r="E186" s="4"/>
      <c r="F186" s="4" t="e">
        <f ca="1">_xll.cfyql_IndexAddFixings($B$1,D186,E186/100,TRUE,Trigger)</f>
        <v>#NAME?</v>
      </c>
    </row>
    <row r="187" spans="4:6" x14ac:dyDescent="0.2">
      <c r="D187" s="5"/>
      <c r="E187" s="4"/>
      <c r="F187" s="4" t="e">
        <f ca="1">_xll.cfyql_IndexAddFixings($B$1,D187,E187/100,TRUE,Trigger)</f>
        <v>#NAME?</v>
      </c>
    </row>
    <row r="188" spans="4:6" x14ac:dyDescent="0.2">
      <c r="D188" s="5"/>
      <c r="E188" s="4"/>
      <c r="F188" s="4" t="e">
        <f ca="1">_xll.cfyql_IndexAddFixings($B$1,D188,E188/100,TRUE,Trigger)</f>
        <v>#NAME?</v>
      </c>
    </row>
    <row r="189" spans="4:6" x14ac:dyDescent="0.2">
      <c r="D189" s="5"/>
      <c r="E189" s="4"/>
      <c r="F189" s="4" t="e">
        <f ca="1">_xll.cfyql_IndexAddFixings($B$1,D189,E189/100,TRUE,Trigger)</f>
        <v>#NAME?</v>
      </c>
    </row>
    <row r="190" spans="4:6" x14ac:dyDescent="0.2">
      <c r="D190" s="5"/>
      <c r="E190" s="4"/>
      <c r="F190" s="4" t="e">
        <f ca="1">_xll.cfyql_IndexAddFixings($B$1,D190,E190/100,TRUE,Trigger)</f>
        <v>#NAME?</v>
      </c>
    </row>
    <row r="191" spans="4:6" x14ac:dyDescent="0.2">
      <c r="D191" s="5"/>
      <c r="E191" s="4"/>
      <c r="F191" s="4" t="e">
        <f ca="1">_xll.cfyql_IndexAddFixings($B$1,D191,E191/100,TRUE,Trigger)</f>
        <v>#NAME?</v>
      </c>
    </row>
    <row r="192" spans="4:6" x14ac:dyDescent="0.2">
      <c r="D192" s="5"/>
      <c r="E192" s="4"/>
      <c r="F192" s="4" t="e">
        <f ca="1">_xll.cfyql_IndexAddFixings($B$1,D192,E192/100,TRUE,Trigger)</f>
        <v>#NAME?</v>
      </c>
    </row>
    <row r="193" spans="4:6" x14ac:dyDescent="0.2">
      <c r="D193" s="5"/>
      <c r="E193" s="4"/>
      <c r="F193" s="4" t="e">
        <f ca="1">_xll.cfyql_IndexAddFixings($B$1,D193,E193/100,TRUE,Trigger)</f>
        <v>#NAME?</v>
      </c>
    </row>
    <row r="194" spans="4:6" x14ac:dyDescent="0.2">
      <c r="D194" s="5"/>
      <c r="E194" s="4"/>
      <c r="F194" s="4" t="e">
        <f ca="1">_xll.cfyql_IndexAddFixings($B$1,D194,E194/100,TRUE,Trigger)</f>
        <v>#NAME?</v>
      </c>
    </row>
    <row r="195" spans="4:6" x14ac:dyDescent="0.2">
      <c r="D195" s="5"/>
      <c r="E195" s="4"/>
      <c r="F195" s="4" t="e">
        <f ca="1">_xll.cfyql_IndexAddFixings($B$1,D195,E195/100,TRUE,Trigger)</f>
        <v>#NAME?</v>
      </c>
    </row>
    <row r="196" spans="4:6" x14ac:dyDescent="0.2">
      <c r="D196" s="5"/>
      <c r="E196" s="4"/>
      <c r="F196" s="4" t="e">
        <f ca="1">_xll.cfyql_IndexAddFixings($B$1,D196,E196/100,TRUE,Trigger)</f>
        <v>#NAME?</v>
      </c>
    </row>
    <row r="197" spans="4:6" x14ac:dyDescent="0.2">
      <c r="D197" s="5"/>
      <c r="E197" s="4"/>
      <c r="F197" s="4" t="e">
        <f ca="1">_xll.cfyql_IndexAddFixings($B$1,D197,E197/100,TRUE,Trigger)</f>
        <v>#NAME?</v>
      </c>
    </row>
    <row r="198" spans="4:6" x14ac:dyDescent="0.2">
      <c r="D198" s="5"/>
      <c r="E198" s="4"/>
      <c r="F198" s="4" t="e">
        <f ca="1">_xll.cfyql_IndexAddFixings($B$1,D198,E198/100,TRUE,Trigger)</f>
        <v>#NAME?</v>
      </c>
    </row>
    <row r="199" spans="4:6" x14ac:dyDescent="0.2">
      <c r="D199" s="5"/>
      <c r="E199" s="4"/>
      <c r="F199" s="4" t="e">
        <f ca="1">_xll.cfyql_IndexAddFixings($B$1,D199,E199/100,TRUE,Trigger)</f>
        <v>#NAME?</v>
      </c>
    </row>
    <row r="200" spans="4:6" x14ac:dyDescent="0.2">
      <c r="D200" s="5"/>
      <c r="E200" s="4"/>
      <c r="F200" s="4" t="e">
        <f ca="1">_xll.cfyql_IndexAddFixings($B$1,D200,E200/100,TRUE,Trigger)</f>
        <v>#NAME?</v>
      </c>
    </row>
    <row r="201" spans="4:6" x14ac:dyDescent="0.2">
      <c r="D201" s="5"/>
      <c r="E201" s="4"/>
      <c r="F201" s="4" t="e">
        <f ca="1">_xll.cfyql_IndexAddFixings($B$1,D201,E201/100,TRUE,Trigger)</f>
        <v>#NAME?</v>
      </c>
    </row>
    <row r="202" spans="4:6" x14ac:dyDescent="0.2">
      <c r="D202" s="5"/>
      <c r="E202" s="4"/>
      <c r="F202" s="4" t="e">
        <f ca="1">_xll.cfyql_IndexAddFixings($B$1,D202,E202/100,TRUE,Trigger)</f>
        <v>#NAME?</v>
      </c>
    </row>
    <row r="203" spans="4:6" x14ac:dyDescent="0.2">
      <c r="D203" s="5"/>
      <c r="E203" s="4"/>
      <c r="F203" s="4" t="e">
        <f ca="1">_xll.cfyql_IndexAddFixings($B$1,D203,E203/100,TRUE,Trigger)</f>
        <v>#NAME?</v>
      </c>
    </row>
    <row r="204" spans="4:6" x14ac:dyDescent="0.2">
      <c r="D204" s="5"/>
      <c r="E204" s="4"/>
      <c r="F204" s="4" t="e">
        <f ca="1">_xll.cfyql_IndexAddFixings($B$1,D204,E204/100,TRUE,Trigger)</f>
        <v>#NAME?</v>
      </c>
    </row>
    <row r="205" spans="4:6" x14ac:dyDescent="0.2">
      <c r="D205" s="5"/>
      <c r="E205" s="4"/>
      <c r="F205" s="4" t="e">
        <f ca="1">_xll.cfyql_IndexAddFixings($B$1,D205,E205/100,TRUE,Trigger)</f>
        <v>#NAME?</v>
      </c>
    </row>
    <row r="206" spans="4:6" x14ac:dyDescent="0.2">
      <c r="D206" s="5"/>
      <c r="E206" s="4"/>
      <c r="F206" s="4" t="e">
        <f ca="1">_xll.cfyql_IndexAddFixings($B$1,D206,E206/100,TRUE,Trigger)</f>
        <v>#NAME?</v>
      </c>
    </row>
    <row r="207" spans="4:6" x14ac:dyDescent="0.2">
      <c r="D207" s="5"/>
      <c r="E207" s="4"/>
      <c r="F207" s="4" t="e">
        <f ca="1">_xll.cfyql_IndexAddFixings($B$1,D207,E207/100,TRUE,Trigger)</f>
        <v>#NAME?</v>
      </c>
    </row>
    <row r="208" spans="4:6" x14ac:dyDescent="0.2">
      <c r="D208" s="5"/>
      <c r="E208" s="4"/>
      <c r="F208" s="4" t="e">
        <f ca="1">_xll.cfyql_IndexAddFixings($B$1,D208,E208/100,TRUE,Trigger)</f>
        <v>#NAME?</v>
      </c>
    </row>
    <row r="209" spans="4:6" x14ac:dyDescent="0.2">
      <c r="D209" s="5"/>
      <c r="E209" s="4"/>
      <c r="F209" s="4" t="e">
        <f ca="1">_xll.cfyql_IndexAddFixings($B$1,D209,E209/100,TRUE,Trigger)</f>
        <v>#NAME?</v>
      </c>
    </row>
    <row r="210" spans="4:6" x14ac:dyDescent="0.2">
      <c r="D210" s="5"/>
      <c r="E210" s="4"/>
      <c r="F210" s="4" t="e">
        <f ca="1">_xll.cfyql_IndexAddFixings($B$1,D210,E210/100,TRUE,Trigger)</f>
        <v>#NAME?</v>
      </c>
    </row>
    <row r="211" spans="4:6" x14ac:dyDescent="0.2">
      <c r="D211" s="5"/>
      <c r="E211" s="4"/>
      <c r="F211" s="4" t="e">
        <f ca="1">_xll.cfyql_IndexAddFixings($B$1,D211,E211/100,TRUE,Trigger)</f>
        <v>#NAME?</v>
      </c>
    </row>
    <row r="212" spans="4:6" x14ac:dyDescent="0.2">
      <c r="D212" s="5"/>
      <c r="E212" s="4"/>
      <c r="F212" s="4" t="e">
        <f ca="1">_xll.cfyql_IndexAddFixings($B$1,D212,E212/100,TRUE,Trigger)</f>
        <v>#NAME?</v>
      </c>
    </row>
    <row r="213" spans="4:6" x14ac:dyDescent="0.2">
      <c r="D213" s="5"/>
      <c r="E213" s="4"/>
      <c r="F213" s="4" t="e">
        <f ca="1">_xll.cfyql_IndexAddFixings($B$1,D213,E213/100,TRUE,Trigger)</f>
        <v>#NAME?</v>
      </c>
    </row>
    <row r="214" spans="4:6" x14ac:dyDescent="0.2">
      <c r="D214" s="5"/>
      <c r="E214" s="4"/>
      <c r="F214" s="4" t="e">
        <f ca="1">_xll.cfyql_IndexAddFixings($B$1,D214,E214/100,TRUE,Trigger)</f>
        <v>#NAME?</v>
      </c>
    </row>
    <row r="215" spans="4:6" x14ac:dyDescent="0.2">
      <c r="D215" s="5"/>
      <c r="E215" s="4"/>
      <c r="F215" s="4" t="e">
        <f ca="1">_xll.cfyql_IndexAddFixings($B$1,D215,E215/100,TRUE,Trigger)</f>
        <v>#NAME?</v>
      </c>
    </row>
    <row r="216" spans="4:6" x14ac:dyDescent="0.2">
      <c r="D216" s="5"/>
      <c r="E216" s="4"/>
      <c r="F216" s="4" t="e">
        <f ca="1">_xll.cfyql_IndexAddFixings($B$1,D216,E216/100,TRUE,Trigger)</f>
        <v>#NAME?</v>
      </c>
    </row>
    <row r="217" spans="4:6" x14ac:dyDescent="0.2">
      <c r="D217" s="5"/>
      <c r="E217" s="4"/>
      <c r="F217" s="4" t="e">
        <f ca="1">_xll.cfyql_IndexAddFixings($B$1,D217,E217/100,TRUE,Trigger)</f>
        <v>#NAME?</v>
      </c>
    </row>
    <row r="218" spans="4:6" x14ac:dyDescent="0.2">
      <c r="D218" s="5"/>
      <c r="E218" s="4"/>
      <c r="F218" s="4" t="e">
        <f ca="1">_xll.cfyql_IndexAddFixings($B$1,D218,E218/100,TRUE,Trigger)</f>
        <v>#NAME?</v>
      </c>
    </row>
    <row r="219" spans="4:6" x14ac:dyDescent="0.2">
      <c r="D219" s="5"/>
      <c r="E219" s="4"/>
      <c r="F219" s="4" t="e">
        <f ca="1">_xll.cfyql_IndexAddFixings($B$1,D219,E219/100,TRUE,Trigger)</f>
        <v>#NAME?</v>
      </c>
    </row>
    <row r="220" spans="4:6" x14ac:dyDescent="0.2">
      <c r="D220" s="5"/>
      <c r="E220" s="4"/>
      <c r="F220" s="4" t="e">
        <f ca="1">_xll.cfyql_IndexAddFixings($B$1,D220,E220/100,TRUE,Trigger)</f>
        <v>#NAME?</v>
      </c>
    </row>
    <row r="221" spans="4:6" x14ac:dyDescent="0.2">
      <c r="D221" s="5"/>
      <c r="E221" s="4"/>
      <c r="F221" s="4" t="e">
        <f ca="1">_xll.cfyql_IndexAddFixings($B$1,D221,E221/100,TRUE,Trigger)</f>
        <v>#NAME?</v>
      </c>
    </row>
    <row r="222" spans="4:6" x14ac:dyDescent="0.2">
      <c r="D222" s="5"/>
      <c r="E222" s="4"/>
      <c r="F222" s="4" t="e">
        <f ca="1">_xll.cfyql_IndexAddFixings($B$1,D222,E222/100,TRUE,Trigger)</f>
        <v>#NAME?</v>
      </c>
    </row>
    <row r="223" spans="4:6" x14ac:dyDescent="0.2">
      <c r="D223" s="5"/>
      <c r="E223" s="4"/>
      <c r="F223" s="4" t="e">
        <f ca="1">_xll.cfyql_IndexAddFixings($B$1,D223,E223/100,TRUE,Trigger)</f>
        <v>#NAME?</v>
      </c>
    </row>
    <row r="224" spans="4:6" x14ac:dyDescent="0.2">
      <c r="D224" s="5"/>
      <c r="E224" s="4"/>
      <c r="F224" s="4" t="e">
        <f ca="1">_xll.cfyql_IndexAddFixings($B$1,D224,E224/100,TRUE,Trigger)</f>
        <v>#NAME?</v>
      </c>
    </row>
    <row r="225" spans="4:6" x14ac:dyDescent="0.2">
      <c r="D225" s="5"/>
      <c r="E225" s="4"/>
      <c r="F225" s="4" t="e">
        <f ca="1">_xll.cfyql_IndexAddFixings($B$1,D225,E225/100,TRUE,Trigger)</f>
        <v>#NAME?</v>
      </c>
    </row>
    <row r="226" spans="4:6" x14ac:dyDescent="0.2">
      <c r="D226" s="5"/>
      <c r="E226" s="4"/>
      <c r="F226" s="4" t="e">
        <f ca="1">_xll.cfyql_IndexAddFixings($B$1,D226,E226/100,TRUE,Trigger)</f>
        <v>#NAME?</v>
      </c>
    </row>
    <row r="227" spans="4:6" x14ac:dyDescent="0.2">
      <c r="D227" s="5"/>
      <c r="E227" s="4"/>
      <c r="F227" s="4" t="e">
        <f ca="1">_xll.cfyql_IndexAddFixings($B$1,D227,E227/100,TRUE,Trigger)</f>
        <v>#NAME?</v>
      </c>
    </row>
    <row r="228" spans="4:6" x14ac:dyDescent="0.2">
      <c r="D228" s="5"/>
      <c r="E228" s="4"/>
      <c r="F228" s="4" t="e">
        <f ca="1">_xll.cfyql_IndexAddFixings($B$1,D228,E228/100,TRUE,Trigger)</f>
        <v>#NAME?</v>
      </c>
    </row>
    <row r="229" spans="4:6" x14ac:dyDescent="0.2">
      <c r="D229" s="5"/>
      <c r="E229" s="4"/>
      <c r="F229" s="4" t="e">
        <f ca="1">_xll.cfyql_IndexAddFixings($B$1,D229,E229/100,TRUE,Trigger)</f>
        <v>#NAME?</v>
      </c>
    </row>
    <row r="230" spans="4:6" x14ac:dyDescent="0.2">
      <c r="D230" s="5"/>
      <c r="E230" s="4"/>
      <c r="F230" s="4" t="e">
        <f ca="1">_xll.cfyql_IndexAddFixings($B$1,D230,E230/100,TRUE,Trigger)</f>
        <v>#NAME?</v>
      </c>
    </row>
    <row r="231" spans="4:6" x14ac:dyDescent="0.2">
      <c r="D231" s="5"/>
      <c r="E231" s="4"/>
      <c r="F231" s="4" t="e">
        <f ca="1">_xll.cfyql_IndexAddFixings($B$1,D231,E231/100,TRUE,Trigger)</f>
        <v>#NAME?</v>
      </c>
    </row>
    <row r="232" spans="4:6" x14ac:dyDescent="0.2">
      <c r="D232" s="5"/>
      <c r="E232" s="4"/>
      <c r="F232" s="4" t="e">
        <f ca="1">_xll.cfyql_IndexAddFixings($B$1,D232,E232/100,TRUE,Trigger)</f>
        <v>#NAME?</v>
      </c>
    </row>
    <row r="233" spans="4:6" x14ac:dyDescent="0.2">
      <c r="D233" s="5"/>
      <c r="E233" s="4"/>
      <c r="F233" s="4" t="e">
        <f ca="1">_xll.cfyql_IndexAddFixings($B$1,D233,E233/100,TRUE,Trigger)</f>
        <v>#NAME?</v>
      </c>
    </row>
    <row r="234" spans="4:6" x14ac:dyDescent="0.2">
      <c r="D234" s="5"/>
      <c r="E234" s="4"/>
      <c r="F234" s="4" t="e">
        <f ca="1">_xll.cfyql_IndexAddFixings($B$1,D234,E234/100,TRUE,Trigger)</f>
        <v>#NAME?</v>
      </c>
    </row>
    <row r="235" spans="4:6" x14ac:dyDescent="0.2">
      <c r="D235" s="5"/>
      <c r="E235" s="4"/>
      <c r="F235" s="4" t="e">
        <f ca="1">_xll.cfyql_IndexAddFixings($B$1,D235,E235/100,TRUE,Trigger)</f>
        <v>#NAME?</v>
      </c>
    </row>
    <row r="236" spans="4:6" x14ac:dyDescent="0.2">
      <c r="D236" s="5"/>
      <c r="E236" s="4"/>
      <c r="F236" s="4" t="e">
        <f ca="1">_xll.cfyql_IndexAddFixings($B$1,D236,E236/100,TRUE,Trigger)</f>
        <v>#NAME?</v>
      </c>
    </row>
    <row r="237" spans="4:6" x14ac:dyDescent="0.2">
      <c r="D237" s="5"/>
      <c r="E237" s="4"/>
      <c r="F237" s="4" t="e">
        <f ca="1">_xll.cfyql_IndexAddFixings($B$1,D237,E237/100,TRUE,Trigger)</f>
        <v>#NAME?</v>
      </c>
    </row>
    <row r="238" spans="4:6" x14ac:dyDescent="0.2">
      <c r="D238" s="5"/>
      <c r="E238" s="4"/>
      <c r="F238" s="4" t="e">
        <f ca="1">_xll.cfyql_IndexAddFixings($B$1,D238,E238/100,TRUE,Trigger)</f>
        <v>#NAME?</v>
      </c>
    </row>
    <row r="239" spans="4:6" x14ac:dyDescent="0.2">
      <c r="D239" s="5"/>
      <c r="E239" s="4"/>
      <c r="F239" s="4" t="e">
        <f ca="1">_xll.cfyql_IndexAddFixings($B$1,D239,E239/100,TRUE,Trigger)</f>
        <v>#NAME?</v>
      </c>
    </row>
    <row r="240" spans="4:6" x14ac:dyDescent="0.2">
      <c r="D240" s="5"/>
      <c r="E240" s="4"/>
      <c r="F240" s="4" t="e">
        <f ca="1">_xll.cfyql_IndexAddFixings($B$1,D240,E240/100,TRUE,Trigger)</f>
        <v>#NAME?</v>
      </c>
    </row>
    <row r="241" spans="4:6" x14ac:dyDescent="0.2">
      <c r="D241" s="5"/>
      <c r="E241" s="4"/>
      <c r="F241" s="4" t="e">
        <f ca="1">_xll.cfyql_IndexAddFixings($B$1,D241,E241/100,TRUE,Trigger)</f>
        <v>#NAME?</v>
      </c>
    </row>
    <row r="242" spans="4:6" x14ac:dyDescent="0.2">
      <c r="D242" s="5"/>
      <c r="E242" s="4"/>
      <c r="F242" s="4" t="e">
        <f ca="1">_xll.cfyql_IndexAddFixings($B$1,D242,E242/100,TRUE,Trigger)</f>
        <v>#NAME?</v>
      </c>
    </row>
    <row r="243" spans="4:6" x14ac:dyDescent="0.2">
      <c r="D243" s="5"/>
      <c r="E243" s="4"/>
      <c r="F243" s="4" t="e">
        <f ca="1">_xll.cfyql_IndexAddFixings($B$1,D243,E243/100,TRUE,Trigger)</f>
        <v>#NAME?</v>
      </c>
    </row>
    <row r="244" spans="4:6" x14ac:dyDescent="0.2">
      <c r="D244" s="5"/>
      <c r="E244" s="4"/>
      <c r="F244" s="4" t="e">
        <f ca="1">_xll.cfyql_IndexAddFixings($B$1,D244,E244/100,TRUE,Trigger)</f>
        <v>#NAME?</v>
      </c>
    </row>
    <row r="245" spans="4:6" x14ac:dyDescent="0.2">
      <c r="D245" s="5"/>
      <c r="E245" s="4"/>
      <c r="F245" s="4" t="e">
        <f ca="1">_xll.cfyql_IndexAddFixings($B$1,D245,E245/100,TRUE,Trigger)</f>
        <v>#NAME?</v>
      </c>
    </row>
    <row r="246" spans="4:6" x14ac:dyDescent="0.2">
      <c r="D246" s="5"/>
      <c r="E246" s="4"/>
      <c r="F246" s="4" t="e">
        <f ca="1">_xll.cfyql_IndexAddFixings($B$1,D246,E246/100,TRUE,Trigger)</f>
        <v>#NAME?</v>
      </c>
    </row>
    <row r="247" spans="4:6" x14ac:dyDescent="0.2">
      <c r="D247" s="5"/>
      <c r="E247" s="4"/>
      <c r="F247" s="4" t="e">
        <f ca="1">_xll.cfyql_IndexAddFixings($B$1,D247,E247/100,TRUE,Trigger)</f>
        <v>#NAME?</v>
      </c>
    </row>
    <row r="248" spans="4:6" x14ac:dyDescent="0.2">
      <c r="D248" s="5"/>
      <c r="E248" s="4"/>
      <c r="F248" s="4" t="e">
        <f ca="1">_xll.cfyql_IndexAddFixings($B$1,D248,E248/100,TRUE,Trigger)</f>
        <v>#NAME?</v>
      </c>
    </row>
    <row r="249" spans="4:6" x14ac:dyDescent="0.2">
      <c r="D249" s="5"/>
      <c r="E249" s="4"/>
      <c r="F249" s="4" t="e">
        <f ca="1">_xll.cfyql_IndexAddFixings($B$1,D249,E249/100,TRUE,Trigger)</f>
        <v>#NAME?</v>
      </c>
    </row>
    <row r="250" spans="4:6" x14ac:dyDescent="0.2">
      <c r="D250" s="5"/>
      <c r="E250" s="4"/>
      <c r="F250" s="4" t="e">
        <f ca="1">_xll.cfyql_IndexAddFixings($B$1,D250,E250/100,TRUE,Trigger)</f>
        <v>#NAME?</v>
      </c>
    </row>
    <row r="251" spans="4:6" x14ac:dyDescent="0.2">
      <c r="D251" s="5"/>
      <c r="E251" s="4"/>
      <c r="F251" s="4" t="e">
        <f ca="1">_xll.cfyql_IndexAddFixings($B$1,D251,E251/100,TRUE,Trigger)</f>
        <v>#NAME?</v>
      </c>
    </row>
    <row r="252" spans="4:6" x14ac:dyDescent="0.2">
      <c r="D252" s="5"/>
      <c r="E252" s="4"/>
      <c r="F252" s="4" t="e">
        <f ca="1">_xll.cfyql_IndexAddFixings($B$1,D252,E252/100,TRUE,Trigger)</f>
        <v>#NAME?</v>
      </c>
    </row>
    <row r="253" spans="4:6" x14ac:dyDescent="0.2">
      <c r="D253" s="5"/>
      <c r="E253" s="4"/>
      <c r="F253" s="4" t="e">
        <f ca="1">_xll.cfyql_IndexAddFixings($B$1,D253,E253/100,TRUE,Trigger)</f>
        <v>#NAME?</v>
      </c>
    </row>
    <row r="254" spans="4:6" x14ac:dyDescent="0.2">
      <c r="D254" s="5"/>
      <c r="E254" s="4"/>
      <c r="F254" s="4" t="e">
        <f ca="1">_xll.cfyql_IndexAddFixings($B$1,D254,E254/100,TRUE,Trigger)</f>
        <v>#NAME?</v>
      </c>
    </row>
    <row r="255" spans="4:6" x14ac:dyDescent="0.2">
      <c r="D255" s="5"/>
      <c r="E255" s="4"/>
      <c r="F255" s="4" t="e">
        <f ca="1">_xll.cfyql_IndexAddFixings($B$1,D255,E255/100,TRUE,Trigger)</f>
        <v>#NAME?</v>
      </c>
    </row>
    <row r="256" spans="4:6" x14ac:dyDescent="0.2">
      <c r="D256" s="5"/>
      <c r="E256" s="4"/>
      <c r="F256" s="4" t="e">
        <f ca="1">_xll.cfyql_IndexAddFixings($B$1,D256,E256/100,TRUE,Trigger)</f>
        <v>#NAME?</v>
      </c>
    </row>
    <row r="257" spans="4:6" x14ac:dyDescent="0.2">
      <c r="D257" s="5"/>
      <c r="E257" s="4"/>
      <c r="F257" s="4" t="e">
        <f ca="1">_xll.cfyql_IndexAddFixings($B$1,D257,E257/100,TRUE,Trigger)</f>
        <v>#NAME?</v>
      </c>
    </row>
    <row r="258" spans="4:6" x14ac:dyDescent="0.2">
      <c r="D258" s="5"/>
      <c r="E258" s="4"/>
      <c r="F258" s="4" t="e">
        <f ca="1">_xll.cfyql_IndexAddFixings($B$1,D258,E258/100,TRUE,Trigger)</f>
        <v>#NAME?</v>
      </c>
    </row>
    <row r="259" spans="4:6" x14ac:dyDescent="0.2">
      <c r="D259" s="5"/>
      <c r="E259" s="4"/>
      <c r="F259" s="4" t="e">
        <f ca="1">_xll.cfyql_IndexAddFixings($B$1,D259,E259/100,TRUE,Trigger)</f>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t="e">
        <f ca="1">_xll.cfyql_CalendarAdvance("TARGET",B3,"-7M","f",FALSE,Trigger)</f>
        <v>#NAME?</v>
      </c>
      <c r="D2" s="21" t="e">
        <f ca="1">_xll.RHistory("EURIBOR6MD=",B6:B7,B4,,"CH:In;Fd TSREPEAT:N SORT:"&amp;B5,D3)</f>
        <v>#NAME?</v>
      </c>
      <c r="E2" s="21"/>
      <c r="F2" s="1"/>
      <c r="H2" s="1360" t="s">
        <v>529</v>
      </c>
      <c r="I2" s="1370" t="e">
        <f ca="1">_xll.cfyql_Trigger('General Settings'!Trigger,Euribor!Trigger2)</f>
        <v>#NAME?</v>
      </c>
      <c r="J2" s="1367"/>
    </row>
    <row r="3" spans="1:10" ht="15.75" thickBot="1" x14ac:dyDescent="0.3">
      <c r="A3" s="16" t="s">
        <v>10</v>
      </c>
      <c r="B3" s="27" t="e">
        <f ca="1">_xll.cfyql_SettingsEvaluationDate(Trigger)</f>
        <v>#NAME?</v>
      </c>
      <c r="D3" s="20" t="s">
        <v>15</v>
      </c>
      <c r="E3" s="20" t="s">
        <v>15</v>
      </c>
      <c r="F3" s="1"/>
      <c r="H3" s="1361" t="s">
        <v>530</v>
      </c>
      <c r="I3" s="1364" t="e">
        <f ca="1">_xll.cfyql_Trigger(F5:F259)</f>
        <v>#NAME?</v>
      </c>
    </row>
    <row r="4" spans="1:10" ht="24" customHeight="1" x14ac:dyDescent="0.2">
      <c r="A4" s="16" t="s">
        <v>8</v>
      </c>
      <c r="B4" s="28" t="e">
        <f ca="1">"START:"&amp;B2&amp; " END:"&amp;B3&amp;" INTERVAL:1D"</f>
        <v>#NAME?</v>
      </c>
      <c r="D4" s="18" t="s">
        <v>7</v>
      </c>
      <c r="E4" s="18" t="s">
        <v>6</v>
      </c>
      <c r="F4" s="17" t="s">
        <v>5</v>
      </c>
    </row>
    <row r="5" spans="1:10" x14ac:dyDescent="0.2">
      <c r="A5" s="16" t="s">
        <v>4</v>
      </c>
      <c r="B5" s="27" t="s">
        <v>3</v>
      </c>
      <c r="D5" s="14">
        <v>42277</v>
      </c>
      <c r="E5" s="12">
        <v>2.9000000000000001E-2</v>
      </c>
      <c r="F5" s="12" t="e">
        <f ca="1">_xll.cfyql_IndexAddFixings($B$1,D5,E5/100,TRUE,Trigger)</f>
        <v>#NAME?</v>
      </c>
    </row>
    <row r="6" spans="1:10" x14ac:dyDescent="0.2">
      <c r="A6" s="10" t="s">
        <v>2</v>
      </c>
      <c r="B6" s="26" t="s">
        <v>1</v>
      </c>
      <c r="D6" s="5">
        <v>42276</v>
      </c>
      <c r="E6" s="4">
        <v>2.9000000000000001E-2</v>
      </c>
      <c r="F6" s="4" t="e">
        <f ca="1">_xll.cfyql_IndexAddFixings($B$1,D6,E6/100,TRUE,Trigger)</f>
        <v>#NAME?</v>
      </c>
    </row>
    <row r="7" spans="1:10" x14ac:dyDescent="0.2">
      <c r="A7" s="8"/>
      <c r="B7" s="25" t="s">
        <v>0</v>
      </c>
      <c r="D7" s="5">
        <v>42275</v>
      </c>
      <c r="E7" s="4">
        <v>2.9000000000000001E-2</v>
      </c>
      <c r="F7" s="4" t="e">
        <f ca="1">_xll.cfyql_IndexAddFixings($B$1,D7,E7/100,TRUE,Trigger)</f>
        <v>#NAME?</v>
      </c>
    </row>
    <row r="8" spans="1:10" x14ac:dyDescent="0.2">
      <c r="D8" s="5">
        <v>42272</v>
      </c>
      <c r="E8" s="4">
        <v>0.03</v>
      </c>
      <c r="F8" s="4" t="e">
        <f ca="1">_xll.cfyql_IndexAddFixings($B$1,D8,E8/100,TRUE,Trigger)</f>
        <v>#NAME?</v>
      </c>
    </row>
    <row r="9" spans="1:10" x14ac:dyDescent="0.2">
      <c r="D9" s="5">
        <v>42271</v>
      </c>
      <c r="E9" s="4">
        <v>3.2000000000000001E-2</v>
      </c>
      <c r="F9" s="4" t="e">
        <f ca="1">_xll.cfyql_IndexAddFixings($B$1,D9,E9/100,TRUE,Trigger)</f>
        <v>#NAME?</v>
      </c>
    </row>
    <row r="10" spans="1:10" x14ac:dyDescent="0.2">
      <c r="D10" s="5">
        <v>42270</v>
      </c>
      <c r="E10" s="4">
        <v>3.3000000000000002E-2</v>
      </c>
      <c r="F10" s="4" t="e">
        <f ca="1">_xll.cfyql_IndexAddFixings($B$1,D10,E10/100,TRUE,Trigger)</f>
        <v>#NAME?</v>
      </c>
    </row>
    <row r="11" spans="1:10" x14ac:dyDescent="0.2">
      <c r="D11" s="5">
        <v>42269</v>
      </c>
      <c r="E11" s="4">
        <v>3.4000000000000002E-2</v>
      </c>
      <c r="F11" s="4" t="e">
        <f ca="1">_xll.cfyql_IndexAddFixings($B$1,D11,E11/100,TRUE,Trigger)</f>
        <v>#NAME?</v>
      </c>
    </row>
    <row r="12" spans="1:10" x14ac:dyDescent="0.2">
      <c r="D12" s="5">
        <v>42268</v>
      </c>
      <c r="E12" s="4">
        <v>3.5999999999999997E-2</v>
      </c>
      <c r="F12" s="4" t="e">
        <f ca="1">_xll.cfyql_IndexAddFixings($B$1,D12,E12/100,TRUE,Trigger)</f>
        <v>#NAME?</v>
      </c>
    </row>
    <row r="13" spans="1:10" x14ac:dyDescent="0.2">
      <c r="D13" s="5">
        <v>42265</v>
      </c>
      <c r="E13" s="4">
        <v>3.5999999999999997E-2</v>
      </c>
      <c r="F13" s="4" t="e">
        <f ca="1">_xll.cfyql_IndexAddFixings($B$1,D13,E13/100,TRUE,Trigger)</f>
        <v>#NAME?</v>
      </c>
    </row>
    <row r="14" spans="1:10" x14ac:dyDescent="0.2">
      <c r="D14" s="5">
        <v>42264</v>
      </c>
      <c r="E14" s="4">
        <v>3.5999999999999997E-2</v>
      </c>
      <c r="F14" s="4" t="e">
        <f ca="1">_xll.cfyql_IndexAddFixings($B$1,D14,E14/100,TRUE,Trigger)</f>
        <v>#NAME?</v>
      </c>
    </row>
    <row r="15" spans="1:10" x14ac:dyDescent="0.2">
      <c r="D15" s="5">
        <v>42263</v>
      </c>
      <c r="E15" s="4">
        <v>3.5999999999999997E-2</v>
      </c>
      <c r="F15" s="4" t="e">
        <f ca="1">_xll.cfyql_IndexAddFixings($B$1,D15,E15/100,TRUE,Trigger)</f>
        <v>#NAME?</v>
      </c>
    </row>
    <row r="16" spans="1:10" x14ac:dyDescent="0.2">
      <c r="D16" s="5">
        <v>42262</v>
      </c>
      <c r="E16" s="4">
        <v>3.5999999999999997E-2</v>
      </c>
      <c r="F16" s="4" t="e">
        <f ca="1">_xll.cfyql_IndexAddFixings($B$1,D16,E16/100,TRUE,Trigger)</f>
        <v>#NAME?</v>
      </c>
    </row>
    <row r="17" spans="4:6" x14ac:dyDescent="0.2">
      <c r="D17" s="5">
        <v>42261</v>
      </c>
      <c r="E17" s="4">
        <v>3.6999999999999998E-2</v>
      </c>
      <c r="F17" s="4" t="e">
        <f ca="1">_xll.cfyql_IndexAddFixings($B$1,D17,E17/100,TRUE,Trigger)</f>
        <v>#NAME?</v>
      </c>
    </row>
    <row r="18" spans="4:6" x14ac:dyDescent="0.2">
      <c r="D18" s="5">
        <v>42258</v>
      </c>
      <c r="E18" s="4">
        <v>3.6999999999999998E-2</v>
      </c>
      <c r="F18" s="4" t="e">
        <f ca="1">_xll.cfyql_IndexAddFixings($B$1,D18,E18/100,TRUE,Trigger)</f>
        <v>#NAME?</v>
      </c>
    </row>
    <row r="19" spans="4:6" x14ac:dyDescent="0.2">
      <c r="D19" s="5">
        <v>42257</v>
      </c>
      <c r="E19" s="4">
        <v>3.7999999999999999E-2</v>
      </c>
      <c r="F19" s="4" t="e">
        <f ca="1">_xll.cfyql_IndexAddFixings($B$1,D19,E19/100,TRUE,Trigger)</f>
        <v>#NAME?</v>
      </c>
    </row>
    <row r="20" spans="4:6" x14ac:dyDescent="0.2">
      <c r="D20" s="5">
        <v>42256</v>
      </c>
      <c r="E20" s="4">
        <v>3.7999999999999999E-2</v>
      </c>
      <c r="F20" s="4" t="e">
        <f ca="1">_xll.cfyql_IndexAddFixings($B$1,D20,E20/100,TRUE,Trigger)</f>
        <v>#NAME?</v>
      </c>
    </row>
    <row r="21" spans="4:6" x14ac:dyDescent="0.2">
      <c r="D21" s="5">
        <v>42255</v>
      </c>
      <c r="E21" s="4">
        <v>3.7999999999999999E-2</v>
      </c>
      <c r="F21" s="4" t="e">
        <f ca="1">_xll.cfyql_IndexAddFixings($B$1,D21,E21/100,TRUE,Trigger)</f>
        <v>#NAME?</v>
      </c>
    </row>
    <row r="22" spans="4:6" x14ac:dyDescent="0.2">
      <c r="D22" s="5">
        <v>42254</v>
      </c>
      <c r="E22" s="4">
        <v>3.7999999999999999E-2</v>
      </c>
      <c r="F22" s="4" t="e">
        <f ca="1">_xll.cfyql_IndexAddFixings($B$1,D22,E22/100,TRUE,Trigger)</f>
        <v>#NAME?</v>
      </c>
    </row>
    <row r="23" spans="4:6" x14ac:dyDescent="0.2">
      <c r="D23" s="5">
        <v>42251</v>
      </c>
      <c r="E23" s="4">
        <v>3.7999999999999999E-2</v>
      </c>
      <c r="F23" s="4" t="e">
        <f ca="1">_xll.cfyql_IndexAddFixings($B$1,D23,E23/100,TRUE,Trigger)</f>
        <v>#NAME?</v>
      </c>
    </row>
    <row r="24" spans="4:6" x14ac:dyDescent="0.2">
      <c r="D24" s="5">
        <v>42250</v>
      </c>
      <c r="E24" s="4">
        <v>3.7999999999999999E-2</v>
      </c>
      <c r="F24" s="4" t="e">
        <f ca="1">_xll.cfyql_IndexAddFixings($B$1,D24,E24/100,TRUE,Trigger)</f>
        <v>#NAME?</v>
      </c>
    </row>
    <row r="25" spans="4:6" x14ac:dyDescent="0.2">
      <c r="D25" s="5">
        <v>42249</v>
      </c>
      <c r="E25" s="4">
        <v>3.9E-2</v>
      </c>
      <c r="F25" s="4" t="e">
        <f ca="1">_xll.cfyql_IndexAddFixings($B$1,D25,E25/100,TRUE,Trigger)</f>
        <v>#NAME?</v>
      </c>
    </row>
    <row r="26" spans="4:6" x14ac:dyDescent="0.2">
      <c r="D26" s="5">
        <v>42248</v>
      </c>
      <c r="E26" s="4">
        <v>3.9E-2</v>
      </c>
      <c r="F26" s="4" t="e">
        <f ca="1">_xll.cfyql_IndexAddFixings($B$1,D26,E26/100,TRUE,Trigger)</f>
        <v>#NAME?</v>
      </c>
    </row>
    <row r="27" spans="4:6" x14ac:dyDescent="0.2">
      <c r="D27" s="5">
        <v>42247</v>
      </c>
      <c r="E27" s="4">
        <v>3.9E-2</v>
      </c>
      <c r="F27" s="4" t="e">
        <f ca="1">_xll.cfyql_IndexAddFixings($B$1,D27,E27/100,TRUE,Trigger)</f>
        <v>#NAME?</v>
      </c>
    </row>
    <row r="28" spans="4:6" x14ac:dyDescent="0.2">
      <c r="D28" s="5">
        <v>42244</v>
      </c>
      <c r="E28" s="4">
        <v>0.04</v>
      </c>
      <c r="F28" s="4" t="e">
        <f ca="1">_xll.cfyql_IndexAddFixings($B$1,D28,E28/100,TRUE,Trigger)</f>
        <v>#NAME?</v>
      </c>
    </row>
    <row r="29" spans="4:6" x14ac:dyDescent="0.2">
      <c r="D29" s="5">
        <v>42243</v>
      </c>
      <c r="E29" s="4">
        <v>3.9E-2</v>
      </c>
      <c r="F29" s="4" t="e">
        <f ca="1">_xll.cfyql_IndexAddFixings($B$1,D29,E29/100,TRUE,Trigger)</f>
        <v>#NAME?</v>
      </c>
    </row>
    <row r="30" spans="4:6" x14ac:dyDescent="0.2">
      <c r="D30" s="5">
        <v>42242</v>
      </c>
      <c r="E30" s="4">
        <v>3.9E-2</v>
      </c>
      <c r="F30" s="4" t="e">
        <f ca="1">_xll.cfyql_IndexAddFixings($B$1,D30,E30/100,TRUE,Trigger)</f>
        <v>#NAME?</v>
      </c>
    </row>
    <row r="31" spans="4:6" x14ac:dyDescent="0.2">
      <c r="D31" s="5">
        <v>42241</v>
      </c>
      <c r="E31" s="4">
        <v>4.1000000000000002E-2</v>
      </c>
      <c r="F31" s="4" t="e">
        <f ca="1">_xll.cfyql_IndexAddFixings($B$1,D31,E31/100,TRUE,Trigger)</f>
        <v>#NAME?</v>
      </c>
    </row>
    <row r="32" spans="4:6" x14ac:dyDescent="0.2">
      <c r="D32" s="5">
        <v>42240</v>
      </c>
      <c r="E32" s="4">
        <v>4.1000000000000002E-2</v>
      </c>
      <c r="F32" s="4" t="e">
        <f ca="1">_xll.cfyql_IndexAddFixings($B$1,D32,E32/100,TRUE,Trigger)</f>
        <v>#NAME?</v>
      </c>
    </row>
    <row r="33" spans="4:6" x14ac:dyDescent="0.2">
      <c r="D33" s="5">
        <v>42237</v>
      </c>
      <c r="E33" s="4">
        <v>4.2000000000000003E-2</v>
      </c>
      <c r="F33" s="4" t="e">
        <f ca="1">_xll.cfyql_IndexAddFixings($B$1,D33,E33/100,TRUE,Trigger)</f>
        <v>#NAME?</v>
      </c>
    </row>
    <row r="34" spans="4:6" x14ac:dyDescent="0.2">
      <c r="D34" s="5">
        <v>42236</v>
      </c>
      <c r="E34" s="4">
        <v>4.2000000000000003E-2</v>
      </c>
      <c r="F34" s="4" t="e">
        <f ca="1">_xll.cfyql_IndexAddFixings($B$1,D34,E34/100,TRUE,Trigger)</f>
        <v>#NAME?</v>
      </c>
    </row>
    <row r="35" spans="4:6" x14ac:dyDescent="0.2">
      <c r="D35" s="5">
        <v>42235</v>
      </c>
      <c r="E35" s="4">
        <v>4.2000000000000003E-2</v>
      </c>
      <c r="F35" s="4" t="e">
        <f ca="1">_xll.cfyql_IndexAddFixings($B$1,D35,E35/100,TRUE,Trigger)</f>
        <v>#NAME?</v>
      </c>
    </row>
    <row r="36" spans="4:6" x14ac:dyDescent="0.2">
      <c r="D36" s="5">
        <v>42234</v>
      </c>
      <c r="E36" s="4">
        <v>4.2999999999999997E-2</v>
      </c>
      <c r="F36" s="4" t="e">
        <f ca="1">_xll.cfyql_IndexAddFixings($B$1,D36,E36/100,TRUE,Trigger)</f>
        <v>#NAME?</v>
      </c>
    </row>
    <row r="37" spans="4:6" x14ac:dyDescent="0.2">
      <c r="D37" s="5">
        <v>42233</v>
      </c>
      <c r="E37" s="4">
        <v>4.3999999999999997E-2</v>
      </c>
      <c r="F37" s="4" t="e">
        <f ca="1">_xll.cfyql_IndexAddFixings($B$1,D37,E37/100,TRUE,Trigger)</f>
        <v>#NAME?</v>
      </c>
    </row>
    <row r="38" spans="4:6" x14ac:dyDescent="0.2">
      <c r="D38" s="5">
        <v>42230</v>
      </c>
      <c r="E38" s="4">
        <v>4.5999999999999999E-2</v>
      </c>
      <c r="F38" s="4" t="e">
        <f ca="1">_xll.cfyql_IndexAddFixings($B$1,D38,E38/100,TRUE,Trigger)</f>
        <v>#NAME?</v>
      </c>
    </row>
    <row r="39" spans="4:6" x14ac:dyDescent="0.2">
      <c r="D39" s="5">
        <v>42229</v>
      </c>
      <c r="E39" s="4">
        <v>4.5999999999999999E-2</v>
      </c>
      <c r="F39" s="4" t="e">
        <f ca="1">_xll.cfyql_IndexAddFixings($B$1,D39,E39/100,TRUE,Trigger)</f>
        <v>#NAME?</v>
      </c>
    </row>
    <row r="40" spans="4:6" x14ac:dyDescent="0.2">
      <c r="D40" s="5">
        <v>42228</v>
      </c>
      <c r="E40" s="4">
        <v>4.5999999999999999E-2</v>
      </c>
      <c r="F40" s="4" t="e">
        <f ca="1">_xll.cfyql_IndexAddFixings($B$1,D40,E40/100,TRUE,Trigger)</f>
        <v>#NAME?</v>
      </c>
    </row>
    <row r="41" spans="4:6" x14ac:dyDescent="0.2">
      <c r="D41" s="5">
        <v>42227</v>
      </c>
      <c r="E41" s="4">
        <v>4.5999999999999999E-2</v>
      </c>
      <c r="F41" s="4" t="e">
        <f ca="1">_xll.cfyql_IndexAddFixings($B$1,D41,E41/100,TRUE,Trigger)</f>
        <v>#NAME?</v>
      </c>
    </row>
    <row r="42" spans="4:6" x14ac:dyDescent="0.2">
      <c r="D42" s="5">
        <v>42226</v>
      </c>
      <c r="E42" s="4">
        <v>4.8000000000000001E-2</v>
      </c>
      <c r="F42" s="4" t="e">
        <f ca="1">_xll.cfyql_IndexAddFixings($B$1,D42,E42/100,TRUE,Trigger)</f>
        <v>#NAME?</v>
      </c>
    </row>
    <row r="43" spans="4:6" x14ac:dyDescent="0.2">
      <c r="D43" s="5">
        <v>42223</v>
      </c>
      <c r="E43" s="4">
        <v>4.5999999999999999E-2</v>
      </c>
      <c r="F43" s="4" t="e">
        <f ca="1">_xll.cfyql_IndexAddFixings($B$1,D43,E43/100,TRUE,Trigger)</f>
        <v>#NAME?</v>
      </c>
    </row>
    <row r="44" spans="4:6" x14ac:dyDescent="0.2">
      <c r="D44" s="5">
        <v>42222</v>
      </c>
      <c r="E44" s="4">
        <v>4.7E-2</v>
      </c>
      <c r="F44" s="4" t="e">
        <f ca="1">_xll.cfyql_IndexAddFixings($B$1,D44,E44/100,TRUE,Trigger)</f>
        <v>#NAME?</v>
      </c>
    </row>
    <row r="45" spans="4:6" x14ac:dyDescent="0.2">
      <c r="D45" s="5">
        <v>42221</v>
      </c>
      <c r="E45" s="4">
        <v>4.8000000000000001E-2</v>
      </c>
      <c r="F45" s="4" t="e">
        <f ca="1">_xll.cfyql_IndexAddFixings($B$1,D45,E45/100,TRUE,Trigger)</f>
        <v>#NAME?</v>
      </c>
    </row>
    <row r="46" spans="4:6" x14ac:dyDescent="0.2">
      <c r="D46" s="5">
        <v>42220</v>
      </c>
      <c r="E46" s="4">
        <v>4.8000000000000001E-2</v>
      </c>
      <c r="F46" s="4" t="e">
        <f ca="1">_xll.cfyql_IndexAddFixings($B$1,D46,E46/100,TRUE,Trigger)</f>
        <v>#NAME?</v>
      </c>
    </row>
    <row r="47" spans="4:6" x14ac:dyDescent="0.2">
      <c r="D47" s="5">
        <v>42219</v>
      </c>
      <c r="E47" s="4">
        <v>4.9000000000000002E-2</v>
      </c>
      <c r="F47" s="4" t="e">
        <f ca="1">_xll.cfyql_IndexAddFixings($B$1,D47,E47/100,TRUE,Trigger)</f>
        <v>#NAME?</v>
      </c>
    </row>
    <row r="48" spans="4:6" x14ac:dyDescent="0.2">
      <c r="D48" s="5">
        <v>42216</v>
      </c>
      <c r="E48" s="4">
        <v>4.8000000000000001E-2</v>
      </c>
      <c r="F48" s="4" t="e">
        <f ca="1">_xll.cfyql_IndexAddFixings($B$1,D48,E48/100,TRUE,Trigger)</f>
        <v>#NAME?</v>
      </c>
    </row>
    <row r="49" spans="4:6" x14ac:dyDescent="0.2">
      <c r="D49" s="5">
        <v>42215</v>
      </c>
      <c r="E49" s="4">
        <v>4.8000000000000001E-2</v>
      </c>
      <c r="F49" s="4" t="e">
        <f ca="1">_xll.cfyql_IndexAddFixings($B$1,D49,E49/100,TRUE,Trigger)</f>
        <v>#NAME?</v>
      </c>
    </row>
    <row r="50" spans="4:6" x14ac:dyDescent="0.2">
      <c r="D50" s="5">
        <v>42214</v>
      </c>
      <c r="E50" s="4">
        <v>4.8000000000000001E-2</v>
      </c>
      <c r="F50" s="4" t="e">
        <f ca="1">_xll.cfyql_IndexAddFixings($B$1,D50,E50/100,TRUE,Trigger)</f>
        <v>#NAME?</v>
      </c>
    </row>
    <row r="51" spans="4:6" x14ac:dyDescent="0.2">
      <c r="D51" s="5">
        <v>42213</v>
      </c>
      <c r="E51" s="4">
        <v>4.8000000000000001E-2</v>
      </c>
      <c r="F51" s="4" t="e">
        <f ca="1">_xll.cfyql_IndexAddFixings($B$1,D51,E51/100,TRUE,Trigger)</f>
        <v>#NAME?</v>
      </c>
    </row>
    <row r="52" spans="4:6" x14ac:dyDescent="0.2">
      <c r="D52" s="5">
        <v>42212</v>
      </c>
      <c r="E52" s="4">
        <v>4.9000000000000002E-2</v>
      </c>
      <c r="F52" s="4" t="e">
        <f ca="1">_xll.cfyql_IndexAddFixings($B$1,D52,E52/100,TRUE,Trigger)</f>
        <v>#NAME?</v>
      </c>
    </row>
    <row r="53" spans="4:6" x14ac:dyDescent="0.2">
      <c r="D53" s="5">
        <v>42209</v>
      </c>
      <c r="E53" s="4">
        <v>4.8000000000000001E-2</v>
      </c>
      <c r="F53" s="4" t="e">
        <f ca="1">_xll.cfyql_IndexAddFixings($B$1,D53,E53/100,TRUE,Trigger)</f>
        <v>#NAME?</v>
      </c>
    </row>
    <row r="54" spans="4:6" x14ac:dyDescent="0.2">
      <c r="D54" s="5">
        <v>42208</v>
      </c>
      <c r="E54" s="4">
        <v>4.9000000000000002E-2</v>
      </c>
      <c r="F54" s="4" t="e">
        <f ca="1">_xll.cfyql_IndexAddFixings($B$1,D54,E54/100,TRUE,Trigger)</f>
        <v>#NAME?</v>
      </c>
    </row>
    <row r="55" spans="4:6" x14ac:dyDescent="0.2">
      <c r="D55" s="5">
        <v>42207</v>
      </c>
      <c r="E55" s="4">
        <v>4.9000000000000002E-2</v>
      </c>
      <c r="F55" s="4" t="e">
        <f ca="1">_xll.cfyql_IndexAddFixings($B$1,D55,E55/100,TRUE,Trigger)</f>
        <v>#NAME?</v>
      </c>
    </row>
    <row r="56" spans="4:6" x14ac:dyDescent="0.2">
      <c r="D56" s="5">
        <v>42206</v>
      </c>
      <c r="E56" s="4">
        <v>4.9000000000000002E-2</v>
      </c>
      <c r="F56" s="4" t="e">
        <f ca="1">_xll.cfyql_IndexAddFixings($B$1,D56,E56/100,TRUE,Trigger)</f>
        <v>#NAME?</v>
      </c>
    </row>
    <row r="57" spans="4:6" x14ac:dyDescent="0.2">
      <c r="D57" s="5">
        <v>42205</v>
      </c>
      <c r="E57" s="4">
        <v>4.9000000000000002E-2</v>
      </c>
      <c r="F57" s="4" t="e">
        <f ca="1">_xll.cfyql_IndexAddFixings($B$1,D57,E57/100,TRUE,Trigger)</f>
        <v>#NAME?</v>
      </c>
    </row>
    <row r="58" spans="4:6" x14ac:dyDescent="0.2">
      <c r="D58" s="5">
        <v>42202</v>
      </c>
      <c r="E58" s="4">
        <v>4.9000000000000002E-2</v>
      </c>
      <c r="F58" s="4" t="e">
        <f ca="1">_xll.cfyql_IndexAddFixings($B$1,D58,E58/100,TRUE,Trigger)</f>
        <v>#NAME?</v>
      </c>
    </row>
    <row r="59" spans="4:6" x14ac:dyDescent="0.2">
      <c r="D59" s="5">
        <v>42201</v>
      </c>
      <c r="E59" s="4">
        <v>4.9000000000000002E-2</v>
      </c>
      <c r="F59" s="4" t="e">
        <f ca="1">_xll.cfyql_IndexAddFixings($B$1,D59,E59/100,TRUE,Trigger)</f>
        <v>#NAME?</v>
      </c>
    </row>
    <row r="60" spans="4:6" x14ac:dyDescent="0.2">
      <c r="D60" s="5">
        <v>42200</v>
      </c>
      <c r="E60" s="4">
        <v>4.9000000000000002E-2</v>
      </c>
      <c r="F60" s="4" t="e">
        <f ca="1">_xll.cfyql_IndexAddFixings($B$1,D60,E60/100,TRUE,Trigger)</f>
        <v>#NAME?</v>
      </c>
    </row>
    <row r="61" spans="4:6" x14ac:dyDescent="0.2">
      <c r="D61" s="5">
        <v>42199</v>
      </c>
      <c r="E61" s="4">
        <v>4.9000000000000002E-2</v>
      </c>
      <c r="F61" s="4" t="e">
        <f ca="1">_xll.cfyql_IndexAddFixings($B$1,D61,E61/100,TRUE,Trigger)</f>
        <v>#NAME?</v>
      </c>
    </row>
    <row r="62" spans="4:6" x14ac:dyDescent="0.2">
      <c r="D62" s="5">
        <v>42198</v>
      </c>
      <c r="E62" s="4">
        <v>4.9000000000000002E-2</v>
      </c>
      <c r="F62" s="4" t="e">
        <f ca="1">_xll.cfyql_IndexAddFixings($B$1,D62,E62/100,TRUE,Trigger)</f>
        <v>#NAME?</v>
      </c>
    </row>
    <row r="63" spans="4:6" x14ac:dyDescent="0.2">
      <c r="D63" s="5">
        <v>42195</v>
      </c>
      <c r="E63" s="4">
        <v>4.9000000000000002E-2</v>
      </c>
      <c r="F63" s="4" t="e">
        <f ca="1">_xll.cfyql_IndexAddFixings($B$1,D63,E63/100,TRUE,Trigger)</f>
        <v>#NAME?</v>
      </c>
    </row>
    <row r="64" spans="4:6" x14ac:dyDescent="0.2">
      <c r="D64" s="5">
        <v>42194</v>
      </c>
      <c r="E64" s="4">
        <v>4.9000000000000002E-2</v>
      </c>
      <c r="F64" s="4" t="e">
        <f ca="1">_xll.cfyql_IndexAddFixings($B$1,D64,E64/100,TRUE,Trigger)</f>
        <v>#NAME?</v>
      </c>
    </row>
    <row r="65" spans="4:6" x14ac:dyDescent="0.2">
      <c r="D65" s="5">
        <v>42193</v>
      </c>
      <c r="E65" s="4">
        <v>4.9000000000000002E-2</v>
      </c>
      <c r="F65" s="4" t="e">
        <f ca="1">_xll.cfyql_IndexAddFixings($B$1,D65,E65/100,TRUE,Trigger)</f>
        <v>#NAME?</v>
      </c>
    </row>
    <row r="66" spans="4:6" x14ac:dyDescent="0.2">
      <c r="D66" s="5">
        <v>42192</v>
      </c>
      <c r="E66" s="4">
        <v>4.9000000000000002E-2</v>
      </c>
      <c r="F66" s="4" t="e">
        <f ca="1">_xll.cfyql_IndexAddFixings($B$1,D66,E66/100,TRUE,Trigger)</f>
        <v>#NAME?</v>
      </c>
    </row>
    <row r="67" spans="4:6" x14ac:dyDescent="0.2">
      <c r="D67" s="5">
        <v>42191</v>
      </c>
      <c r="E67" s="4">
        <v>4.9000000000000002E-2</v>
      </c>
      <c r="F67" s="4" t="e">
        <f ca="1">_xll.cfyql_IndexAddFixings($B$1,D67,E67/100,TRUE,Trigger)</f>
        <v>#NAME?</v>
      </c>
    </row>
    <row r="68" spans="4:6" x14ac:dyDescent="0.2">
      <c r="D68" s="5">
        <v>42188</v>
      </c>
      <c r="E68" s="4">
        <v>4.9000000000000002E-2</v>
      </c>
      <c r="F68" s="4" t="e">
        <f ca="1">_xll.cfyql_IndexAddFixings($B$1,D68,E68/100,TRUE,Trigger)</f>
        <v>#NAME?</v>
      </c>
    </row>
    <row r="69" spans="4:6" x14ac:dyDescent="0.2">
      <c r="D69" s="5">
        <v>42187</v>
      </c>
      <c r="E69" s="4">
        <v>4.8000000000000001E-2</v>
      </c>
      <c r="F69" s="4" t="e">
        <f ca="1">_xll.cfyql_IndexAddFixings($B$1,D69,E69/100,TRUE,Trigger)</f>
        <v>#NAME?</v>
      </c>
    </row>
    <row r="70" spans="4:6" x14ac:dyDescent="0.2">
      <c r="D70" s="5">
        <v>42186</v>
      </c>
      <c r="E70" s="4">
        <v>4.9000000000000002E-2</v>
      </c>
      <c r="F70" s="4" t="e">
        <f ca="1">_xll.cfyql_IndexAddFixings($B$1,D70,E70/100,TRUE,Trigger)</f>
        <v>#NAME?</v>
      </c>
    </row>
    <row r="71" spans="4:6" x14ac:dyDescent="0.2">
      <c r="D71" s="5">
        <v>42185</v>
      </c>
      <c r="E71" s="4">
        <v>0.05</v>
      </c>
      <c r="F71" s="4" t="e">
        <f ca="1">_xll.cfyql_IndexAddFixings($B$1,D71,E71/100,TRUE,Trigger)</f>
        <v>#NAME?</v>
      </c>
    </row>
    <row r="72" spans="4:6" x14ac:dyDescent="0.2">
      <c r="D72" s="5">
        <v>42184</v>
      </c>
      <c r="E72" s="4">
        <v>0.05</v>
      </c>
      <c r="F72" s="4" t="e">
        <f ca="1">_xll.cfyql_IndexAddFixings($B$1,D72,E72/100,TRUE,Trigger)</f>
        <v>#NAME?</v>
      </c>
    </row>
    <row r="73" spans="4:6" x14ac:dyDescent="0.2">
      <c r="D73" s="5">
        <v>42181</v>
      </c>
      <c r="E73" s="4">
        <v>0.05</v>
      </c>
      <c r="F73" s="4" t="e">
        <f ca="1">_xll.cfyql_IndexAddFixings($B$1,D73,E73/100,TRUE,Trigger)</f>
        <v>#NAME?</v>
      </c>
    </row>
    <row r="74" spans="4:6" x14ac:dyDescent="0.2">
      <c r="D74" s="5">
        <v>42180</v>
      </c>
      <c r="E74" s="4">
        <v>4.9000000000000002E-2</v>
      </c>
      <c r="F74" s="4" t="e">
        <f ca="1">_xll.cfyql_IndexAddFixings($B$1,D74,E74/100,TRUE,Trigger)</f>
        <v>#NAME?</v>
      </c>
    </row>
    <row r="75" spans="4:6" x14ac:dyDescent="0.2">
      <c r="D75" s="5">
        <v>42179</v>
      </c>
      <c r="E75" s="4">
        <v>4.9000000000000002E-2</v>
      </c>
      <c r="F75" s="4" t="e">
        <f ca="1">_xll.cfyql_IndexAddFixings($B$1,D75,E75/100,TRUE,Trigger)</f>
        <v>#NAME?</v>
      </c>
    </row>
    <row r="76" spans="4:6" x14ac:dyDescent="0.2">
      <c r="D76" s="5">
        <v>42178</v>
      </c>
      <c r="E76" s="4">
        <v>4.8000000000000001E-2</v>
      </c>
      <c r="F76" s="4" t="e">
        <f ca="1">_xll.cfyql_IndexAddFixings($B$1,D76,E76/100,TRUE,Trigger)</f>
        <v>#NAME?</v>
      </c>
    </row>
    <row r="77" spans="4:6" x14ac:dyDescent="0.2">
      <c r="D77" s="5">
        <v>42177</v>
      </c>
      <c r="E77" s="4">
        <v>4.8000000000000001E-2</v>
      </c>
      <c r="F77" s="4" t="e">
        <f ca="1">_xll.cfyql_IndexAddFixings($B$1,D77,E77/100,TRUE,Trigger)</f>
        <v>#NAME?</v>
      </c>
    </row>
    <row r="78" spans="4:6" x14ac:dyDescent="0.2">
      <c r="D78" s="5">
        <v>42174</v>
      </c>
      <c r="E78" s="4">
        <v>0.05</v>
      </c>
      <c r="F78" s="4" t="e">
        <f ca="1">_xll.cfyql_IndexAddFixings($B$1,D78,E78/100,TRUE,Trigger)</f>
        <v>#NAME?</v>
      </c>
    </row>
    <row r="79" spans="4:6" x14ac:dyDescent="0.2">
      <c r="D79" s="5">
        <v>42173</v>
      </c>
      <c r="E79" s="4">
        <v>4.9000000000000002E-2</v>
      </c>
      <c r="F79" s="4" t="e">
        <f ca="1">_xll.cfyql_IndexAddFixings($B$1,D79,E79/100,TRUE,Trigger)</f>
        <v>#NAME?</v>
      </c>
    </row>
    <row r="80" spans="4:6" x14ac:dyDescent="0.2">
      <c r="D80" s="5">
        <v>42172</v>
      </c>
      <c r="E80" s="4">
        <v>4.9000000000000002E-2</v>
      </c>
      <c r="F80" s="4" t="e">
        <f ca="1">_xll.cfyql_IndexAddFixings($B$1,D80,E80/100,TRUE,Trigger)</f>
        <v>#NAME?</v>
      </c>
    </row>
    <row r="81" spans="4:6" x14ac:dyDescent="0.2">
      <c r="D81" s="5">
        <v>42171</v>
      </c>
      <c r="E81" s="4">
        <v>5.0999999999999997E-2</v>
      </c>
      <c r="F81" s="4" t="e">
        <f ca="1">_xll.cfyql_IndexAddFixings($B$1,D81,E81/100,TRUE,Trigger)</f>
        <v>#NAME?</v>
      </c>
    </row>
    <row r="82" spans="4:6" x14ac:dyDescent="0.2">
      <c r="D82" s="5">
        <v>42170</v>
      </c>
      <c r="E82" s="4">
        <v>4.9000000000000002E-2</v>
      </c>
      <c r="F82" s="4" t="e">
        <f ca="1">_xll.cfyql_IndexAddFixings($B$1,D82,E82/100,TRUE,Trigger)</f>
        <v>#NAME?</v>
      </c>
    </row>
    <row r="83" spans="4:6" x14ac:dyDescent="0.2">
      <c r="D83" s="5">
        <v>42167</v>
      </c>
      <c r="E83" s="4">
        <v>0.05</v>
      </c>
      <c r="F83" s="4" t="e">
        <f ca="1">_xll.cfyql_IndexAddFixings($B$1,D83,E83/100,TRUE,Trigger)</f>
        <v>#NAME?</v>
      </c>
    </row>
    <row r="84" spans="4:6" x14ac:dyDescent="0.2">
      <c r="D84" s="5">
        <v>42166</v>
      </c>
      <c r="E84" s="4">
        <v>4.9000000000000002E-2</v>
      </c>
      <c r="F84" s="4" t="e">
        <f ca="1">_xll.cfyql_IndexAddFixings($B$1,D84,E84/100,TRUE,Trigger)</f>
        <v>#NAME?</v>
      </c>
    </row>
    <row r="85" spans="4:6" x14ac:dyDescent="0.2">
      <c r="D85" s="5">
        <v>42165</v>
      </c>
      <c r="E85" s="4">
        <v>4.9000000000000002E-2</v>
      </c>
      <c r="F85" s="4" t="e">
        <f ca="1">_xll.cfyql_IndexAddFixings($B$1,D85,E85/100,TRUE,Trigger)</f>
        <v>#NAME?</v>
      </c>
    </row>
    <row r="86" spans="4:6" x14ac:dyDescent="0.2">
      <c r="D86" s="5">
        <v>42164</v>
      </c>
      <c r="E86" s="4">
        <v>4.9000000000000002E-2</v>
      </c>
      <c r="F86" s="4" t="e">
        <f ca="1">_xll.cfyql_IndexAddFixings($B$1,D86,E86/100,TRUE,Trigger)</f>
        <v>#NAME?</v>
      </c>
    </row>
    <row r="87" spans="4:6" x14ac:dyDescent="0.2">
      <c r="D87" s="5">
        <v>42163</v>
      </c>
      <c r="E87" s="4">
        <v>4.9000000000000002E-2</v>
      </c>
      <c r="F87" s="4" t="e">
        <f ca="1">_xll.cfyql_IndexAddFixings($B$1,D87,E87/100,TRUE,Trigger)</f>
        <v>#NAME?</v>
      </c>
    </row>
    <row r="88" spans="4:6" x14ac:dyDescent="0.2">
      <c r="D88" s="5">
        <v>42160</v>
      </c>
      <c r="E88" s="4">
        <v>0.05</v>
      </c>
      <c r="F88" s="4" t="e">
        <f ca="1">_xll.cfyql_IndexAddFixings($B$1,D88,E88/100,TRUE,Trigger)</f>
        <v>#NAME?</v>
      </c>
    </row>
    <row r="89" spans="4:6" x14ac:dyDescent="0.2">
      <c r="D89" s="5">
        <v>42159</v>
      </c>
      <c r="E89" s="4">
        <v>4.9000000000000002E-2</v>
      </c>
      <c r="F89" s="4" t="e">
        <f ca="1">_xll.cfyql_IndexAddFixings($B$1,D89,E89/100,TRUE,Trigger)</f>
        <v>#NAME?</v>
      </c>
    </row>
    <row r="90" spans="4:6" x14ac:dyDescent="0.2">
      <c r="D90" s="5">
        <v>42158</v>
      </c>
      <c r="E90" s="4">
        <v>4.8000000000000001E-2</v>
      </c>
      <c r="F90" s="4" t="e">
        <f ca="1">_xll.cfyql_IndexAddFixings($B$1,D90,E90/100,TRUE,Trigger)</f>
        <v>#NAME?</v>
      </c>
    </row>
    <row r="91" spans="4:6" x14ac:dyDescent="0.2">
      <c r="D91" s="5">
        <v>42157</v>
      </c>
      <c r="E91" s="4">
        <v>4.8000000000000001E-2</v>
      </c>
      <c r="F91" s="4" t="e">
        <f ca="1">_xll.cfyql_IndexAddFixings($B$1,D91,E91/100,TRUE,Trigger)</f>
        <v>#NAME?</v>
      </c>
    </row>
    <row r="92" spans="4:6" x14ac:dyDescent="0.2">
      <c r="D92" s="5">
        <v>42156</v>
      </c>
      <c r="E92" s="4">
        <v>4.9000000000000002E-2</v>
      </c>
      <c r="F92" s="4" t="e">
        <f ca="1">_xll.cfyql_IndexAddFixings($B$1,D92,E92/100,TRUE,Trigger)</f>
        <v>#NAME?</v>
      </c>
    </row>
    <row r="93" spans="4:6" x14ac:dyDescent="0.2">
      <c r="D93" s="5">
        <v>42153</v>
      </c>
      <c r="E93" s="4">
        <v>4.9000000000000002E-2</v>
      </c>
      <c r="F93" s="4" t="e">
        <f ca="1">_xll.cfyql_IndexAddFixings($B$1,D93,E93/100,TRUE,Trigger)</f>
        <v>#NAME?</v>
      </c>
    </row>
    <row r="94" spans="4:6" x14ac:dyDescent="0.2">
      <c r="D94" s="5">
        <v>42152</v>
      </c>
      <c r="E94" s="4">
        <v>4.9000000000000002E-2</v>
      </c>
      <c r="F94" s="4" t="e">
        <f ca="1">_xll.cfyql_IndexAddFixings($B$1,D94,E94/100,TRUE,Trigger)</f>
        <v>#NAME?</v>
      </c>
    </row>
    <row r="95" spans="4:6" x14ac:dyDescent="0.2">
      <c r="D95" s="5">
        <v>42151</v>
      </c>
      <c r="E95" s="4">
        <v>0.05</v>
      </c>
      <c r="F95" s="4" t="e">
        <f ca="1">_xll.cfyql_IndexAddFixings($B$1,D95,E95/100,TRUE,Trigger)</f>
        <v>#NAME?</v>
      </c>
    </row>
    <row r="96" spans="4:6" x14ac:dyDescent="0.2">
      <c r="D96" s="5">
        <v>42150</v>
      </c>
      <c r="E96" s="4">
        <v>5.1999999999999998E-2</v>
      </c>
      <c r="F96" s="4" t="e">
        <f ca="1">_xll.cfyql_IndexAddFixings($B$1,D96,E96/100,TRUE,Trigger)</f>
        <v>#NAME?</v>
      </c>
    </row>
    <row r="97" spans="4:6" x14ac:dyDescent="0.2">
      <c r="D97" s="5">
        <v>42149</v>
      </c>
      <c r="E97" s="4">
        <v>5.3999999999999999E-2</v>
      </c>
      <c r="F97" s="4" t="e">
        <f ca="1">_xll.cfyql_IndexAddFixings($B$1,D97,E97/100,TRUE,Trigger)</f>
        <v>#NAME?</v>
      </c>
    </row>
    <row r="98" spans="4:6" x14ac:dyDescent="0.2">
      <c r="D98" s="5">
        <v>42146</v>
      </c>
      <c r="E98" s="4">
        <v>5.3999999999999999E-2</v>
      </c>
      <c r="F98" s="4" t="e">
        <f ca="1">_xll.cfyql_IndexAddFixings($B$1,D98,E98/100,TRUE,Trigger)</f>
        <v>#NAME?</v>
      </c>
    </row>
    <row r="99" spans="4:6" x14ac:dyDescent="0.2">
      <c r="D99" s="5">
        <v>42145</v>
      </c>
      <c r="E99" s="4">
        <v>5.3999999999999999E-2</v>
      </c>
      <c r="F99" s="4" t="e">
        <f ca="1">_xll.cfyql_IndexAddFixings($B$1,D99,E99/100,TRUE,Trigger)</f>
        <v>#NAME?</v>
      </c>
    </row>
    <row r="100" spans="4:6" x14ac:dyDescent="0.2">
      <c r="D100" s="5">
        <v>42144</v>
      </c>
      <c r="E100" s="4">
        <v>5.5E-2</v>
      </c>
      <c r="F100" s="4" t="e">
        <f ca="1">_xll.cfyql_IndexAddFixings($B$1,D100,E100/100,TRUE,Trigger)</f>
        <v>#NAME?</v>
      </c>
    </row>
    <row r="101" spans="4:6" x14ac:dyDescent="0.2">
      <c r="D101" s="5">
        <v>42143</v>
      </c>
      <c r="E101" s="4">
        <v>5.7000000000000002E-2</v>
      </c>
      <c r="F101" s="4" t="e">
        <f ca="1">_xll.cfyql_IndexAddFixings($B$1,D101,E101/100,TRUE,Trigger)</f>
        <v>#NAME?</v>
      </c>
    </row>
    <row r="102" spans="4:6" x14ac:dyDescent="0.2">
      <c r="D102" s="5">
        <v>42142</v>
      </c>
      <c r="E102" s="4">
        <v>5.6000000000000001E-2</v>
      </c>
      <c r="F102" s="4" t="e">
        <f ca="1">_xll.cfyql_IndexAddFixings($B$1,D102,E102/100,TRUE,Trigger)</f>
        <v>#NAME?</v>
      </c>
    </row>
    <row r="103" spans="4:6" x14ac:dyDescent="0.2">
      <c r="D103" s="5">
        <v>42139</v>
      </c>
      <c r="E103" s="4">
        <v>5.8000000000000003E-2</v>
      </c>
      <c r="F103" s="4" t="e">
        <f ca="1">_xll.cfyql_IndexAddFixings($B$1,D103,E103/100,TRUE,Trigger)</f>
        <v>#NAME?</v>
      </c>
    </row>
    <row r="104" spans="4:6" x14ac:dyDescent="0.2">
      <c r="D104" s="5">
        <v>42138</v>
      </c>
      <c r="E104" s="4">
        <v>5.8999999999999997E-2</v>
      </c>
      <c r="F104" s="4" t="e">
        <f ca="1">_xll.cfyql_IndexAddFixings($B$1,D104,E104/100,TRUE,Trigger)</f>
        <v>#NAME?</v>
      </c>
    </row>
    <row r="105" spans="4:6" x14ac:dyDescent="0.2">
      <c r="D105" s="5">
        <v>42137</v>
      </c>
      <c r="E105" s="4">
        <v>0.06</v>
      </c>
      <c r="F105" s="4" t="e">
        <f ca="1">_xll.cfyql_IndexAddFixings($B$1,D105,E105/100,TRUE,Trigger)</f>
        <v>#NAME?</v>
      </c>
    </row>
    <row r="106" spans="4:6" x14ac:dyDescent="0.2">
      <c r="D106" s="5">
        <v>42136</v>
      </c>
      <c r="E106" s="4">
        <v>6.0999999999999999E-2</v>
      </c>
      <c r="F106" s="4" t="e">
        <f ca="1">_xll.cfyql_IndexAddFixings($B$1,D106,E106/100,TRUE,Trigger)</f>
        <v>#NAME?</v>
      </c>
    </row>
    <row r="107" spans="4:6" x14ac:dyDescent="0.2">
      <c r="D107" s="5">
        <v>42135</v>
      </c>
      <c r="E107" s="4">
        <v>6.0999999999999999E-2</v>
      </c>
      <c r="F107" s="4" t="e">
        <f ca="1">_xll.cfyql_IndexAddFixings($B$1,D107,E107/100,TRUE,Trigger)</f>
        <v>#NAME?</v>
      </c>
    </row>
    <row r="108" spans="4:6" x14ac:dyDescent="0.2">
      <c r="D108" s="5">
        <v>42132</v>
      </c>
      <c r="E108" s="4">
        <v>6.0999999999999999E-2</v>
      </c>
      <c r="F108" s="4" t="e">
        <f ca="1">_xll.cfyql_IndexAddFixings($B$1,D108,E108/100,TRUE,Trigger)</f>
        <v>#NAME?</v>
      </c>
    </row>
    <row r="109" spans="4:6" x14ac:dyDescent="0.2">
      <c r="D109" s="5">
        <v>42131</v>
      </c>
      <c r="E109" s="4">
        <v>6.0999999999999999E-2</v>
      </c>
      <c r="F109" s="4" t="e">
        <f ca="1">_xll.cfyql_IndexAddFixings($B$1,D109,E109/100,TRUE,Trigger)</f>
        <v>#NAME?</v>
      </c>
    </row>
    <row r="110" spans="4:6" x14ac:dyDescent="0.2">
      <c r="D110" s="5">
        <v>42130</v>
      </c>
      <c r="E110" s="4">
        <v>6.2E-2</v>
      </c>
      <c r="F110" s="4" t="e">
        <f ca="1">_xll.cfyql_IndexAddFixings($B$1,D110,E110/100,TRUE,Trigger)</f>
        <v>#NAME?</v>
      </c>
    </row>
    <row r="111" spans="4:6" x14ac:dyDescent="0.2">
      <c r="D111" s="5">
        <v>42129</v>
      </c>
      <c r="E111" s="4">
        <v>6.0999999999999999E-2</v>
      </c>
      <c r="F111" s="4" t="e">
        <f ca="1">_xll.cfyql_IndexAddFixings($B$1,D111,E111/100,TRUE,Trigger)</f>
        <v>#NAME?</v>
      </c>
    </row>
    <row r="112" spans="4:6" x14ac:dyDescent="0.2">
      <c r="D112" s="5">
        <v>42128</v>
      </c>
      <c r="E112" s="4">
        <v>6.4000000000000001E-2</v>
      </c>
      <c r="F112" s="4" t="e">
        <f ca="1">_xll.cfyql_IndexAddFixings($B$1,D112,E112/100,TRUE,Trigger)</f>
        <v>#NAME?</v>
      </c>
    </row>
    <row r="113" spans="4:6" x14ac:dyDescent="0.2">
      <c r="D113" s="5">
        <v>42124</v>
      </c>
      <c r="E113" s="4">
        <v>6.4000000000000001E-2</v>
      </c>
      <c r="F113" s="4" t="e">
        <f ca="1">_xll.cfyql_IndexAddFixings($B$1,D113,E113/100,TRUE,Trigger)</f>
        <v>#NAME?</v>
      </c>
    </row>
    <row r="114" spans="4:6" x14ac:dyDescent="0.2">
      <c r="D114" s="5">
        <v>42123</v>
      </c>
      <c r="E114" s="4">
        <v>6.0999999999999999E-2</v>
      </c>
      <c r="F114" s="4" t="e">
        <f ca="1">_xll.cfyql_IndexAddFixings($B$1,D114,E114/100,TRUE,Trigger)</f>
        <v>#NAME?</v>
      </c>
    </row>
    <row r="115" spans="4:6" x14ac:dyDescent="0.2">
      <c r="D115" s="5">
        <v>42122</v>
      </c>
      <c r="E115" s="4">
        <v>6.2E-2</v>
      </c>
      <c r="F115" s="4" t="e">
        <f ca="1">_xll.cfyql_IndexAddFixings($B$1,D115,E115/100,TRUE,Trigger)</f>
        <v>#NAME?</v>
      </c>
    </row>
    <row r="116" spans="4:6" x14ac:dyDescent="0.2">
      <c r="D116" s="5">
        <v>42121</v>
      </c>
      <c r="E116" s="4">
        <v>6.7000000000000004E-2</v>
      </c>
      <c r="F116" s="4" t="e">
        <f ca="1">_xll.cfyql_IndexAddFixings($B$1,D116,E116/100,TRUE,Trigger)</f>
        <v>#NAME?</v>
      </c>
    </row>
    <row r="117" spans="4:6" x14ac:dyDescent="0.2">
      <c r="D117" s="5">
        <v>42118</v>
      </c>
      <c r="E117" s="4">
        <v>6.6000000000000003E-2</v>
      </c>
      <c r="F117" s="4" t="e">
        <f ca="1">_xll.cfyql_IndexAddFixings($B$1,D117,E117/100,TRUE,Trigger)</f>
        <v>#NAME?</v>
      </c>
    </row>
    <row r="118" spans="4:6" x14ac:dyDescent="0.2">
      <c r="D118" s="5">
        <v>42117</v>
      </c>
      <c r="E118" s="4">
        <v>6.6000000000000003E-2</v>
      </c>
      <c r="F118" s="4" t="e">
        <f ca="1">_xll.cfyql_IndexAddFixings($B$1,D118,E118/100,TRUE,Trigger)</f>
        <v>#NAME?</v>
      </c>
    </row>
    <row r="119" spans="4:6" x14ac:dyDescent="0.2">
      <c r="D119" s="5">
        <v>42116</v>
      </c>
      <c r="E119" s="4">
        <v>6.8000000000000005E-2</v>
      </c>
      <c r="F119" s="4" t="e">
        <f ca="1">_xll.cfyql_IndexAddFixings($B$1,D119,E119/100,TRUE,Trigger)</f>
        <v>#NAME?</v>
      </c>
    </row>
    <row r="120" spans="4:6" x14ac:dyDescent="0.2">
      <c r="D120" s="5">
        <v>42115</v>
      </c>
      <c r="E120" s="4">
        <v>6.9000000000000006E-2</v>
      </c>
      <c r="F120" s="4" t="e">
        <f ca="1">_xll.cfyql_IndexAddFixings($B$1,D120,E120/100,TRUE,Trigger)</f>
        <v>#NAME?</v>
      </c>
    </row>
    <row r="121" spans="4:6" x14ac:dyDescent="0.2">
      <c r="D121" s="5">
        <v>42114</v>
      </c>
      <c r="E121" s="4">
        <v>6.9000000000000006E-2</v>
      </c>
      <c r="F121" s="4" t="e">
        <f ca="1">_xll.cfyql_IndexAddFixings($B$1,D121,E121/100,TRUE,Trigger)</f>
        <v>#NAME?</v>
      </c>
    </row>
    <row r="122" spans="4:6" x14ac:dyDescent="0.2">
      <c r="D122" s="5">
        <v>42111</v>
      </c>
      <c r="E122" s="4">
        <v>6.8000000000000005E-2</v>
      </c>
      <c r="F122" s="4" t="e">
        <f ca="1">_xll.cfyql_IndexAddFixings($B$1,D122,E122/100,TRUE,Trigger)</f>
        <v>#NAME?</v>
      </c>
    </row>
    <row r="123" spans="4:6" x14ac:dyDescent="0.2">
      <c r="D123" s="5">
        <v>42110</v>
      </c>
      <c r="E123" s="4">
        <v>7.0000000000000007E-2</v>
      </c>
      <c r="F123" s="4" t="e">
        <f ca="1">_xll.cfyql_IndexAddFixings($B$1,D123,E123/100,TRUE,Trigger)</f>
        <v>#NAME?</v>
      </c>
    </row>
    <row r="124" spans="4:6" x14ac:dyDescent="0.2">
      <c r="D124" s="5">
        <v>42109</v>
      </c>
      <c r="E124" s="4">
        <v>7.1999999999999995E-2</v>
      </c>
      <c r="F124" s="4" t="e">
        <f ca="1">_xll.cfyql_IndexAddFixings($B$1,D124,E124/100,TRUE,Trigger)</f>
        <v>#NAME?</v>
      </c>
    </row>
    <row r="125" spans="4:6" x14ac:dyDescent="0.2">
      <c r="D125" s="5">
        <v>42108</v>
      </c>
      <c r="E125" s="4">
        <v>7.5999999999999998E-2</v>
      </c>
      <c r="F125" s="4" t="e">
        <f ca="1">_xll.cfyql_IndexAddFixings($B$1,D125,E125/100,TRUE,Trigger)</f>
        <v>#NAME?</v>
      </c>
    </row>
    <row r="126" spans="4:6" x14ac:dyDescent="0.2">
      <c r="D126" s="5">
        <v>42107</v>
      </c>
      <c r="E126" s="4">
        <v>7.8E-2</v>
      </c>
      <c r="F126" s="4" t="e">
        <f ca="1">_xll.cfyql_IndexAddFixings($B$1,D126,E126/100,TRUE,Trigger)</f>
        <v>#NAME?</v>
      </c>
    </row>
    <row r="127" spans="4:6" x14ac:dyDescent="0.2">
      <c r="D127" s="5">
        <v>42104</v>
      </c>
      <c r="E127" s="4">
        <v>7.9000000000000001E-2</v>
      </c>
      <c r="F127" s="4" t="e">
        <f ca="1">_xll.cfyql_IndexAddFixings($B$1,D127,E127/100,TRUE,Trigger)</f>
        <v>#NAME?</v>
      </c>
    </row>
    <row r="128" spans="4:6" x14ac:dyDescent="0.2">
      <c r="D128" s="5">
        <v>42103</v>
      </c>
      <c r="E128" s="4">
        <v>8.1000000000000003E-2</v>
      </c>
      <c r="F128" s="4" t="e">
        <f ca="1">_xll.cfyql_IndexAddFixings($B$1,D128,E128/100,TRUE,Trigger)</f>
        <v>#NAME?</v>
      </c>
    </row>
    <row r="129" spans="4:6" x14ac:dyDescent="0.2">
      <c r="D129" s="5">
        <v>42102</v>
      </c>
      <c r="E129" s="4">
        <v>8.1000000000000003E-2</v>
      </c>
      <c r="F129" s="4" t="e">
        <f ca="1">_xll.cfyql_IndexAddFixings($B$1,D129,E129/100,TRUE,Trigger)</f>
        <v>#NAME?</v>
      </c>
    </row>
    <row r="130" spans="4:6" x14ac:dyDescent="0.2">
      <c r="D130" s="5">
        <v>42101</v>
      </c>
      <c r="E130" s="4">
        <v>8.5000000000000006E-2</v>
      </c>
      <c r="F130" s="4" t="e">
        <f ca="1">_xll.cfyql_IndexAddFixings($B$1,D130,E130/100,TRUE,Trigger)</f>
        <v>#NAME?</v>
      </c>
    </row>
    <row r="131" spans="4:6" x14ac:dyDescent="0.2">
      <c r="D131" s="5">
        <v>42096</v>
      </c>
      <c r="E131" s="4">
        <v>8.5999999999999993E-2</v>
      </c>
      <c r="F131" s="4" t="e">
        <f ca="1">_xll.cfyql_IndexAddFixings($B$1,D131,E131/100,TRUE,Trigger)</f>
        <v>#NAME?</v>
      </c>
    </row>
    <row r="132" spans="4:6" x14ac:dyDescent="0.2">
      <c r="D132" s="5">
        <v>42095</v>
      </c>
      <c r="E132" s="4">
        <v>8.7999999999999995E-2</v>
      </c>
      <c r="F132" s="4" t="e">
        <f ca="1">_xll.cfyql_IndexAddFixings($B$1,D132,E132/100,TRUE,Trigger)</f>
        <v>#NAME?</v>
      </c>
    </row>
    <row r="133" spans="4:6" x14ac:dyDescent="0.2">
      <c r="D133" s="5">
        <v>42094</v>
      </c>
      <c r="E133" s="4">
        <v>8.6999999999999994E-2</v>
      </c>
      <c r="F133" s="4" t="e">
        <f ca="1">_xll.cfyql_IndexAddFixings($B$1,D133,E133/100,TRUE,Trigger)</f>
        <v>#NAME?</v>
      </c>
    </row>
    <row r="134" spans="4:6" x14ac:dyDescent="0.2">
      <c r="D134" s="5">
        <v>42093</v>
      </c>
      <c r="E134" s="4">
        <v>8.6999999999999994E-2</v>
      </c>
      <c r="F134" s="4" t="e">
        <f ca="1">_xll.cfyql_IndexAddFixings($B$1,D134,E134/100,TRUE,Trigger)</f>
        <v>#NAME?</v>
      </c>
    </row>
    <row r="135" spans="4:6" x14ac:dyDescent="0.2">
      <c r="D135" s="5">
        <v>42090</v>
      </c>
      <c r="E135" s="4">
        <v>8.7999999999999995E-2</v>
      </c>
      <c r="F135" s="4" t="e">
        <f ca="1">_xll.cfyql_IndexAddFixings($B$1,D135,E135/100,TRUE,Trigger)</f>
        <v>#NAME?</v>
      </c>
    </row>
    <row r="136" spans="4:6" x14ac:dyDescent="0.2">
      <c r="D136" s="5">
        <v>42089</v>
      </c>
      <c r="E136" s="4">
        <v>8.8999999999999996E-2</v>
      </c>
      <c r="F136" s="4" t="e">
        <f ca="1">_xll.cfyql_IndexAddFixings($B$1,D136,E136/100,TRUE,Trigger)</f>
        <v>#NAME?</v>
      </c>
    </row>
    <row r="137" spans="4:6" x14ac:dyDescent="0.2">
      <c r="D137" s="5">
        <v>42088</v>
      </c>
      <c r="E137" s="4">
        <v>8.7999999999999995E-2</v>
      </c>
      <c r="F137" s="4" t="e">
        <f ca="1">_xll.cfyql_IndexAddFixings($B$1,D137,E137/100,TRUE,Trigger)</f>
        <v>#NAME?</v>
      </c>
    </row>
    <row r="138" spans="4:6" x14ac:dyDescent="0.2">
      <c r="D138" s="5">
        <v>42087</v>
      </c>
      <c r="E138" s="4">
        <v>8.8999999999999996E-2</v>
      </c>
      <c r="F138" s="4" t="e">
        <f ca="1">_xll.cfyql_IndexAddFixings($B$1,D138,E138/100,TRUE,Trigger)</f>
        <v>#NAME?</v>
      </c>
    </row>
    <row r="139" spans="4:6" x14ac:dyDescent="0.2">
      <c r="D139" s="5">
        <v>42086</v>
      </c>
      <c r="E139" s="4">
        <v>8.8999999999999996E-2</v>
      </c>
      <c r="F139" s="4" t="e">
        <f ca="1">_xll.cfyql_IndexAddFixings($B$1,D139,E139/100,TRUE,Trigger)</f>
        <v>#NAME?</v>
      </c>
    </row>
    <row r="140" spans="4:6" x14ac:dyDescent="0.2">
      <c r="D140" s="5">
        <v>42083</v>
      </c>
      <c r="E140" s="4">
        <v>8.8999999999999996E-2</v>
      </c>
      <c r="F140" s="4" t="e">
        <f ca="1">_xll.cfyql_IndexAddFixings($B$1,D140,E140/100,TRUE,Trigger)</f>
        <v>#NAME?</v>
      </c>
    </row>
    <row r="141" spans="4:6" x14ac:dyDescent="0.2">
      <c r="D141" s="5">
        <v>42082</v>
      </c>
      <c r="E141" s="4">
        <v>9.4E-2</v>
      </c>
      <c r="F141" s="4" t="e">
        <f ca="1">_xll.cfyql_IndexAddFixings($B$1,D141,E141/100,TRUE,Trigger)</f>
        <v>#NAME?</v>
      </c>
    </row>
    <row r="142" spans="4:6" x14ac:dyDescent="0.2">
      <c r="D142" s="5">
        <v>42081</v>
      </c>
      <c r="E142" s="4">
        <v>9.6000000000000002E-2</v>
      </c>
      <c r="F142" s="4" t="e">
        <f ca="1">_xll.cfyql_IndexAddFixings($B$1,D142,E142/100,TRUE,Trigger)</f>
        <v>#NAME?</v>
      </c>
    </row>
    <row r="143" spans="4:6" x14ac:dyDescent="0.2">
      <c r="D143" s="5">
        <v>42080</v>
      </c>
      <c r="E143" s="4">
        <v>9.5000000000000001E-2</v>
      </c>
      <c r="F143" s="4" t="e">
        <f ca="1">_xll.cfyql_IndexAddFixings($B$1,D143,E143/100,TRUE,Trigger)</f>
        <v>#NAME?</v>
      </c>
    </row>
    <row r="144" spans="4:6" x14ac:dyDescent="0.2">
      <c r="D144" s="5">
        <v>42079</v>
      </c>
      <c r="E144" s="4">
        <v>9.6000000000000002E-2</v>
      </c>
      <c r="F144" s="4" t="e">
        <f ca="1">_xll.cfyql_IndexAddFixings($B$1,D144,E144/100,TRUE,Trigger)</f>
        <v>#NAME?</v>
      </c>
    </row>
    <row r="145" spans="4:6" x14ac:dyDescent="0.2">
      <c r="D145" s="5">
        <v>42076</v>
      </c>
      <c r="E145" s="4">
        <v>9.6000000000000002E-2</v>
      </c>
      <c r="F145" s="4" t="e">
        <f ca="1">_xll.cfyql_IndexAddFixings($B$1,D145,E145/100,TRUE,Trigger)</f>
        <v>#NAME?</v>
      </c>
    </row>
    <row r="146" spans="4:6" x14ac:dyDescent="0.2">
      <c r="D146" s="5">
        <v>42075</v>
      </c>
      <c r="E146" s="4">
        <v>9.8000000000000004E-2</v>
      </c>
      <c r="F146" s="4" t="e">
        <f ca="1">_xll.cfyql_IndexAddFixings($B$1,D146,E146/100,TRUE,Trigger)</f>
        <v>#NAME?</v>
      </c>
    </row>
    <row r="147" spans="4:6" x14ac:dyDescent="0.2">
      <c r="D147" s="5">
        <v>42074</v>
      </c>
      <c r="E147" s="4">
        <v>9.9000000000000005E-2</v>
      </c>
      <c r="F147" s="4" t="e">
        <f ca="1">_xll.cfyql_IndexAddFixings($B$1,D147,E147/100,TRUE,Trigger)</f>
        <v>#NAME?</v>
      </c>
    </row>
    <row r="148" spans="4:6" x14ac:dyDescent="0.2">
      <c r="D148" s="5">
        <v>42073</v>
      </c>
      <c r="E148" s="4">
        <v>0.10199999999999999</v>
      </c>
      <c r="F148" s="4" t="e">
        <f ca="1">_xll.cfyql_IndexAddFixings($B$1,D148,E148/100,TRUE,Trigger)</f>
        <v>#NAME?</v>
      </c>
    </row>
    <row r="149" spans="4:6" x14ac:dyDescent="0.2">
      <c r="D149" s="5">
        <v>42072</v>
      </c>
      <c r="E149" s="4">
        <v>0.105</v>
      </c>
      <c r="F149" s="4" t="e">
        <f ca="1">_xll.cfyql_IndexAddFixings($B$1,D149,E149/100,TRUE,Trigger)</f>
        <v>#NAME?</v>
      </c>
    </row>
    <row r="150" spans="4:6" x14ac:dyDescent="0.2">
      <c r="D150" s="5">
        <v>42069</v>
      </c>
      <c r="E150" s="4">
        <v>0.107</v>
      </c>
      <c r="F150" s="4" t="e">
        <f ca="1">_xll.cfyql_IndexAddFixings($B$1,D150,E150/100,TRUE,Trigger)</f>
        <v>#NAME?</v>
      </c>
    </row>
    <row r="151" spans="4:6" x14ac:dyDescent="0.2">
      <c r="D151" s="5">
        <v>42068</v>
      </c>
      <c r="E151" s="4">
        <v>0.108</v>
      </c>
      <c r="F151" s="4" t="e">
        <f ca="1">_xll.cfyql_IndexAddFixings($B$1,D151,E151/100,TRUE,Trigger)</f>
        <v>#NAME?</v>
      </c>
    </row>
    <row r="152" spans="4:6" x14ac:dyDescent="0.2">
      <c r="D152" s="5">
        <v>42067</v>
      </c>
      <c r="E152" s="4">
        <v>0.11</v>
      </c>
      <c r="F152" s="4" t="e">
        <f ca="1">_xll.cfyql_IndexAddFixings($B$1,D152,E152/100,TRUE,Trigger)</f>
        <v>#NAME?</v>
      </c>
    </row>
    <row r="153" spans="4:6" x14ac:dyDescent="0.2">
      <c r="D153" s="5">
        <v>42066</v>
      </c>
      <c r="E153" s="4">
        <v>0.109</v>
      </c>
      <c r="F153" s="4" t="e">
        <f ca="1">_xll.cfyql_IndexAddFixings($B$1,D153,E153/100,TRUE,Trigger)</f>
        <v>#NAME?</v>
      </c>
    </row>
    <row r="154" spans="4:6" x14ac:dyDescent="0.2">
      <c r="D154" s="5">
        <v>42065</v>
      </c>
      <c r="E154" s="4">
        <v>0.11</v>
      </c>
      <c r="F154" s="4" t="e">
        <f ca="1">_xll.cfyql_IndexAddFixings($B$1,D154,E154/100,TRUE,Trigger)</f>
        <v>#NAME?</v>
      </c>
    </row>
    <row r="155" spans="4:6" x14ac:dyDescent="0.2">
      <c r="D155" s="5">
        <v>41789</v>
      </c>
      <c r="E155" s="4">
        <v>0.39700000000000002</v>
      </c>
      <c r="F155" s="4" t="e">
        <f ca="1">_xll.cfyql_IndexAddFixings($B$1,D155,E155/100,TRUE,Trigger)</f>
        <v>#NAME?</v>
      </c>
    </row>
    <row r="156" spans="4:6" x14ac:dyDescent="0.2">
      <c r="D156" s="5">
        <v>41782</v>
      </c>
      <c r="E156" s="4">
        <v>0.40600000000000003</v>
      </c>
      <c r="F156" s="4" t="e">
        <f ca="1">_xll.cfyql_IndexAddFixings($B$1,D156,E156/100,TRUE,Trigger)</f>
        <v>#NAME?</v>
      </c>
    </row>
    <row r="157" spans="4:6" x14ac:dyDescent="0.2">
      <c r="D157" s="5">
        <v>41781</v>
      </c>
      <c r="E157" s="4">
        <v>0.40699999999999997</v>
      </c>
      <c r="F157" s="4" t="e">
        <f ca="1">_xll.cfyql_IndexAddFixings($B$1,D157,E157/100,TRUE,Trigger)</f>
        <v>#NAME?</v>
      </c>
    </row>
    <row r="158" spans="4:6" x14ac:dyDescent="0.2">
      <c r="D158" s="5"/>
      <c r="E158" s="4"/>
      <c r="F158" s="4" t="e">
        <f ca="1">_xll.cfyql_IndexAddFixings($B$1,D158,E158/100,TRUE,Trigger)</f>
        <v>#NAME?</v>
      </c>
    </row>
    <row r="159" spans="4:6" x14ac:dyDescent="0.2">
      <c r="D159" s="5"/>
      <c r="E159" s="4"/>
      <c r="F159" s="4" t="e">
        <f ca="1">_xll.cfyql_IndexAddFixings($B$1,D159,E159/100,TRUE,Trigger)</f>
        <v>#NAME?</v>
      </c>
    </row>
    <row r="160" spans="4:6" x14ac:dyDescent="0.2">
      <c r="D160" s="5"/>
      <c r="E160" s="4"/>
      <c r="F160" s="4" t="e">
        <f ca="1">_xll.cfyql_IndexAddFixings($B$1,D160,E160/100,TRUE,Trigger)</f>
        <v>#NAME?</v>
      </c>
    </row>
    <row r="161" spans="4:6" x14ac:dyDescent="0.2">
      <c r="D161" s="5"/>
      <c r="E161" s="4"/>
      <c r="F161" s="4" t="e">
        <f ca="1">_xll.cfyql_IndexAddFixings($B$1,D161,E161/100,TRUE,Trigger)</f>
        <v>#NAME?</v>
      </c>
    </row>
    <row r="162" spans="4:6" x14ac:dyDescent="0.2">
      <c r="D162" s="5"/>
      <c r="E162" s="4"/>
      <c r="F162" s="4" t="e">
        <f ca="1">_xll.cfyql_IndexAddFixings($B$1,D162,E162/100,TRUE,Trigger)</f>
        <v>#NAME?</v>
      </c>
    </row>
    <row r="163" spans="4:6" x14ac:dyDescent="0.2">
      <c r="D163" s="5"/>
      <c r="E163" s="4"/>
      <c r="F163" s="4" t="e">
        <f ca="1">_xll.cfyql_IndexAddFixings($B$1,D163,E163/100,TRUE,Trigger)</f>
        <v>#NAME?</v>
      </c>
    </row>
    <row r="164" spans="4:6" x14ac:dyDescent="0.2">
      <c r="D164" s="5"/>
      <c r="E164" s="4"/>
      <c r="F164" s="4" t="e">
        <f ca="1">_xll.cfyql_IndexAddFixings($B$1,D164,E164/100,TRUE,Trigger)</f>
        <v>#NAME?</v>
      </c>
    </row>
    <row r="165" spans="4:6" x14ac:dyDescent="0.2">
      <c r="D165" s="5"/>
      <c r="E165" s="4"/>
      <c r="F165" s="4" t="e">
        <f ca="1">_xll.cfyql_IndexAddFixings($B$1,D165,E165/100,TRUE,Trigger)</f>
        <v>#NAME?</v>
      </c>
    </row>
    <row r="166" spans="4:6" x14ac:dyDescent="0.2">
      <c r="D166" s="5"/>
      <c r="E166" s="4"/>
      <c r="F166" s="4" t="e">
        <f ca="1">_xll.cfyql_IndexAddFixings($B$1,D166,E166/100,TRUE,Trigger)</f>
        <v>#NAME?</v>
      </c>
    </row>
    <row r="167" spans="4:6" x14ac:dyDescent="0.2">
      <c r="D167" s="5"/>
      <c r="E167" s="4"/>
      <c r="F167" s="4" t="e">
        <f ca="1">_xll.cfyql_IndexAddFixings($B$1,D167,E167/100,TRUE,Trigger)</f>
        <v>#NAME?</v>
      </c>
    </row>
    <row r="168" spans="4:6" x14ac:dyDescent="0.2">
      <c r="D168" s="5"/>
      <c r="E168" s="4"/>
      <c r="F168" s="4" t="e">
        <f ca="1">_xll.cfyql_IndexAddFixings($B$1,D168,E168/100,TRUE,Trigger)</f>
        <v>#NAME?</v>
      </c>
    </row>
    <row r="169" spans="4:6" x14ac:dyDescent="0.2">
      <c r="D169" s="5"/>
      <c r="E169" s="4"/>
      <c r="F169" s="4" t="e">
        <f ca="1">_xll.cfyql_IndexAddFixings($B$1,D169,E169/100,TRUE,Trigger)</f>
        <v>#NAME?</v>
      </c>
    </row>
    <row r="170" spans="4:6" x14ac:dyDescent="0.2">
      <c r="D170" s="5"/>
      <c r="E170" s="4"/>
      <c r="F170" s="4" t="e">
        <f ca="1">_xll.cfyql_IndexAddFixings($B$1,D170,E170/100,TRUE,Trigger)</f>
        <v>#NAME?</v>
      </c>
    </row>
    <row r="171" spans="4:6" x14ac:dyDescent="0.2">
      <c r="D171" s="5"/>
      <c r="E171" s="4"/>
      <c r="F171" s="4" t="e">
        <f ca="1">_xll.cfyql_IndexAddFixings($B$1,D171,E171/100,TRUE,Trigger)</f>
        <v>#NAME?</v>
      </c>
    </row>
    <row r="172" spans="4:6" x14ac:dyDescent="0.2">
      <c r="D172" s="5"/>
      <c r="E172" s="4"/>
      <c r="F172" s="4" t="e">
        <f ca="1">_xll.cfyql_IndexAddFixings($B$1,D172,E172/100,TRUE,Trigger)</f>
        <v>#NAME?</v>
      </c>
    </row>
    <row r="173" spans="4:6" x14ac:dyDescent="0.2">
      <c r="D173" s="5"/>
      <c r="E173" s="4"/>
      <c r="F173" s="4" t="e">
        <f ca="1">_xll.cfyql_IndexAddFixings($B$1,D173,E173/100,TRUE,Trigger)</f>
        <v>#NAME?</v>
      </c>
    </row>
    <row r="174" spans="4:6" x14ac:dyDescent="0.2">
      <c r="D174" s="5"/>
      <c r="E174" s="4"/>
      <c r="F174" s="4" t="e">
        <f ca="1">_xll.cfyql_IndexAddFixings($B$1,D174,E174/100,TRUE,Trigger)</f>
        <v>#NAME?</v>
      </c>
    </row>
    <row r="175" spans="4:6" x14ac:dyDescent="0.2">
      <c r="D175" s="5"/>
      <c r="E175" s="4"/>
      <c r="F175" s="4" t="e">
        <f ca="1">_xll.cfyql_IndexAddFixings($B$1,D175,E175/100,TRUE,Trigger)</f>
        <v>#NAME?</v>
      </c>
    </row>
    <row r="176" spans="4:6" x14ac:dyDescent="0.2">
      <c r="D176" s="5"/>
      <c r="E176" s="4"/>
      <c r="F176" s="4" t="e">
        <f ca="1">_xll.cfyql_IndexAddFixings($B$1,D176,E176/100,TRUE,Trigger)</f>
        <v>#NAME?</v>
      </c>
    </row>
    <row r="177" spans="4:6" x14ac:dyDescent="0.2">
      <c r="D177" s="5"/>
      <c r="E177" s="4"/>
      <c r="F177" s="4" t="e">
        <f ca="1">_xll.cfyql_IndexAddFixings($B$1,D177,E177/100,TRUE,Trigger)</f>
        <v>#NAME?</v>
      </c>
    </row>
    <row r="178" spans="4:6" x14ac:dyDescent="0.2">
      <c r="D178" s="5"/>
      <c r="E178" s="4"/>
      <c r="F178" s="4" t="e">
        <f ca="1">_xll.cfyql_IndexAddFixings($B$1,D178,E178/100,TRUE,Trigger)</f>
        <v>#NAME?</v>
      </c>
    </row>
    <row r="179" spans="4:6" x14ac:dyDescent="0.2">
      <c r="D179" s="5"/>
      <c r="E179" s="4"/>
      <c r="F179" s="4" t="e">
        <f ca="1">_xll.cfyql_IndexAddFixings($B$1,D179,E179/100,TRUE,Trigger)</f>
        <v>#NAME?</v>
      </c>
    </row>
    <row r="180" spans="4:6" x14ac:dyDescent="0.2">
      <c r="D180" s="5"/>
      <c r="E180" s="4"/>
      <c r="F180" s="4" t="e">
        <f ca="1">_xll.cfyql_IndexAddFixings($B$1,D180,E180/100,TRUE,Trigger)</f>
        <v>#NAME?</v>
      </c>
    </row>
    <row r="181" spans="4:6" x14ac:dyDescent="0.2">
      <c r="D181" s="5"/>
      <c r="E181" s="4"/>
      <c r="F181" s="4" t="e">
        <f ca="1">_xll.cfyql_IndexAddFixings($B$1,D181,E181/100,TRUE,Trigger)</f>
        <v>#NAME?</v>
      </c>
    </row>
    <row r="182" spans="4:6" x14ac:dyDescent="0.2">
      <c r="D182" s="5"/>
      <c r="E182" s="4"/>
      <c r="F182" s="4" t="e">
        <f ca="1">_xll.cfyql_IndexAddFixings($B$1,D182,E182/100,TRUE,Trigger)</f>
        <v>#NAME?</v>
      </c>
    </row>
    <row r="183" spans="4:6" x14ac:dyDescent="0.2">
      <c r="D183" s="5"/>
      <c r="E183" s="4"/>
      <c r="F183" s="4" t="e">
        <f ca="1">_xll.cfyql_IndexAddFixings($B$1,D183,E183/100,TRUE,Trigger)</f>
        <v>#NAME?</v>
      </c>
    </row>
    <row r="184" spans="4:6" x14ac:dyDescent="0.2">
      <c r="D184" s="5"/>
      <c r="E184" s="4"/>
      <c r="F184" s="4" t="e">
        <f ca="1">_xll.cfyql_IndexAddFixings($B$1,D184,E184/100,TRUE,Trigger)</f>
        <v>#NAME?</v>
      </c>
    </row>
    <row r="185" spans="4:6" x14ac:dyDescent="0.2">
      <c r="D185" s="5"/>
      <c r="E185" s="4"/>
      <c r="F185" s="4" t="e">
        <f ca="1">_xll.cfyql_IndexAddFixings($B$1,D185,E185/100,TRUE,Trigger)</f>
        <v>#NAME?</v>
      </c>
    </row>
    <row r="186" spans="4:6" x14ac:dyDescent="0.2">
      <c r="D186" s="5"/>
      <c r="E186" s="4"/>
      <c r="F186" s="4" t="e">
        <f ca="1">_xll.cfyql_IndexAddFixings($B$1,D186,E186/100,TRUE,Trigger)</f>
        <v>#NAME?</v>
      </c>
    </row>
    <row r="187" spans="4:6" x14ac:dyDescent="0.2">
      <c r="D187" s="5"/>
      <c r="E187" s="4"/>
      <c r="F187" s="4" t="e">
        <f ca="1">_xll.cfyql_IndexAddFixings($B$1,D187,E187/100,TRUE,Trigger)</f>
        <v>#NAME?</v>
      </c>
    </row>
    <row r="188" spans="4:6" x14ac:dyDescent="0.2">
      <c r="D188" s="5"/>
      <c r="E188" s="4"/>
      <c r="F188" s="4" t="e">
        <f ca="1">_xll.cfyql_IndexAddFixings($B$1,D188,E188/100,TRUE,Trigger)</f>
        <v>#NAME?</v>
      </c>
    </row>
    <row r="189" spans="4:6" x14ac:dyDescent="0.2">
      <c r="D189" s="5"/>
      <c r="E189" s="4"/>
      <c r="F189" s="4" t="e">
        <f ca="1">_xll.cfyql_IndexAddFixings($B$1,D189,E189/100,TRUE,Trigger)</f>
        <v>#NAME?</v>
      </c>
    </row>
    <row r="190" spans="4:6" x14ac:dyDescent="0.2">
      <c r="D190" s="5"/>
      <c r="E190" s="4"/>
      <c r="F190" s="4" t="e">
        <f ca="1">_xll.cfyql_IndexAddFixings($B$1,D190,E190/100,TRUE,Trigger)</f>
        <v>#NAME?</v>
      </c>
    </row>
    <row r="191" spans="4:6" x14ac:dyDescent="0.2">
      <c r="D191" s="5"/>
      <c r="E191" s="4"/>
      <c r="F191" s="4" t="e">
        <f ca="1">_xll.cfyql_IndexAddFixings($B$1,D191,E191/100,TRUE,Trigger)</f>
        <v>#NAME?</v>
      </c>
    </row>
    <row r="192" spans="4:6" x14ac:dyDescent="0.2">
      <c r="D192" s="5"/>
      <c r="E192" s="4"/>
      <c r="F192" s="4" t="e">
        <f ca="1">_xll.cfyql_IndexAddFixings($B$1,D192,E192/100,TRUE,Trigger)</f>
        <v>#NAME?</v>
      </c>
    </row>
    <row r="193" spans="4:6" x14ac:dyDescent="0.2">
      <c r="D193" s="5"/>
      <c r="E193" s="4"/>
      <c r="F193" s="4" t="e">
        <f ca="1">_xll.cfyql_IndexAddFixings($B$1,D193,E193/100,TRUE,Trigger)</f>
        <v>#NAME?</v>
      </c>
    </row>
    <row r="194" spans="4:6" x14ac:dyDescent="0.2">
      <c r="D194" s="5"/>
      <c r="E194" s="4"/>
      <c r="F194" s="4" t="e">
        <f ca="1">_xll.cfyql_IndexAddFixings($B$1,D194,E194/100,TRUE,Trigger)</f>
        <v>#NAME?</v>
      </c>
    </row>
    <row r="195" spans="4:6" x14ac:dyDescent="0.2">
      <c r="D195" s="5"/>
      <c r="E195" s="4"/>
      <c r="F195" s="4" t="e">
        <f ca="1">_xll.cfyql_IndexAddFixings($B$1,D195,E195/100,TRUE,Trigger)</f>
        <v>#NAME?</v>
      </c>
    </row>
    <row r="196" spans="4:6" x14ac:dyDescent="0.2">
      <c r="D196" s="5"/>
      <c r="E196" s="4"/>
      <c r="F196" s="4" t="e">
        <f ca="1">_xll.cfyql_IndexAddFixings($B$1,D196,E196/100,TRUE,Trigger)</f>
        <v>#NAME?</v>
      </c>
    </row>
    <row r="197" spans="4:6" x14ac:dyDescent="0.2">
      <c r="D197" s="5"/>
      <c r="E197" s="4"/>
      <c r="F197" s="4" t="e">
        <f ca="1">_xll.cfyql_IndexAddFixings($B$1,D197,E197/100,TRUE,Trigger)</f>
        <v>#NAME?</v>
      </c>
    </row>
    <row r="198" spans="4:6" x14ac:dyDescent="0.2">
      <c r="D198" s="5"/>
      <c r="E198" s="4"/>
      <c r="F198" s="4" t="e">
        <f ca="1">_xll.cfyql_IndexAddFixings($B$1,D198,E198/100,TRUE,Trigger)</f>
        <v>#NAME?</v>
      </c>
    </row>
    <row r="199" spans="4:6" x14ac:dyDescent="0.2">
      <c r="D199" s="5"/>
      <c r="E199" s="4"/>
      <c r="F199" s="4" t="e">
        <f ca="1">_xll.cfyql_IndexAddFixings($B$1,D199,E199/100,TRUE,Trigger)</f>
        <v>#NAME?</v>
      </c>
    </row>
    <row r="200" spans="4:6" x14ac:dyDescent="0.2">
      <c r="D200" s="5"/>
      <c r="E200" s="4"/>
      <c r="F200" s="4" t="e">
        <f ca="1">_xll.cfyql_IndexAddFixings($B$1,D200,E200/100,TRUE,Trigger)</f>
        <v>#NAME?</v>
      </c>
    </row>
    <row r="201" spans="4:6" x14ac:dyDescent="0.2">
      <c r="D201" s="5"/>
      <c r="E201" s="4"/>
      <c r="F201" s="4" t="e">
        <f ca="1">_xll.cfyql_IndexAddFixings($B$1,D201,E201/100,TRUE,Trigger)</f>
        <v>#NAME?</v>
      </c>
    </row>
    <row r="202" spans="4:6" x14ac:dyDescent="0.2">
      <c r="D202" s="5"/>
      <c r="E202" s="4"/>
      <c r="F202" s="4" t="e">
        <f ca="1">_xll.cfyql_IndexAddFixings($B$1,D202,E202/100,TRUE,Trigger)</f>
        <v>#NAME?</v>
      </c>
    </row>
    <row r="203" spans="4:6" x14ac:dyDescent="0.2">
      <c r="D203" s="5"/>
      <c r="E203" s="4"/>
      <c r="F203" s="4" t="e">
        <f ca="1">_xll.cfyql_IndexAddFixings($B$1,D203,E203/100,TRUE,Trigger)</f>
        <v>#NAME?</v>
      </c>
    </row>
    <row r="204" spans="4:6" x14ac:dyDescent="0.2">
      <c r="D204" s="5"/>
      <c r="E204" s="4"/>
      <c r="F204" s="4" t="e">
        <f ca="1">_xll.cfyql_IndexAddFixings($B$1,D204,E204/100,TRUE,Trigger)</f>
        <v>#NAME?</v>
      </c>
    </row>
    <row r="205" spans="4:6" x14ac:dyDescent="0.2">
      <c r="D205" s="5"/>
      <c r="E205" s="4"/>
      <c r="F205" s="4" t="e">
        <f ca="1">_xll.cfyql_IndexAddFixings($B$1,D205,E205/100,TRUE,Trigger)</f>
        <v>#NAME?</v>
      </c>
    </row>
    <row r="206" spans="4:6" x14ac:dyDescent="0.2">
      <c r="D206" s="5"/>
      <c r="E206" s="4"/>
      <c r="F206" s="4" t="e">
        <f ca="1">_xll.cfyql_IndexAddFixings($B$1,D206,E206/100,TRUE,Trigger)</f>
        <v>#NAME?</v>
      </c>
    </row>
    <row r="207" spans="4:6" x14ac:dyDescent="0.2">
      <c r="D207" s="5"/>
      <c r="E207" s="4"/>
      <c r="F207" s="4" t="e">
        <f ca="1">_xll.cfyql_IndexAddFixings($B$1,D207,E207/100,TRUE,Trigger)</f>
        <v>#NAME?</v>
      </c>
    </row>
    <row r="208" spans="4:6" x14ac:dyDescent="0.2">
      <c r="D208" s="5"/>
      <c r="E208" s="4"/>
      <c r="F208" s="4" t="e">
        <f ca="1">_xll.cfyql_IndexAddFixings($B$1,D208,E208/100,TRUE,Trigger)</f>
        <v>#NAME?</v>
      </c>
    </row>
    <row r="209" spans="4:6" x14ac:dyDescent="0.2">
      <c r="D209" s="5"/>
      <c r="E209" s="4"/>
      <c r="F209" s="4" t="e">
        <f ca="1">_xll.cfyql_IndexAddFixings($B$1,D209,E209/100,TRUE,Trigger)</f>
        <v>#NAME?</v>
      </c>
    </row>
    <row r="210" spans="4:6" x14ac:dyDescent="0.2">
      <c r="D210" s="5"/>
      <c r="E210" s="4"/>
      <c r="F210" s="4" t="e">
        <f ca="1">_xll.cfyql_IndexAddFixings($B$1,D210,E210/100,TRUE,Trigger)</f>
        <v>#NAME?</v>
      </c>
    </row>
    <row r="211" spans="4:6" x14ac:dyDescent="0.2">
      <c r="D211" s="5"/>
      <c r="E211" s="4"/>
      <c r="F211" s="4" t="e">
        <f ca="1">_xll.cfyql_IndexAddFixings($B$1,D211,E211/100,TRUE,Trigger)</f>
        <v>#NAME?</v>
      </c>
    </row>
    <row r="212" spans="4:6" x14ac:dyDescent="0.2">
      <c r="D212" s="5"/>
      <c r="E212" s="4"/>
      <c r="F212" s="4" t="e">
        <f ca="1">_xll.cfyql_IndexAddFixings($B$1,D212,E212/100,TRUE,Trigger)</f>
        <v>#NAME?</v>
      </c>
    </row>
    <row r="213" spans="4:6" x14ac:dyDescent="0.2">
      <c r="D213" s="5"/>
      <c r="E213" s="4"/>
      <c r="F213" s="4" t="e">
        <f ca="1">_xll.cfyql_IndexAddFixings($B$1,D213,E213/100,TRUE,Trigger)</f>
        <v>#NAME?</v>
      </c>
    </row>
    <row r="214" spans="4:6" x14ac:dyDescent="0.2">
      <c r="D214" s="5"/>
      <c r="E214" s="4"/>
      <c r="F214" s="4" t="e">
        <f ca="1">_xll.cfyql_IndexAddFixings($B$1,D214,E214/100,TRUE,Trigger)</f>
        <v>#NAME?</v>
      </c>
    </row>
    <row r="215" spans="4:6" x14ac:dyDescent="0.2">
      <c r="D215" s="5"/>
      <c r="E215" s="4"/>
      <c r="F215" s="4" t="e">
        <f ca="1">_xll.cfyql_IndexAddFixings($B$1,D215,E215/100,TRUE,Trigger)</f>
        <v>#NAME?</v>
      </c>
    </row>
    <row r="216" spans="4:6" x14ac:dyDescent="0.2">
      <c r="D216" s="5"/>
      <c r="E216" s="4"/>
      <c r="F216" s="4" t="e">
        <f ca="1">_xll.cfyql_IndexAddFixings($B$1,D216,E216/100,TRUE,Trigger)</f>
        <v>#NAME?</v>
      </c>
    </row>
    <row r="217" spans="4:6" x14ac:dyDescent="0.2">
      <c r="D217" s="5"/>
      <c r="E217" s="4"/>
      <c r="F217" s="4" t="e">
        <f ca="1">_xll.cfyql_IndexAddFixings($B$1,D217,E217/100,TRUE,Trigger)</f>
        <v>#NAME?</v>
      </c>
    </row>
    <row r="218" spans="4:6" x14ac:dyDescent="0.2">
      <c r="D218" s="5"/>
      <c r="E218" s="4"/>
      <c r="F218" s="4" t="e">
        <f ca="1">_xll.cfyql_IndexAddFixings($B$1,D218,E218/100,TRUE,Trigger)</f>
        <v>#NAME?</v>
      </c>
    </row>
    <row r="219" spans="4:6" x14ac:dyDescent="0.2">
      <c r="D219" s="5"/>
      <c r="E219" s="4"/>
      <c r="F219" s="4" t="e">
        <f ca="1">_xll.cfyql_IndexAddFixings($B$1,D219,E219/100,TRUE,Trigger)</f>
        <v>#NAME?</v>
      </c>
    </row>
    <row r="220" spans="4:6" x14ac:dyDescent="0.2">
      <c r="D220" s="5"/>
      <c r="E220" s="4"/>
      <c r="F220" s="4" t="e">
        <f ca="1">_xll.cfyql_IndexAddFixings($B$1,D220,E220/100,TRUE,Trigger)</f>
        <v>#NAME?</v>
      </c>
    </row>
    <row r="221" spans="4:6" x14ac:dyDescent="0.2">
      <c r="D221" s="5"/>
      <c r="E221" s="4"/>
      <c r="F221" s="4" t="e">
        <f ca="1">_xll.cfyql_IndexAddFixings($B$1,D221,E221/100,TRUE,Trigger)</f>
        <v>#NAME?</v>
      </c>
    </row>
    <row r="222" spans="4:6" x14ac:dyDescent="0.2">
      <c r="D222" s="5"/>
      <c r="E222" s="4"/>
      <c r="F222" s="4" t="e">
        <f ca="1">_xll.cfyql_IndexAddFixings($B$1,D222,E222/100,TRUE,Trigger)</f>
        <v>#NAME?</v>
      </c>
    </row>
    <row r="223" spans="4:6" x14ac:dyDescent="0.2">
      <c r="D223" s="5"/>
      <c r="E223" s="4"/>
      <c r="F223" s="4" t="e">
        <f ca="1">_xll.cfyql_IndexAddFixings($B$1,D223,E223/100,TRUE,Trigger)</f>
        <v>#NAME?</v>
      </c>
    </row>
    <row r="224" spans="4:6" x14ac:dyDescent="0.2">
      <c r="D224" s="5"/>
      <c r="E224" s="4"/>
      <c r="F224" s="4" t="e">
        <f ca="1">_xll.cfyql_IndexAddFixings($B$1,D224,E224/100,TRUE,Trigger)</f>
        <v>#NAME?</v>
      </c>
    </row>
    <row r="225" spans="4:6" x14ac:dyDescent="0.2">
      <c r="D225" s="5"/>
      <c r="E225" s="4"/>
      <c r="F225" s="4" t="e">
        <f ca="1">_xll.cfyql_IndexAddFixings($B$1,D225,E225/100,TRUE,Trigger)</f>
        <v>#NAME?</v>
      </c>
    </row>
    <row r="226" spans="4:6" x14ac:dyDescent="0.2">
      <c r="D226" s="5"/>
      <c r="E226" s="4"/>
      <c r="F226" s="4" t="e">
        <f ca="1">_xll.cfyql_IndexAddFixings($B$1,D226,E226/100,TRUE,Trigger)</f>
        <v>#NAME?</v>
      </c>
    </row>
    <row r="227" spans="4:6" x14ac:dyDescent="0.2">
      <c r="D227" s="5"/>
      <c r="E227" s="4"/>
      <c r="F227" s="4" t="e">
        <f ca="1">_xll.cfyql_IndexAddFixings($B$1,D227,E227/100,TRUE,Trigger)</f>
        <v>#NAME?</v>
      </c>
    </row>
    <row r="228" spans="4:6" x14ac:dyDescent="0.2">
      <c r="D228" s="5"/>
      <c r="E228" s="4"/>
      <c r="F228" s="4" t="e">
        <f ca="1">_xll.cfyql_IndexAddFixings($B$1,D228,E228/100,TRUE,Trigger)</f>
        <v>#NAME?</v>
      </c>
    </row>
    <row r="229" spans="4:6" x14ac:dyDescent="0.2">
      <c r="D229" s="5"/>
      <c r="E229" s="4"/>
      <c r="F229" s="4" t="e">
        <f ca="1">_xll.cfyql_IndexAddFixings($B$1,D229,E229/100,TRUE,Trigger)</f>
        <v>#NAME?</v>
      </c>
    </row>
    <row r="230" spans="4:6" x14ac:dyDescent="0.2">
      <c r="D230" s="5"/>
      <c r="E230" s="4"/>
      <c r="F230" s="4" t="e">
        <f ca="1">_xll.cfyql_IndexAddFixings($B$1,D230,E230/100,TRUE,Trigger)</f>
        <v>#NAME?</v>
      </c>
    </row>
    <row r="231" spans="4:6" x14ac:dyDescent="0.2">
      <c r="D231" s="5"/>
      <c r="E231" s="4"/>
      <c r="F231" s="4" t="e">
        <f ca="1">_xll.cfyql_IndexAddFixings($B$1,D231,E231/100,TRUE,Trigger)</f>
        <v>#NAME?</v>
      </c>
    </row>
    <row r="232" spans="4:6" x14ac:dyDescent="0.2">
      <c r="D232" s="5"/>
      <c r="E232" s="4"/>
      <c r="F232" s="4" t="e">
        <f ca="1">_xll.cfyql_IndexAddFixings($B$1,D232,E232/100,TRUE,Trigger)</f>
        <v>#NAME?</v>
      </c>
    </row>
    <row r="233" spans="4:6" x14ac:dyDescent="0.2">
      <c r="D233" s="5"/>
      <c r="E233" s="4"/>
      <c r="F233" s="4" t="e">
        <f ca="1">_xll.cfyql_IndexAddFixings($B$1,D233,E233/100,TRUE,Trigger)</f>
        <v>#NAME?</v>
      </c>
    </row>
    <row r="234" spans="4:6" x14ac:dyDescent="0.2">
      <c r="D234" s="5"/>
      <c r="E234" s="4"/>
      <c r="F234" s="4" t="e">
        <f ca="1">_xll.cfyql_IndexAddFixings($B$1,D234,E234/100,TRUE,Trigger)</f>
        <v>#NAME?</v>
      </c>
    </row>
    <row r="235" spans="4:6" x14ac:dyDescent="0.2">
      <c r="D235" s="5"/>
      <c r="E235" s="4"/>
      <c r="F235" s="4" t="e">
        <f ca="1">_xll.cfyql_IndexAddFixings($B$1,D235,E235/100,TRUE,Trigger)</f>
        <v>#NAME?</v>
      </c>
    </row>
    <row r="236" spans="4:6" x14ac:dyDescent="0.2">
      <c r="D236" s="5"/>
      <c r="E236" s="4"/>
      <c r="F236" s="4" t="e">
        <f ca="1">_xll.cfyql_IndexAddFixings($B$1,D236,E236/100,TRUE,Trigger)</f>
        <v>#NAME?</v>
      </c>
    </row>
    <row r="237" spans="4:6" x14ac:dyDescent="0.2">
      <c r="D237" s="5"/>
      <c r="E237" s="4"/>
      <c r="F237" s="4" t="e">
        <f ca="1">_xll.cfyql_IndexAddFixings($B$1,D237,E237/100,TRUE,Trigger)</f>
        <v>#NAME?</v>
      </c>
    </row>
    <row r="238" spans="4:6" x14ac:dyDescent="0.2">
      <c r="D238" s="5"/>
      <c r="E238" s="4"/>
      <c r="F238" s="4" t="e">
        <f ca="1">_xll.cfyql_IndexAddFixings($B$1,D238,E238/100,TRUE,Trigger)</f>
        <v>#NAME?</v>
      </c>
    </row>
    <row r="239" spans="4:6" x14ac:dyDescent="0.2">
      <c r="D239" s="5"/>
      <c r="E239" s="4"/>
      <c r="F239" s="4" t="e">
        <f ca="1">_xll.cfyql_IndexAddFixings($B$1,D239,E239/100,TRUE,Trigger)</f>
        <v>#NAME?</v>
      </c>
    </row>
    <row r="240" spans="4:6" x14ac:dyDescent="0.2">
      <c r="D240" s="5"/>
      <c r="E240" s="4"/>
      <c r="F240" s="4" t="e">
        <f ca="1">_xll.cfyql_IndexAddFixings($B$1,D240,E240/100,TRUE,Trigger)</f>
        <v>#NAME?</v>
      </c>
    </row>
    <row r="241" spans="4:6" x14ac:dyDescent="0.2">
      <c r="D241" s="5"/>
      <c r="E241" s="4"/>
      <c r="F241" s="4" t="e">
        <f ca="1">_xll.cfyql_IndexAddFixings($B$1,D241,E241/100,TRUE,Trigger)</f>
        <v>#NAME?</v>
      </c>
    </row>
    <row r="242" spans="4:6" x14ac:dyDescent="0.2">
      <c r="D242" s="5"/>
      <c r="E242" s="4"/>
      <c r="F242" s="4" t="e">
        <f ca="1">_xll.cfyql_IndexAddFixings($B$1,D242,E242/100,TRUE,Trigger)</f>
        <v>#NAME?</v>
      </c>
    </row>
    <row r="243" spans="4:6" x14ac:dyDescent="0.2">
      <c r="D243" s="5"/>
      <c r="E243" s="4"/>
      <c r="F243" s="4" t="e">
        <f ca="1">_xll.cfyql_IndexAddFixings($B$1,D243,E243/100,TRUE,Trigger)</f>
        <v>#NAME?</v>
      </c>
    </row>
    <row r="244" spans="4:6" x14ac:dyDescent="0.2">
      <c r="D244" s="5"/>
      <c r="E244" s="4"/>
      <c r="F244" s="4" t="e">
        <f ca="1">_xll.cfyql_IndexAddFixings($B$1,D244,E244/100,TRUE,Trigger)</f>
        <v>#NAME?</v>
      </c>
    </row>
    <row r="245" spans="4:6" x14ac:dyDescent="0.2">
      <c r="D245" s="5"/>
      <c r="E245" s="4"/>
      <c r="F245" s="4" t="e">
        <f ca="1">_xll.cfyql_IndexAddFixings($B$1,D245,E245/100,TRUE,Trigger)</f>
        <v>#NAME?</v>
      </c>
    </row>
    <row r="246" spans="4:6" x14ac:dyDescent="0.2">
      <c r="D246" s="5"/>
      <c r="E246" s="4"/>
      <c r="F246" s="4" t="e">
        <f ca="1">_xll.cfyql_IndexAddFixings($B$1,D246,E246/100,TRUE,Trigger)</f>
        <v>#NAME?</v>
      </c>
    </row>
    <row r="247" spans="4:6" x14ac:dyDescent="0.2">
      <c r="D247" s="5"/>
      <c r="E247" s="4"/>
      <c r="F247" s="4" t="e">
        <f ca="1">_xll.cfyql_IndexAddFixings($B$1,D247,E247/100,TRUE,Trigger)</f>
        <v>#NAME?</v>
      </c>
    </row>
    <row r="248" spans="4:6" x14ac:dyDescent="0.2">
      <c r="D248" s="5"/>
      <c r="E248" s="4"/>
      <c r="F248" s="4" t="e">
        <f ca="1">_xll.cfyql_IndexAddFixings($B$1,D248,E248/100,TRUE,Trigger)</f>
        <v>#NAME?</v>
      </c>
    </row>
    <row r="249" spans="4:6" x14ac:dyDescent="0.2">
      <c r="D249" s="5"/>
      <c r="E249" s="4"/>
      <c r="F249" s="4" t="e">
        <f ca="1">_xll.cfyql_IndexAddFixings($B$1,D249,E249/100,TRUE,Trigger)</f>
        <v>#NAME?</v>
      </c>
    </row>
    <row r="250" spans="4:6" x14ac:dyDescent="0.2">
      <c r="D250" s="5"/>
      <c r="E250" s="4"/>
      <c r="F250" s="4" t="e">
        <f ca="1">_xll.cfyql_IndexAddFixings($B$1,D250,E250/100,TRUE,Trigger)</f>
        <v>#NAME?</v>
      </c>
    </row>
    <row r="251" spans="4:6" x14ac:dyDescent="0.2">
      <c r="D251" s="5"/>
      <c r="E251" s="4"/>
      <c r="F251" s="4" t="e">
        <f ca="1">_xll.cfyql_IndexAddFixings($B$1,D251,E251/100,TRUE,Trigger)</f>
        <v>#NAME?</v>
      </c>
    </row>
    <row r="252" spans="4:6" x14ac:dyDescent="0.2">
      <c r="D252" s="5"/>
      <c r="E252" s="4"/>
      <c r="F252" s="4" t="e">
        <f ca="1">_xll.cfyql_IndexAddFixings($B$1,D252,E252/100,TRUE,Trigger)</f>
        <v>#NAME?</v>
      </c>
    </row>
    <row r="253" spans="4:6" x14ac:dyDescent="0.2">
      <c r="D253" s="5"/>
      <c r="E253" s="4"/>
      <c r="F253" s="4" t="e">
        <f ca="1">_xll.cfyql_IndexAddFixings($B$1,D253,E253/100,TRUE,Trigger)</f>
        <v>#NAME?</v>
      </c>
    </row>
    <row r="254" spans="4:6" x14ac:dyDescent="0.2">
      <c r="D254" s="5"/>
      <c r="E254" s="4"/>
      <c r="F254" s="4" t="e">
        <f ca="1">_xll.cfyql_IndexAddFixings($B$1,D254,E254/100,TRUE,Trigger)</f>
        <v>#NAME?</v>
      </c>
    </row>
    <row r="255" spans="4:6" x14ac:dyDescent="0.2">
      <c r="D255" s="5"/>
      <c r="E255" s="4"/>
      <c r="F255" s="4" t="e">
        <f ca="1">_xll.cfyql_IndexAddFixings($B$1,D255,E255/100,TRUE,Trigger)</f>
        <v>#NAME?</v>
      </c>
    </row>
    <row r="256" spans="4:6" x14ac:dyDescent="0.2">
      <c r="D256" s="5"/>
      <c r="E256" s="4"/>
      <c r="F256" s="4" t="e">
        <f ca="1">_xll.cfyql_IndexAddFixings($B$1,D256,E256/100,TRUE,Trigger)</f>
        <v>#NAME?</v>
      </c>
    </row>
    <row r="257" spans="4:6" x14ac:dyDescent="0.2">
      <c r="D257" s="5"/>
      <c r="E257" s="4"/>
      <c r="F257" s="4" t="e">
        <f ca="1">_xll.cfyql_IndexAddFixings($B$1,D257,E257/100,TRUE,Trigger)</f>
        <v>#NAME?</v>
      </c>
    </row>
    <row r="258" spans="4:6" x14ac:dyDescent="0.2">
      <c r="D258" s="5"/>
      <c r="E258" s="4"/>
      <c r="F258" s="4" t="e">
        <f ca="1">_xll.cfyql_IndexAddFixings($B$1,D258,E258/100,TRUE,Trigger)</f>
        <v>#NAME?</v>
      </c>
    </row>
    <row r="259" spans="4:6" x14ac:dyDescent="0.2">
      <c r="D259" s="5"/>
      <c r="E259" s="4"/>
      <c r="F259" s="4" t="e">
        <f ca="1">_xll.cfyql_IndexAddFixings($B$1,D259,E259/100,TRUE,Trigger)</f>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0" t="s">
        <v>529</v>
      </c>
      <c r="I2" s="1365" t="e">
        <f ca="1">_xll.cfyql_Trigger('General Settings'!Trigger,EvaluationDate,EuriborSwapIsdaFixA!Trigger2)</f>
        <v>#NAME?</v>
      </c>
    </row>
    <row r="3" spans="1:15" ht="15.75" thickBot="1" x14ac:dyDescent="0.3">
      <c r="A3" s="16" t="s">
        <v>11</v>
      </c>
      <c r="B3" s="22" t="e">
        <f ca="1">_xll.cfyql_CalendarAdvance("TARGET",B4,"-13M","f",FALSE,Trigger)</f>
        <v>#NAME?</v>
      </c>
      <c r="D3" s="21" t="e">
        <f ca="1">_xll.RHistory(B2,B7:B8,B5,,"CH:In;Fd TSREPEAT:N SORT:"&amp;B6,D4)</f>
        <v>#NAME?</v>
      </c>
      <c r="E3" s="21"/>
      <c r="H3" s="1361" t="s">
        <v>530</v>
      </c>
      <c r="I3" s="1364" t="e">
        <f ca="1">_xll.cfyql_Trigger(F6:F280)</f>
        <v>#NAME?</v>
      </c>
    </row>
    <row r="4" spans="1:15" x14ac:dyDescent="0.2">
      <c r="A4" s="16" t="s">
        <v>10</v>
      </c>
      <c r="B4" s="15" t="e">
        <f ca="1">_xll.cfyql_SettingsEvaluationDate()</f>
        <v>#NAME?</v>
      </c>
      <c r="D4" s="20" t="s">
        <v>9</v>
      </c>
      <c r="E4" s="20" t="s">
        <v>9</v>
      </c>
    </row>
    <row r="5" spans="1:15" ht="24" customHeight="1" x14ac:dyDescent="0.2">
      <c r="A5" s="16" t="s">
        <v>8</v>
      </c>
      <c r="B5" s="19" t="e">
        <f ca="1">"START:"&amp;B3&amp; " END:"&amp;B4&amp;" INTERVAL:1D"</f>
        <v>#NAME?</v>
      </c>
      <c r="D5" s="18" t="s">
        <v>7</v>
      </c>
      <c r="E5" s="18" t="s">
        <v>6</v>
      </c>
      <c r="F5" s="17" t="s">
        <v>5</v>
      </c>
    </row>
    <row r="6" spans="1:15" ht="15" x14ac:dyDescent="0.25">
      <c r="A6" s="16" t="s">
        <v>4</v>
      </c>
      <c r="B6" s="15" t="s">
        <v>3</v>
      </c>
      <c r="D6" s="14">
        <v>42277</v>
      </c>
      <c r="E6" s="13">
        <v>-5.6000000000000001E-2</v>
      </c>
      <c r="F6" s="12" t="e">
        <f ca="1">_xll.cfyql_IndexAddFixings($B$1,D6,E6/100,TRUE,Trigger)</f>
        <v>#NAME?</v>
      </c>
      <c r="O6" s="11"/>
    </row>
    <row r="7" spans="1:15" x14ac:dyDescent="0.2">
      <c r="A7" s="10" t="s">
        <v>2</v>
      </c>
      <c r="B7" s="9" t="s">
        <v>1</v>
      </c>
      <c r="D7" s="5">
        <v>42276</v>
      </c>
      <c r="E7" s="6">
        <v>-5.8000000000000003E-2</v>
      </c>
      <c r="F7" s="4" t="e">
        <f ca="1">_xll.cfyql_IndexAddFixings($B$1,D7,E7/100,TRUE,Trigger)</f>
        <v>#NAME?</v>
      </c>
    </row>
    <row r="8" spans="1:15" x14ac:dyDescent="0.2">
      <c r="A8" s="8"/>
      <c r="B8" s="7" t="s">
        <v>0</v>
      </c>
      <c r="D8" s="5">
        <v>42275</v>
      </c>
      <c r="E8" s="6">
        <v>-0.05</v>
      </c>
      <c r="F8" s="4" t="e">
        <f ca="1">_xll.cfyql_IndexAddFixings($B$1,D8,E8/100,TRUE,Trigger)</f>
        <v>#NAME?</v>
      </c>
    </row>
    <row r="9" spans="1:15" x14ac:dyDescent="0.2">
      <c r="D9" s="5">
        <v>42272</v>
      </c>
      <c r="E9" s="6">
        <v>-4.5999999999999999E-2</v>
      </c>
      <c r="F9" s="4" t="e">
        <f ca="1">_xll.cfyql_IndexAddFixings($B$1,D9,E9/100,TRUE,Trigger)</f>
        <v>#NAME?</v>
      </c>
    </row>
    <row r="10" spans="1:15" x14ac:dyDescent="0.2">
      <c r="D10" s="5">
        <v>42271</v>
      </c>
      <c r="E10" s="6">
        <v>-4.9000000000000002E-2</v>
      </c>
      <c r="F10" s="4" t="e">
        <f ca="1">_xll.cfyql_IndexAddFixings($B$1,D10,E10/100,TRUE,Trigger)</f>
        <v>#NAME?</v>
      </c>
    </row>
    <row r="11" spans="1:15" x14ac:dyDescent="0.2">
      <c r="D11" s="5">
        <v>42270</v>
      </c>
      <c r="E11" s="6">
        <v>-5.7000000000000002E-2</v>
      </c>
      <c r="F11" s="4" t="e">
        <f ca="1">_xll.cfyql_IndexAddFixings($B$1,D11,E11/100,TRUE,Trigger)</f>
        <v>#NAME?</v>
      </c>
    </row>
    <row r="12" spans="1:15" x14ac:dyDescent="0.2">
      <c r="D12" s="5">
        <v>42269</v>
      </c>
      <c r="E12" s="6">
        <v>-4.7E-2</v>
      </c>
      <c r="F12" s="4" t="e">
        <f ca="1">_xll.cfyql_IndexAddFixings($B$1,D12,E12/100,TRUE,Trigger)</f>
        <v>#NAME?</v>
      </c>
    </row>
    <row r="13" spans="1:15" x14ac:dyDescent="0.2">
      <c r="D13" s="5">
        <v>42268</v>
      </c>
      <c r="E13" s="6">
        <v>-0.04</v>
      </c>
      <c r="F13" s="4" t="e">
        <f ca="1">_xll.cfyql_IndexAddFixings($B$1,D13,E13/100,TRUE,Trigger)</f>
        <v>#NAME?</v>
      </c>
    </row>
    <row r="14" spans="1:15" x14ac:dyDescent="0.2">
      <c r="D14" s="5">
        <v>42265</v>
      </c>
      <c r="E14" s="6">
        <v>-3.9E-2</v>
      </c>
      <c r="F14" s="4" t="e">
        <f ca="1">_xll.cfyql_IndexAddFixings($B$1,D14,E14/100,TRUE,Trigger)</f>
        <v>#NAME?</v>
      </c>
    </row>
    <row r="15" spans="1:15" x14ac:dyDescent="0.2">
      <c r="D15" s="5">
        <v>42264</v>
      </c>
      <c r="E15" s="6">
        <v>-3.3000000000000002E-2</v>
      </c>
      <c r="F15" s="4" t="e">
        <f ca="1">_xll.cfyql_IndexAddFixings($B$1,D15,E15/100,TRUE,Trigger)</f>
        <v>#NAME?</v>
      </c>
    </row>
    <row r="16" spans="1:15" x14ac:dyDescent="0.2">
      <c r="D16" s="5">
        <v>42263</v>
      </c>
      <c r="E16" s="6">
        <v>-3.7999999999999999E-2</v>
      </c>
      <c r="F16" s="4" t="e">
        <f ca="1">_xll.cfyql_IndexAddFixings($B$1,D16,E16/100,TRUE,Trigger)</f>
        <v>#NAME?</v>
      </c>
    </row>
    <row r="17" spans="4:6" x14ac:dyDescent="0.2">
      <c r="D17" s="5">
        <v>42262</v>
      </c>
      <c r="E17" s="6">
        <v>-4.1000000000000002E-2</v>
      </c>
      <c r="F17" s="4" t="e">
        <f ca="1">_xll.cfyql_IndexAddFixings($B$1,D17,E17/100,TRUE,Trigger)</f>
        <v>#NAME?</v>
      </c>
    </row>
    <row r="18" spans="4:6" x14ac:dyDescent="0.2">
      <c r="D18" s="5">
        <v>42261</v>
      </c>
      <c r="E18" s="6">
        <v>-3.7999999999999999E-2</v>
      </c>
      <c r="F18" s="4" t="e">
        <f ca="1">_xll.cfyql_IndexAddFixings($B$1,D18,E18/100,TRUE,Trigger)</f>
        <v>#NAME?</v>
      </c>
    </row>
    <row r="19" spans="4:6" x14ac:dyDescent="0.2">
      <c r="D19" s="5">
        <v>42258</v>
      </c>
      <c r="E19" s="6">
        <v>-3.5999999999999997E-2</v>
      </c>
      <c r="F19" s="4" t="e">
        <f ca="1">_xll.cfyql_IndexAddFixings($B$1,D19,E19/100,TRUE,Trigger)</f>
        <v>#NAME?</v>
      </c>
    </row>
    <row r="20" spans="4:6" x14ac:dyDescent="0.2">
      <c r="D20" s="5">
        <v>42257</v>
      </c>
      <c r="E20" s="6">
        <v>-3.6999999999999998E-2</v>
      </c>
      <c r="F20" s="4" t="e">
        <f ca="1">_xll.cfyql_IndexAddFixings($B$1,D20,E20/100,TRUE,Trigger)</f>
        <v>#NAME?</v>
      </c>
    </row>
    <row r="21" spans="4:6" x14ac:dyDescent="0.2">
      <c r="D21" s="5">
        <v>42256</v>
      </c>
      <c r="E21" s="6">
        <v>-3.6999999999999998E-2</v>
      </c>
      <c r="F21" s="4" t="e">
        <f ca="1">_xll.cfyql_IndexAddFixings($B$1,D21,E21/100,TRUE,Trigger)</f>
        <v>#NAME?</v>
      </c>
    </row>
    <row r="22" spans="4:6" x14ac:dyDescent="0.2">
      <c r="D22" s="5">
        <v>42255</v>
      </c>
      <c r="E22" s="6">
        <v>-3.5999999999999997E-2</v>
      </c>
      <c r="F22" s="4" t="e">
        <f ca="1">_xll.cfyql_IndexAddFixings($B$1,D22,E22/100,TRUE,Trigger)</f>
        <v>#NAME?</v>
      </c>
    </row>
    <row r="23" spans="4:6" x14ac:dyDescent="0.2">
      <c r="D23" s="5">
        <v>42254</v>
      </c>
      <c r="E23" s="6">
        <v>-3.6999999999999998E-2</v>
      </c>
      <c r="F23" s="4" t="e">
        <f ca="1">_xll.cfyql_IndexAddFixings($B$1,D23,E23/100,TRUE,Trigger)</f>
        <v>#NAME?</v>
      </c>
    </row>
    <row r="24" spans="4:6" x14ac:dyDescent="0.2">
      <c r="D24" s="5">
        <v>42251</v>
      </c>
      <c r="E24" s="6">
        <v>-0.04</v>
      </c>
      <c r="F24" s="4" t="e">
        <f ca="1">_xll.cfyql_IndexAddFixings($B$1,D24,E24/100,TRUE,Trigger)</f>
        <v>#NAME?</v>
      </c>
    </row>
    <row r="25" spans="4:6" x14ac:dyDescent="0.2">
      <c r="D25" s="5">
        <v>42250</v>
      </c>
      <c r="E25" s="6">
        <v>-3.3000000000000002E-2</v>
      </c>
      <c r="F25" s="4" t="e">
        <f ca="1">_xll.cfyql_IndexAddFixings($B$1,D25,E25/100,TRUE,Trigger)</f>
        <v>#NAME?</v>
      </c>
    </row>
    <row r="26" spans="4:6" x14ac:dyDescent="0.2">
      <c r="D26" s="5">
        <v>42249</v>
      </c>
      <c r="E26" s="6">
        <v>-3.3000000000000002E-2</v>
      </c>
      <c r="F26" s="4" t="e">
        <f ca="1">_xll.cfyql_IndexAddFixings($B$1,D26,E26/100,TRUE,Trigger)</f>
        <v>#NAME?</v>
      </c>
    </row>
    <row r="27" spans="4:6" x14ac:dyDescent="0.2">
      <c r="D27" s="5">
        <v>42248</v>
      </c>
      <c r="E27" s="6">
        <v>-0.03</v>
      </c>
      <c r="F27" s="4" t="e">
        <f ca="1">_xll.cfyql_IndexAddFixings($B$1,D27,E27/100,TRUE,Trigger)</f>
        <v>#NAME?</v>
      </c>
    </row>
    <row r="28" spans="4:6" x14ac:dyDescent="0.2">
      <c r="D28" s="5">
        <v>42247</v>
      </c>
      <c r="E28" s="6">
        <v>-0.03</v>
      </c>
      <c r="F28" s="4" t="e">
        <f ca="1">_xll.cfyql_IndexAddFixings($B$1,D28,E28/100,TRUE,Trigger)</f>
        <v>#NAME?</v>
      </c>
    </row>
    <row r="29" spans="4:6" x14ac:dyDescent="0.2">
      <c r="D29" s="5">
        <v>42244</v>
      </c>
      <c r="E29" s="6">
        <v>-3.1E-2</v>
      </c>
      <c r="F29" s="4" t="e">
        <f ca="1">_xll.cfyql_IndexAddFixings($B$1,D29,E29/100,TRUE,Trigger)</f>
        <v>#NAME?</v>
      </c>
    </row>
    <row r="30" spans="4:6" x14ac:dyDescent="0.2">
      <c r="D30" s="5">
        <v>42243</v>
      </c>
      <c r="E30" s="6">
        <v>-3.1E-2</v>
      </c>
      <c r="F30" s="4" t="e">
        <f ca="1">_xll.cfyql_IndexAddFixings($B$1,D30,E30/100,TRUE,Trigger)</f>
        <v>#NAME?</v>
      </c>
    </row>
    <row r="31" spans="4:6" x14ac:dyDescent="0.2">
      <c r="D31" s="5">
        <v>42242</v>
      </c>
      <c r="E31" s="6">
        <v>-0.03</v>
      </c>
      <c r="F31" s="4" t="e">
        <f ca="1">_xll.cfyql_IndexAddFixings($B$1,D31,E31/100,TRUE,Trigger)</f>
        <v>#NAME?</v>
      </c>
    </row>
    <row r="32" spans="4:6" x14ac:dyDescent="0.2">
      <c r="D32" s="5">
        <v>42241</v>
      </c>
      <c r="E32" s="6">
        <v>-2.8000000000000001E-2</v>
      </c>
      <c r="F32" s="4" t="e">
        <f ca="1">_xll.cfyql_IndexAddFixings($B$1,D32,E32/100,TRUE,Trigger)</f>
        <v>#NAME?</v>
      </c>
    </row>
    <row r="33" spans="4:6" x14ac:dyDescent="0.2">
      <c r="D33" s="5">
        <v>42240</v>
      </c>
      <c r="E33" s="6">
        <v>-0.03</v>
      </c>
      <c r="F33" s="4" t="e">
        <f ca="1">_xll.cfyql_IndexAddFixings($B$1,D33,E33/100,TRUE,Trigger)</f>
        <v>#NAME?</v>
      </c>
    </row>
    <row r="34" spans="4:6" x14ac:dyDescent="0.2">
      <c r="D34" s="5">
        <v>42237</v>
      </c>
      <c r="E34" s="6">
        <v>-3.3000000000000002E-2</v>
      </c>
      <c r="F34" s="4" t="e">
        <f ca="1">_xll.cfyql_IndexAddFixings($B$1,D34,E34/100,TRUE,Trigger)</f>
        <v>#NAME?</v>
      </c>
    </row>
    <row r="35" spans="4:6" x14ac:dyDescent="0.2">
      <c r="D35" s="5">
        <v>42236</v>
      </c>
      <c r="E35" s="6">
        <v>-0.03</v>
      </c>
      <c r="F35" s="4" t="e">
        <f ca="1">_xll.cfyql_IndexAddFixings($B$1,D35,E35/100,TRUE,Trigger)</f>
        <v>#NAME?</v>
      </c>
    </row>
    <row r="36" spans="4:6" x14ac:dyDescent="0.2">
      <c r="D36" s="5">
        <v>42235</v>
      </c>
      <c r="E36" s="6">
        <v>-0.03</v>
      </c>
      <c r="F36" s="4" t="e">
        <f ca="1">_xll.cfyql_IndexAddFixings($B$1,D36,E36/100,TRUE,Trigger)</f>
        <v>#NAME?</v>
      </c>
    </row>
    <row r="37" spans="4:6" x14ac:dyDescent="0.2">
      <c r="D37" s="5">
        <v>42234</v>
      </c>
      <c r="E37" s="6">
        <v>-0.03</v>
      </c>
      <c r="F37" s="4" t="e">
        <f ca="1">_xll.cfyql_IndexAddFixings($B$1,D37,E37/100,TRUE,Trigger)</f>
        <v>#NAME?</v>
      </c>
    </row>
    <row r="38" spans="4:6" x14ac:dyDescent="0.2">
      <c r="D38" s="5">
        <v>42233</v>
      </c>
      <c r="E38" s="6">
        <v>-2.8000000000000001E-2</v>
      </c>
      <c r="F38" s="4" t="e">
        <f ca="1">_xll.cfyql_IndexAddFixings($B$1,D38,E38/100,TRUE,Trigger)</f>
        <v>#NAME?</v>
      </c>
    </row>
    <row r="39" spans="4:6" x14ac:dyDescent="0.2">
      <c r="D39" s="5">
        <v>42230</v>
      </c>
      <c r="E39" s="6">
        <v>-2.8000000000000001E-2</v>
      </c>
      <c r="F39" s="4" t="e">
        <f ca="1">_xll.cfyql_IndexAddFixings($B$1,D39,E39/100,TRUE,Trigger)</f>
        <v>#NAME?</v>
      </c>
    </row>
    <row r="40" spans="4:6" x14ac:dyDescent="0.2">
      <c r="D40" s="5">
        <v>42229</v>
      </c>
      <c r="E40" s="6">
        <v>-2.9000000000000001E-2</v>
      </c>
      <c r="F40" s="4" t="e">
        <f ca="1">_xll.cfyql_IndexAddFixings($B$1,D40,E40/100,TRUE,Trigger)</f>
        <v>#NAME?</v>
      </c>
    </row>
    <row r="41" spans="4:6" x14ac:dyDescent="0.2">
      <c r="D41" s="5">
        <v>42228</v>
      </c>
      <c r="E41" s="6">
        <v>-2.9000000000000001E-2</v>
      </c>
      <c r="F41" s="4" t="e">
        <f ca="1">_xll.cfyql_IndexAddFixings($B$1,D41,E41/100,TRUE,Trigger)</f>
        <v>#NAME?</v>
      </c>
    </row>
    <row r="42" spans="4:6" x14ac:dyDescent="0.2">
      <c r="D42" s="5">
        <v>42227</v>
      </c>
      <c r="E42" s="6">
        <v>-2.7E-2</v>
      </c>
      <c r="F42" s="4" t="e">
        <f ca="1">_xll.cfyql_IndexAddFixings($B$1,D42,E42/100,TRUE,Trigger)</f>
        <v>#NAME?</v>
      </c>
    </row>
    <row r="43" spans="4:6" x14ac:dyDescent="0.2">
      <c r="D43" s="5">
        <v>42226</v>
      </c>
      <c r="E43" s="6">
        <v>-2.5999999999999999E-2</v>
      </c>
      <c r="F43" s="4" t="e">
        <f ca="1">_xll.cfyql_IndexAddFixings($B$1,D43,E43/100,TRUE,Trigger)</f>
        <v>#NAME?</v>
      </c>
    </row>
    <row r="44" spans="4:6" x14ac:dyDescent="0.2">
      <c r="D44" s="5">
        <v>42223</v>
      </c>
      <c r="E44" s="6">
        <v>-2.1999999999999999E-2</v>
      </c>
      <c r="F44" s="4" t="e">
        <f ca="1">_xll.cfyql_IndexAddFixings($B$1,D44,E44/100,TRUE,Trigger)</f>
        <v>#NAME?</v>
      </c>
    </row>
    <row r="45" spans="4:6" x14ac:dyDescent="0.2">
      <c r="D45" s="5">
        <v>42222</v>
      </c>
      <c r="E45" s="6">
        <v>-2.3E-2</v>
      </c>
      <c r="F45" s="4" t="e">
        <f ca="1">_xll.cfyql_IndexAddFixings($B$1,D45,E45/100,TRUE,Trigger)</f>
        <v>#NAME?</v>
      </c>
    </row>
    <row r="46" spans="4:6" x14ac:dyDescent="0.2">
      <c r="D46" s="5">
        <v>42221</v>
      </c>
      <c r="E46" s="6">
        <v>-2.4E-2</v>
      </c>
      <c r="F46" s="4" t="e">
        <f ca="1">_xll.cfyql_IndexAddFixings($B$1,D46,E46/100,TRUE,Trigger)</f>
        <v>#NAME?</v>
      </c>
    </row>
    <row r="47" spans="4:6" x14ac:dyDescent="0.2">
      <c r="D47" s="5">
        <v>42220</v>
      </c>
      <c r="E47" s="6">
        <v>-2.4E-2</v>
      </c>
      <c r="F47" s="4" t="e">
        <f ca="1">_xll.cfyql_IndexAddFixings($B$1,D47,E47/100,TRUE,Trigger)</f>
        <v>#NAME?</v>
      </c>
    </row>
    <row r="48" spans="4:6" x14ac:dyDescent="0.2">
      <c r="D48" s="5">
        <v>42219</v>
      </c>
      <c r="E48" s="6">
        <v>-2.1999999999999999E-2</v>
      </c>
      <c r="F48" s="4" t="e">
        <f ca="1">_xll.cfyql_IndexAddFixings($B$1,D48,E48/100,TRUE,Trigger)</f>
        <v>#NAME?</v>
      </c>
    </row>
    <row r="49" spans="4:6" x14ac:dyDescent="0.2">
      <c r="D49" s="5">
        <v>42216</v>
      </c>
      <c r="E49" s="6">
        <v>-2.1999999999999999E-2</v>
      </c>
      <c r="F49" s="4" t="e">
        <f ca="1">_xll.cfyql_IndexAddFixings($B$1,D49,E49/100,TRUE,Trigger)</f>
        <v>#NAME?</v>
      </c>
    </row>
    <row r="50" spans="4:6" x14ac:dyDescent="0.2">
      <c r="D50" s="5">
        <v>42215</v>
      </c>
      <c r="E50" s="6">
        <v>-1.9E-2</v>
      </c>
      <c r="F50" s="4" t="e">
        <f ca="1">_xll.cfyql_IndexAddFixings($B$1,D50,E50/100,TRUE,Trigger)</f>
        <v>#NAME?</v>
      </c>
    </row>
    <row r="51" spans="4:6" x14ac:dyDescent="0.2">
      <c r="D51" s="5">
        <v>42214</v>
      </c>
      <c r="E51" s="6">
        <v>-1.4E-2</v>
      </c>
      <c r="F51" s="4" t="e">
        <f ca="1">_xll.cfyql_IndexAddFixings($B$1,D51,E51/100,TRUE,Trigger)</f>
        <v>#NAME?</v>
      </c>
    </row>
    <row r="52" spans="4:6" x14ac:dyDescent="0.2">
      <c r="D52" s="5">
        <v>42213</v>
      </c>
      <c r="E52" s="6">
        <v>-0.01</v>
      </c>
      <c r="F52" s="4" t="e">
        <f ca="1">_xll.cfyql_IndexAddFixings($B$1,D52,E52/100,TRUE,Trigger)</f>
        <v>#NAME?</v>
      </c>
    </row>
    <row r="53" spans="4:6" x14ac:dyDescent="0.2">
      <c r="D53" s="5">
        <v>42212</v>
      </c>
      <c r="E53" s="6">
        <v>-8.0000000000000002E-3</v>
      </c>
      <c r="F53" s="4" t="e">
        <f ca="1">_xll.cfyql_IndexAddFixings($B$1,D53,E53/100,TRUE,Trigger)</f>
        <v>#NAME?</v>
      </c>
    </row>
    <row r="54" spans="4:6" x14ac:dyDescent="0.2">
      <c r="D54" s="5">
        <v>42209</v>
      </c>
      <c r="E54" s="6">
        <v>-1.0999999999999999E-2</v>
      </c>
      <c r="F54" s="4" t="e">
        <f ca="1">_xll.cfyql_IndexAddFixings($B$1,D54,E54/100,TRUE,Trigger)</f>
        <v>#NAME?</v>
      </c>
    </row>
    <row r="55" spans="4:6" x14ac:dyDescent="0.2">
      <c r="D55" s="5">
        <v>42208</v>
      </c>
      <c r="E55" s="6">
        <v>-0.01</v>
      </c>
      <c r="F55" s="4" t="e">
        <f ca="1">_xll.cfyql_IndexAddFixings($B$1,D55,E55/100,TRUE,Trigger)</f>
        <v>#NAME?</v>
      </c>
    </row>
    <row r="56" spans="4:6" x14ac:dyDescent="0.2">
      <c r="D56" s="5">
        <v>42207</v>
      </c>
      <c r="E56" s="6">
        <v>-1.2E-2</v>
      </c>
      <c r="F56" s="4" t="e">
        <f ca="1">_xll.cfyql_IndexAddFixings($B$1,D56,E56/100,TRUE,Trigger)</f>
        <v>#NAME?</v>
      </c>
    </row>
    <row r="57" spans="4:6" x14ac:dyDescent="0.2">
      <c r="D57" s="5">
        <v>42206</v>
      </c>
      <c r="E57" s="6">
        <v>-1.4E-2</v>
      </c>
      <c r="F57" s="4" t="e">
        <f ca="1">_xll.cfyql_IndexAddFixings($B$1,D57,E57/100,TRUE,Trigger)</f>
        <v>#NAME?</v>
      </c>
    </row>
    <row r="58" spans="4:6" x14ac:dyDescent="0.2">
      <c r="D58" s="5">
        <v>42205</v>
      </c>
      <c r="E58" s="6">
        <v>-1.4999999999999999E-2</v>
      </c>
      <c r="F58" s="4" t="e">
        <f ca="1">_xll.cfyql_IndexAddFixings($B$1,D58,E58/100,TRUE,Trigger)</f>
        <v>#NAME?</v>
      </c>
    </row>
    <row r="59" spans="4:6" x14ac:dyDescent="0.2">
      <c r="D59" s="5">
        <v>42202</v>
      </c>
      <c r="E59" s="6">
        <v>-1.7999999999999999E-2</v>
      </c>
      <c r="F59" s="4" t="e">
        <f ca="1">_xll.cfyql_IndexAddFixings($B$1,D59,E59/100,TRUE,Trigger)</f>
        <v>#NAME?</v>
      </c>
    </row>
    <row r="60" spans="4:6" x14ac:dyDescent="0.2">
      <c r="D60" s="5">
        <v>42201</v>
      </c>
      <c r="E60" s="6">
        <v>-1.7999999999999999E-2</v>
      </c>
      <c r="F60" s="4" t="e">
        <f ca="1">_xll.cfyql_IndexAddFixings($B$1,D60,E60/100,TRUE,Trigger)</f>
        <v>#NAME?</v>
      </c>
    </row>
    <row r="61" spans="4:6" x14ac:dyDescent="0.2">
      <c r="D61" s="5">
        <v>42200</v>
      </c>
      <c r="E61" s="6">
        <v>-1.7999999999999999E-2</v>
      </c>
      <c r="F61" s="4" t="e">
        <f ca="1">_xll.cfyql_IndexAddFixings($B$1,D61,E61/100,TRUE,Trigger)</f>
        <v>#NAME?</v>
      </c>
    </row>
    <row r="62" spans="4:6" x14ac:dyDescent="0.2">
      <c r="D62" s="5">
        <v>42199</v>
      </c>
      <c r="E62" s="6">
        <v>-1.4999999999999999E-2</v>
      </c>
      <c r="F62" s="4" t="e">
        <f ca="1">_xll.cfyql_IndexAddFixings($B$1,D62,E62/100,TRUE,Trigger)</f>
        <v>#NAME?</v>
      </c>
    </row>
    <row r="63" spans="4:6" x14ac:dyDescent="0.2">
      <c r="D63" s="5">
        <v>42198</v>
      </c>
      <c r="E63" s="6">
        <v>-8.9999999999999993E-3</v>
      </c>
      <c r="F63" s="4" t="e">
        <f ca="1">_xll.cfyql_IndexAddFixings($B$1,D63,E63/100,TRUE,Trigger)</f>
        <v>#NAME?</v>
      </c>
    </row>
    <row r="64" spans="4:6" x14ac:dyDescent="0.2">
      <c r="D64" s="5">
        <v>42195</v>
      </c>
      <c r="E64" s="6">
        <v>-3.0000000000000001E-3</v>
      </c>
      <c r="F64" s="4" t="e">
        <f ca="1">_xll.cfyql_IndexAddFixings($B$1,D64,E64/100,TRUE,Trigger)</f>
        <v>#NAME?</v>
      </c>
    </row>
    <row r="65" spans="4:6" x14ac:dyDescent="0.2">
      <c r="D65" s="5">
        <v>42194</v>
      </c>
      <c r="E65" s="6">
        <v>0</v>
      </c>
      <c r="F65" s="4" t="e">
        <f ca="1">_xll.cfyql_IndexAddFixings($B$1,D65,E65/100,TRUE,Trigger)</f>
        <v>#NAME?</v>
      </c>
    </row>
    <row r="66" spans="4:6" x14ac:dyDescent="0.2">
      <c r="D66" s="5">
        <v>42193</v>
      </c>
      <c r="E66" s="6">
        <v>7.0000000000000001E-3</v>
      </c>
      <c r="F66" s="4" t="e">
        <f ca="1">_xll.cfyql_IndexAddFixings($B$1,D66,E66/100,TRUE,Trigger)</f>
        <v>#NAME?</v>
      </c>
    </row>
    <row r="67" spans="4:6" x14ac:dyDescent="0.2">
      <c r="D67" s="5">
        <v>42192</v>
      </c>
      <c r="E67" s="6">
        <v>0.01</v>
      </c>
      <c r="F67" s="4" t="e">
        <f ca="1">_xll.cfyql_IndexAddFixings($B$1,D67,E67/100,TRUE,Trigger)</f>
        <v>#NAME?</v>
      </c>
    </row>
    <row r="68" spans="4:6" x14ac:dyDescent="0.2">
      <c r="D68" s="5">
        <v>42191</v>
      </c>
      <c r="E68" s="6">
        <v>1.0999999999999999E-2</v>
      </c>
      <c r="F68" s="4" t="e">
        <f ca="1">_xll.cfyql_IndexAddFixings($B$1,D68,E68/100,TRUE,Trigger)</f>
        <v>#NAME?</v>
      </c>
    </row>
    <row r="69" spans="4:6" x14ac:dyDescent="0.2">
      <c r="D69" s="5">
        <v>42188</v>
      </c>
      <c r="E69" s="6">
        <v>6.0000000000000001E-3</v>
      </c>
      <c r="F69" s="4" t="e">
        <f ca="1">_xll.cfyql_IndexAddFixings($B$1,D69,E69/100,TRUE,Trigger)</f>
        <v>#NAME?</v>
      </c>
    </row>
    <row r="70" spans="4:6" x14ac:dyDescent="0.2">
      <c r="D70" s="5">
        <v>42187</v>
      </c>
      <c r="E70" s="6">
        <v>6.0000000000000001E-3</v>
      </c>
      <c r="F70" s="4" t="e">
        <f ca="1">_xll.cfyql_IndexAddFixings($B$1,D70,E70/100,TRUE,Trigger)</f>
        <v>#NAME?</v>
      </c>
    </row>
    <row r="71" spans="4:6" x14ac:dyDescent="0.2">
      <c r="D71" s="5">
        <v>42186</v>
      </c>
      <c r="E71" s="6">
        <v>8.9999999999999993E-3</v>
      </c>
      <c r="F71" s="4" t="e">
        <f ca="1">_xll.cfyql_IndexAddFixings($B$1,D71,E71/100,TRUE,Trigger)</f>
        <v>#NAME?</v>
      </c>
    </row>
    <row r="72" spans="4:6" x14ac:dyDescent="0.2">
      <c r="D72" s="5">
        <v>42185</v>
      </c>
      <c r="E72" s="6">
        <v>1.2999999999999999E-2</v>
      </c>
      <c r="F72" s="4" t="e">
        <f ca="1">_xll.cfyql_IndexAddFixings($B$1,D72,E72/100,TRUE,Trigger)</f>
        <v>#NAME?</v>
      </c>
    </row>
    <row r="73" spans="4:6" x14ac:dyDescent="0.2">
      <c r="D73" s="5">
        <v>42184</v>
      </c>
      <c r="E73" s="6">
        <v>1.9E-2</v>
      </c>
      <c r="F73" s="4" t="e">
        <f ca="1">_xll.cfyql_IndexAddFixings($B$1,D73,E73/100,TRUE,Trigger)</f>
        <v>#NAME?</v>
      </c>
    </row>
    <row r="74" spans="4:6" x14ac:dyDescent="0.2">
      <c r="D74" s="5">
        <v>42181</v>
      </c>
      <c r="E74" s="6">
        <v>6.0000000000000001E-3</v>
      </c>
      <c r="F74" s="4" t="e">
        <f ca="1">_xll.cfyql_IndexAddFixings($B$1,D74,E74/100,TRUE,Trigger)</f>
        <v>#NAME?</v>
      </c>
    </row>
    <row r="75" spans="4:6" x14ac:dyDescent="0.2">
      <c r="D75" s="5">
        <v>42180</v>
      </c>
      <c r="E75" s="6">
        <v>0.01</v>
      </c>
      <c r="F75" s="4" t="e">
        <f ca="1">_xll.cfyql_IndexAddFixings($B$1,D75,E75/100,TRUE,Trigger)</f>
        <v>#NAME?</v>
      </c>
    </row>
    <row r="76" spans="4:6" x14ac:dyDescent="0.2">
      <c r="D76" s="5">
        <v>42179</v>
      </c>
      <c r="E76" s="6">
        <v>5.0000000000000001E-3</v>
      </c>
      <c r="F76" s="4" t="e">
        <f ca="1">_xll.cfyql_IndexAddFixings($B$1,D76,E76/100,TRUE,Trigger)</f>
        <v>#NAME?</v>
      </c>
    </row>
    <row r="77" spans="4:6" x14ac:dyDescent="0.2">
      <c r="D77" s="5">
        <v>42178</v>
      </c>
      <c r="E77" s="6">
        <v>5.0000000000000001E-3</v>
      </c>
      <c r="F77" s="4" t="e">
        <f ca="1">_xll.cfyql_IndexAddFixings($B$1,D77,E77/100,TRUE,Trigger)</f>
        <v>#NAME?</v>
      </c>
    </row>
    <row r="78" spans="4:6" x14ac:dyDescent="0.2">
      <c r="D78" s="5">
        <v>42177</v>
      </c>
      <c r="E78" s="6">
        <v>1.0999999999999999E-2</v>
      </c>
      <c r="F78" s="4" t="e">
        <f ca="1">_xll.cfyql_IndexAddFixings($B$1,D78,E78/100,TRUE,Trigger)</f>
        <v>#NAME?</v>
      </c>
    </row>
    <row r="79" spans="4:6" x14ac:dyDescent="0.2">
      <c r="D79" s="5">
        <v>42174</v>
      </c>
      <c r="E79" s="6">
        <v>2.1000000000000001E-2</v>
      </c>
      <c r="F79" s="4" t="e">
        <f ca="1">_xll.cfyql_IndexAddFixings($B$1,D79,E79/100,TRUE,Trigger)</f>
        <v>#NAME?</v>
      </c>
    </row>
    <row r="80" spans="4:6" x14ac:dyDescent="0.2">
      <c r="D80" s="5">
        <v>42173</v>
      </c>
      <c r="E80" s="6">
        <v>3.1E-2</v>
      </c>
      <c r="F80" s="4" t="e">
        <f ca="1">_xll.cfyql_IndexAddFixings($B$1,D80,E80/100,TRUE,Trigger)</f>
        <v>#NAME?</v>
      </c>
    </row>
    <row r="81" spans="4:6" x14ac:dyDescent="0.2">
      <c r="D81" s="5">
        <v>42172</v>
      </c>
      <c r="E81" s="6">
        <v>3.9E-2</v>
      </c>
      <c r="F81" s="4" t="e">
        <f ca="1">_xll.cfyql_IndexAddFixings($B$1,D81,E81/100,TRUE,Trigger)</f>
        <v>#NAME?</v>
      </c>
    </row>
    <row r="82" spans="4:6" x14ac:dyDescent="0.2">
      <c r="D82" s="5">
        <v>42171</v>
      </c>
      <c r="E82" s="6">
        <v>4.2999999999999997E-2</v>
      </c>
      <c r="F82" s="4" t="e">
        <f ca="1">_xll.cfyql_IndexAddFixings($B$1,D82,E82/100,TRUE,Trigger)</f>
        <v>#NAME?</v>
      </c>
    </row>
    <row r="83" spans="4:6" x14ac:dyDescent="0.2">
      <c r="D83" s="5">
        <v>42170</v>
      </c>
      <c r="E83" s="6">
        <v>4.3999999999999997E-2</v>
      </c>
      <c r="F83" s="4" t="e">
        <f ca="1">_xll.cfyql_IndexAddFixings($B$1,D83,E83/100,TRUE,Trigger)</f>
        <v>#NAME?</v>
      </c>
    </row>
    <row r="84" spans="4:6" x14ac:dyDescent="0.2">
      <c r="D84" s="5">
        <v>42167</v>
      </c>
      <c r="E84" s="6">
        <v>2.8000000000000001E-2</v>
      </c>
      <c r="F84" s="4" t="e">
        <f ca="1">_xll.cfyql_IndexAddFixings($B$1,D84,E84/100,TRUE,Trigger)</f>
        <v>#NAME?</v>
      </c>
    </row>
    <row r="85" spans="4:6" x14ac:dyDescent="0.2">
      <c r="D85" s="5">
        <v>42166</v>
      </c>
      <c r="E85" s="6">
        <v>1.4999999999999999E-2</v>
      </c>
      <c r="F85" s="4" t="e">
        <f ca="1">_xll.cfyql_IndexAddFixings($B$1,D85,E85/100,TRUE,Trigger)</f>
        <v>#NAME?</v>
      </c>
    </row>
    <row r="86" spans="4:6" x14ac:dyDescent="0.2">
      <c r="D86" s="5">
        <v>42165</v>
      </c>
      <c r="E86" s="6">
        <v>2.1999999999999999E-2</v>
      </c>
      <c r="F86" s="4" t="e">
        <f ca="1">_xll.cfyql_IndexAddFixings($B$1,D86,E86/100,TRUE,Trigger)</f>
        <v>#NAME?</v>
      </c>
    </row>
    <row r="87" spans="4:6" x14ac:dyDescent="0.2">
      <c r="D87" s="5">
        <v>42164</v>
      </c>
      <c r="E87" s="6">
        <v>1.7999999999999999E-2</v>
      </c>
      <c r="F87" s="4" t="e">
        <f ca="1">_xll.cfyql_IndexAddFixings($B$1,D87,E87/100,TRUE,Trigger)</f>
        <v>#NAME?</v>
      </c>
    </row>
    <row r="88" spans="4:6" x14ac:dyDescent="0.2">
      <c r="D88" s="5">
        <v>42163</v>
      </c>
      <c r="E88" s="6">
        <v>0.01</v>
      </c>
      <c r="F88" s="4" t="e">
        <f ca="1">_xll.cfyql_IndexAddFixings($B$1,D88,E88/100,TRUE,Trigger)</f>
        <v>#NAME?</v>
      </c>
    </row>
    <row r="89" spans="4:6" x14ac:dyDescent="0.2">
      <c r="D89" s="5">
        <v>42160</v>
      </c>
      <c r="E89" s="6">
        <v>8.9999999999999993E-3</v>
      </c>
      <c r="F89" s="4" t="e">
        <f ca="1">_xll.cfyql_IndexAddFixings($B$1,D89,E89/100,TRUE,Trigger)</f>
        <v>#NAME?</v>
      </c>
    </row>
    <row r="90" spans="4:6" x14ac:dyDescent="0.2">
      <c r="D90" s="5">
        <v>42159</v>
      </c>
      <c r="E90" s="6">
        <v>8.9999999999999993E-3</v>
      </c>
      <c r="F90" s="4" t="e">
        <f ca="1">_xll.cfyql_IndexAddFixings($B$1,D90,E90/100,TRUE,Trigger)</f>
        <v>#NAME?</v>
      </c>
    </row>
    <row r="91" spans="4:6" x14ac:dyDescent="0.2">
      <c r="D91" s="5">
        <v>42158</v>
      </c>
      <c r="E91" s="6">
        <v>3.0000000000000001E-3</v>
      </c>
      <c r="F91" s="4" t="e">
        <f ca="1">_xll.cfyql_IndexAddFixings($B$1,D91,E91/100,TRUE,Trigger)</f>
        <v>#NAME?</v>
      </c>
    </row>
    <row r="92" spans="4:6" x14ac:dyDescent="0.2">
      <c r="D92" s="5">
        <v>42157</v>
      </c>
      <c r="E92" s="6">
        <v>6.0000000000000001E-3</v>
      </c>
      <c r="F92" s="4" t="e">
        <f ca="1">_xll.cfyql_IndexAddFixings($B$1,D92,E92/100,TRUE,Trigger)</f>
        <v>#NAME?</v>
      </c>
    </row>
    <row r="93" spans="4:6" x14ac:dyDescent="0.2">
      <c r="D93" s="5">
        <v>42156</v>
      </c>
      <c r="E93" s="6">
        <v>7.0000000000000001E-3</v>
      </c>
      <c r="F93" s="4" t="e">
        <f ca="1">_xll.cfyql_IndexAddFixings($B$1,D93,E93/100,TRUE,Trigger)</f>
        <v>#NAME?</v>
      </c>
    </row>
    <row r="94" spans="4:6" x14ac:dyDescent="0.2">
      <c r="D94" s="5">
        <v>42153</v>
      </c>
      <c r="E94" s="6">
        <v>4.0000000000000001E-3</v>
      </c>
      <c r="F94" s="4" t="e">
        <f ca="1">_xll.cfyql_IndexAddFixings($B$1,D94,E94/100,TRUE,Trigger)</f>
        <v>#NAME?</v>
      </c>
    </row>
    <row r="95" spans="4:6" x14ac:dyDescent="0.2">
      <c r="D95" s="5">
        <v>42152</v>
      </c>
      <c r="E95" s="6">
        <v>-3.0000000000000001E-3</v>
      </c>
      <c r="F95" s="4" t="e">
        <f ca="1">_xll.cfyql_IndexAddFixings($B$1,D95,E95/100,TRUE,Trigger)</f>
        <v>#NAME?</v>
      </c>
    </row>
    <row r="96" spans="4:6" x14ac:dyDescent="0.2">
      <c r="D96" s="5">
        <v>42151</v>
      </c>
      <c r="E96" s="6">
        <v>1E-3</v>
      </c>
      <c r="F96" s="4" t="e">
        <f ca="1">_xll.cfyql_IndexAddFixings($B$1,D96,E96/100,TRUE,Trigger)</f>
        <v>#NAME?</v>
      </c>
    </row>
    <row r="97" spans="4:6" x14ac:dyDescent="0.2">
      <c r="D97" s="5">
        <v>42150</v>
      </c>
      <c r="E97" s="6">
        <v>6.0000000000000001E-3</v>
      </c>
      <c r="F97" s="4" t="e">
        <f ca="1">_xll.cfyql_IndexAddFixings($B$1,D97,E97/100,TRUE,Trigger)</f>
        <v>#NAME?</v>
      </c>
    </row>
    <row r="98" spans="4:6" x14ac:dyDescent="0.2">
      <c r="D98" s="5">
        <v>42146</v>
      </c>
      <c r="E98" s="6">
        <v>-1E-3</v>
      </c>
      <c r="F98" s="4" t="e">
        <f ca="1">_xll.cfyql_IndexAddFixings($B$1,D98,E98/100,TRUE,Trigger)</f>
        <v>#NAME?</v>
      </c>
    </row>
    <row r="99" spans="4:6" x14ac:dyDescent="0.2">
      <c r="D99" s="5">
        <v>42145</v>
      </c>
      <c r="E99" s="6">
        <v>-3.0000000000000001E-3</v>
      </c>
      <c r="F99" s="4" t="e">
        <f ca="1">_xll.cfyql_IndexAddFixings($B$1,D99,E99/100,TRUE,Trigger)</f>
        <v>#NAME?</v>
      </c>
    </row>
    <row r="100" spans="4:6" x14ac:dyDescent="0.2">
      <c r="D100" s="5">
        <v>42144</v>
      </c>
      <c r="E100" s="6">
        <v>-4.0000000000000001E-3</v>
      </c>
      <c r="F100" s="4" t="e">
        <f ca="1">_xll.cfyql_IndexAddFixings($B$1,D100,E100/100,TRUE,Trigger)</f>
        <v>#NAME?</v>
      </c>
    </row>
    <row r="101" spans="4:6" x14ac:dyDescent="0.2">
      <c r="D101" s="5">
        <v>42143</v>
      </c>
      <c r="E101" s="6">
        <v>-3.0000000000000001E-3</v>
      </c>
      <c r="F101" s="4" t="e">
        <f ca="1">_xll.cfyql_IndexAddFixings($B$1,D101,E101/100,TRUE,Trigger)</f>
        <v>#NAME?</v>
      </c>
    </row>
    <row r="102" spans="4:6" x14ac:dyDescent="0.2">
      <c r="D102" s="5">
        <v>42142</v>
      </c>
      <c r="E102" s="6">
        <v>4.0000000000000001E-3</v>
      </c>
      <c r="F102" s="4" t="e">
        <f ca="1">_xll.cfyql_IndexAddFixings($B$1,D102,E102/100,TRUE,Trigger)</f>
        <v>#NAME?</v>
      </c>
    </row>
    <row r="103" spans="4:6" x14ac:dyDescent="0.2">
      <c r="D103" s="5">
        <v>42139</v>
      </c>
      <c r="E103" s="6">
        <v>2E-3</v>
      </c>
      <c r="F103" s="4" t="e">
        <f ca="1">_xll.cfyql_IndexAddFixings($B$1,D103,E103/100,TRUE,Trigger)</f>
        <v>#NAME?</v>
      </c>
    </row>
    <row r="104" spans="4:6" x14ac:dyDescent="0.2">
      <c r="D104" s="5">
        <v>42138</v>
      </c>
      <c r="E104" s="6">
        <v>3.0000000000000001E-3</v>
      </c>
      <c r="F104" s="4" t="e">
        <f ca="1">_xll.cfyql_IndexAddFixings($B$1,D104,E104/100,TRUE,Trigger)</f>
        <v>#NAME?</v>
      </c>
    </row>
    <row r="105" spans="4:6" x14ac:dyDescent="0.2">
      <c r="D105" s="5">
        <v>42137</v>
      </c>
      <c r="E105" s="6">
        <v>-4.0000000000000001E-3</v>
      </c>
      <c r="F105" s="4" t="e">
        <f ca="1">_xll.cfyql_IndexAddFixings($B$1,D105,E105/100,TRUE,Trigger)</f>
        <v>#NAME?</v>
      </c>
    </row>
    <row r="106" spans="4:6" x14ac:dyDescent="0.2">
      <c r="D106" s="5">
        <v>42136</v>
      </c>
      <c r="E106" s="6">
        <v>-4.0000000000000001E-3</v>
      </c>
      <c r="F106" s="4" t="e">
        <f ca="1">_xll.cfyql_IndexAddFixings($B$1,D106,E106/100,TRUE,Trigger)</f>
        <v>#NAME?</v>
      </c>
    </row>
    <row r="107" spans="4:6" x14ac:dyDescent="0.2">
      <c r="D107" s="5">
        <v>42135</v>
      </c>
      <c r="E107" s="6">
        <v>-6.0000000000000001E-3</v>
      </c>
      <c r="F107" s="4" t="e">
        <f ca="1">_xll.cfyql_IndexAddFixings($B$1,D107,E107/100,TRUE,Trigger)</f>
        <v>#NAME?</v>
      </c>
    </row>
    <row r="108" spans="4:6" x14ac:dyDescent="0.2">
      <c r="D108" s="5">
        <v>42132</v>
      </c>
      <c r="E108" s="6">
        <v>-6.0000000000000001E-3</v>
      </c>
      <c r="F108" s="4" t="e">
        <f ca="1">_xll.cfyql_IndexAddFixings($B$1,D108,E108/100,TRUE,Trigger)</f>
        <v>#NAME?</v>
      </c>
    </row>
    <row r="109" spans="4:6" x14ac:dyDescent="0.2">
      <c r="D109" s="5">
        <v>42131</v>
      </c>
      <c r="E109" s="6">
        <v>-6.0000000000000001E-3</v>
      </c>
      <c r="F109" s="4" t="e">
        <f ca="1">_xll.cfyql_IndexAddFixings($B$1,D109,E109/100,TRUE,Trigger)</f>
        <v>#NAME?</v>
      </c>
    </row>
    <row r="110" spans="4:6" x14ac:dyDescent="0.2">
      <c r="D110" s="5">
        <v>42130</v>
      </c>
      <c r="E110" s="6">
        <v>-2E-3</v>
      </c>
      <c r="F110" s="4" t="e">
        <f ca="1">_xll.cfyql_IndexAddFixings($B$1,D110,E110/100,TRUE,Trigger)</f>
        <v>#NAME?</v>
      </c>
    </row>
    <row r="111" spans="4:6" x14ac:dyDescent="0.2">
      <c r="D111" s="5">
        <v>42129</v>
      </c>
      <c r="E111" s="6">
        <v>-1.2E-2</v>
      </c>
      <c r="F111" s="4" t="e">
        <f ca="1">_xll.cfyql_IndexAddFixings($B$1,D111,E111/100,TRUE,Trigger)</f>
        <v>#NAME?</v>
      </c>
    </row>
    <row r="112" spans="4:6" x14ac:dyDescent="0.2">
      <c r="D112" s="5">
        <v>42128</v>
      </c>
      <c r="E112" s="6">
        <v>-1E-3</v>
      </c>
      <c r="F112" s="4" t="e">
        <f ca="1">_xll.cfyql_IndexAddFixings($B$1,D112,E112/100,TRUE,Trigger)</f>
        <v>#NAME?</v>
      </c>
    </row>
    <row r="113" spans="4:6" x14ac:dyDescent="0.2">
      <c r="D113" s="5">
        <v>42124</v>
      </c>
      <c r="E113" s="6">
        <v>-6.0000000000000001E-3</v>
      </c>
      <c r="F113" s="4" t="e">
        <f ca="1">_xll.cfyql_IndexAddFixings($B$1,D113,E113/100,TRUE,Trigger)</f>
        <v>#NAME?</v>
      </c>
    </row>
    <row r="114" spans="4:6" x14ac:dyDescent="0.2">
      <c r="D114" s="5">
        <v>42123</v>
      </c>
      <c r="E114" s="6">
        <v>-1.4E-2</v>
      </c>
      <c r="F114" s="4" t="e">
        <f ca="1">_xll.cfyql_IndexAddFixings($B$1,D114,E114/100,TRUE,Trigger)</f>
        <v>#NAME?</v>
      </c>
    </row>
    <row r="115" spans="4:6" x14ac:dyDescent="0.2">
      <c r="D115" s="5">
        <v>42122</v>
      </c>
      <c r="E115" s="6">
        <v>-1.4E-2</v>
      </c>
      <c r="F115" s="4" t="e">
        <f ca="1">_xll.cfyql_IndexAddFixings($B$1,D115,E115/100,TRUE,Trigger)</f>
        <v>#NAME?</v>
      </c>
    </row>
    <row r="116" spans="4:6" x14ac:dyDescent="0.2">
      <c r="D116" s="5">
        <v>42121</v>
      </c>
      <c r="E116" s="6">
        <v>-2E-3</v>
      </c>
      <c r="F116" s="4" t="e">
        <f ca="1">_xll.cfyql_IndexAddFixings($B$1,D116,E116/100,TRUE,Trigger)</f>
        <v>#NAME?</v>
      </c>
    </row>
    <row r="117" spans="4:6" x14ac:dyDescent="0.2">
      <c r="D117" s="5">
        <v>42118</v>
      </c>
      <c r="E117" s="6">
        <v>-3.0000000000000001E-3</v>
      </c>
      <c r="F117" s="4" t="e">
        <f ca="1">_xll.cfyql_IndexAddFixings($B$1,D117,E117/100,TRUE,Trigger)</f>
        <v>#NAME?</v>
      </c>
    </row>
    <row r="118" spans="4:6" x14ac:dyDescent="0.2">
      <c r="D118" s="5">
        <v>42117</v>
      </c>
      <c r="E118" s="6">
        <v>-8.0000000000000002E-3</v>
      </c>
      <c r="F118" s="4" t="e">
        <f ca="1">_xll.cfyql_IndexAddFixings($B$1,D118,E118/100,TRUE,Trigger)</f>
        <v>#NAME?</v>
      </c>
    </row>
    <row r="119" spans="4:6" x14ac:dyDescent="0.2">
      <c r="D119" s="5">
        <v>42116</v>
      </c>
      <c r="E119" s="6">
        <v>-3.0000000000000001E-3</v>
      </c>
      <c r="F119" s="4" t="e">
        <f ca="1">_xll.cfyql_IndexAddFixings($B$1,D119,E119/100,TRUE,Trigger)</f>
        <v>#NAME?</v>
      </c>
    </row>
    <row r="120" spans="4:6" x14ac:dyDescent="0.2">
      <c r="D120" s="5">
        <v>42115</v>
      </c>
      <c r="E120" s="6">
        <v>1E-3</v>
      </c>
      <c r="F120" s="4" t="e">
        <f ca="1">_xll.cfyql_IndexAddFixings($B$1,D120,E120/100,TRUE,Trigger)</f>
        <v>#NAME?</v>
      </c>
    </row>
    <row r="121" spans="4:6" x14ac:dyDescent="0.2">
      <c r="D121" s="5">
        <v>42114</v>
      </c>
      <c r="E121" s="6">
        <v>-3.0000000000000001E-3</v>
      </c>
      <c r="F121" s="4" t="e">
        <f ca="1">_xll.cfyql_IndexAddFixings($B$1,D121,E121/100,TRUE,Trigger)</f>
        <v>#NAME?</v>
      </c>
    </row>
    <row r="122" spans="4:6" x14ac:dyDescent="0.2">
      <c r="D122" s="5">
        <v>42111</v>
      </c>
      <c r="E122" s="6">
        <v>-6.0000000000000001E-3</v>
      </c>
      <c r="F122" s="4" t="e">
        <f ca="1">_xll.cfyql_IndexAddFixings($B$1,D122,E122/100,TRUE,Trigger)</f>
        <v>#NAME?</v>
      </c>
    </row>
    <row r="123" spans="4:6" x14ac:dyDescent="0.2">
      <c r="D123" s="5">
        <v>42110</v>
      </c>
      <c r="E123" s="6">
        <v>-1.2E-2</v>
      </c>
      <c r="F123" s="4" t="e">
        <f ca="1">_xll.cfyql_IndexAddFixings($B$1,D123,E123/100,TRUE,Trigger)</f>
        <v>#NAME?</v>
      </c>
    </row>
    <row r="124" spans="4:6" x14ac:dyDescent="0.2">
      <c r="D124" s="5">
        <v>42109</v>
      </c>
      <c r="E124" s="6">
        <v>-1.2E-2</v>
      </c>
      <c r="F124" s="4" t="e">
        <f ca="1">_xll.cfyql_IndexAddFixings($B$1,D124,E124/100,TRUE,Trigger)</f>
        <v>#NAME?</v>
      </c>
    </row>
    <row r="125" spans="4:6" x14ac:dyDescent="0.2">
      <c r="D125" s="5">
        <v>42108</v>
      </c>
      <c r="E125" s="6">
        <v>-8.0000000000000002E-3</v>
      </c>
      <c r="F125" s="4" t="e">
        <f ca="1">_xll.cfyql_IndexAddFixings($B$1,D125,E125/100,TRUE,Trigger)</f>
        <v>#NAME?</v>
      </c>
    </row>
    <row r="126" spans="4:6" x14ac:dyDescent="0.2">
      <c r="D126" s="5">
        <v>42107</v>
      </c>
      <c r="E126" s="6">
        <v>1E-3</v>
      </c>
      <c r="F126" s="4" t="e">
        <f ca="1">_xll.cfyql_IndexAddFixings($B$1,D126,E126/100,TRUE,Trigger)</f>
        <v>#NAME?</v>
      </c>
    </row>
    <row r="127" spans="4:6" x14ac:dyDescent="0.2">
      <c r="D127" s="5">
        <v>42104</v>
      </c>
      <c r="E127" s="6">
        <v>-2E-3</v>
      </c>
      <c r="F127" s="4" t="e">
        <f ca="1">_xll.cfyql_IndexAddFixings($B$1,D127,E127/100,TRUE,Trigger)</f>
        <v>#NAME?</v>
      </c>
    </row>
    <row r="128" spans="4:6" x14ac:dyDescent="0.2">
      <c r="D128" s="5">
        <v>42103</v>
      </c>
      <c r="E128" s="6">
        <v>0</v>
      </c>
      <c r="F128" s="4" t="e">
        <f ca="1">_xll.cfyql_IndexAddFixings($B$1,D128,E128/100,TRUE,Trigger)</f>
        <v>#NAME?</v>
      </c>
    </row>
    <row r="129" spans="4:6" x14ac:dyDescent="0.2">
      <c r="D129" s="5">
        <v>42102</v>
      </c>
      <c r="E129" s="6">
        <v>4.0000000000000001E-3</v>
      </c>
      <c r="F129" s="4" t="e">
        <f ca="1">_xll.cfyql_IndexAddFixings($B$1,D129,E129/100,TRUE,Trigger)</f>
        <v>#NAME?</v>
      </c>
    </row>
    <row r="130" spans="4:6" x14ac:dyDescent="0.2">
      <c r="D130" s="5">
        <v>42101</v>
      </c>
      <c r="E130" s="6">
        <v>1.0999999999999999E-2</v>
      </c>
      <c r="F130" s="4" t="e">
        <f ca="1">_xll.cfyql_IndexAddFixings($B$1,D130,E130/100,TRUE,Trigger)</f>
        <v>#NAME?</v>
      </c>
    </row>
    <row r="131" spans="4:6" x14ac:dyDescent="0.2">
      <c r="D131" s="5">
        <v>42096</v>
      </c>
      <c r="E131" s="6">
        <v>7.0000000000000001E-3</v>
      </c>
      <c r="F131" s="4" t="e">
        <f ca="1">_xll.cfyql_IndexAddFixings($B$1,D131,E131/100,TRUE,Trigger)</f>
        <v>#NAME?</v>
      </c>
    </row>
    <row r="132" spans="4:6" x14ac:dyDescent="0.2">
      <c r="D132" s="5">
        <v>42095</v>
      </c>
      <c r="E132" s="6">
        <v>6.0000000000000001E-3</v>
      </c>
      <c r="F132" s="4" t="e">
        <f ca="1">_xll.cfyql_IndexAddFixings($B$1,D132,E132/100,TRUE,Trigger)</f>
        <v>#NAME?</v>
      </c>
    </row>
    <row r="133" spans="4:6" x14ac:dyDescent="0.2">
      <c r="D133" s="5">
        <v>42094</v>
      </c>
      <c r="E133" s="6">
        <v>6.0000000000000001E-3</v>
      </c>
      <c r="F133" s="4" t="e">
        <f ca="1">_xll.cfyql_IndexAddFixings($B$1,D133,E133/100,TRUE,Trigger)</f>
        <v>#NAME?</v>
      </c>
    </row>
    <row r="134" spans="4:6" x14ac:dyDescent="0.2">
      <c r="D134" s="5">
        <v>42093</v>
      </c>
      <c r="E134" s="6">
        <v>8.0000000000000002E-3</v>
      </c>
      <c r="F134" s="4" t="e">
        <f ca="1">_xll.cfyql_IndexAddFixings($B$1,D134,E134/100,TRUE,Trigger)</f>
        <v>#NAME?</v>
      </c>
    </row>
    <row r="135" spans="4:6" x14ac:dyDescent="0.2">
      <c r="D135" s="5">
        <v>42090</v>
      </c>
      <c r="E135" s="6">
        <v>6.0000000000000001E-3</v>
      </c>
      <c r="F135" s="4" t="e">
        <f ca="1">_xll.cfyql_IndexAddFixings($B$1,D135,E135/100,TRUE,Trigger)</f>
        <v>#NAME?</v>
      </c>
    </row>
    <row r="136" spans="4:6" x14ac:dyDescent="0.2">
      <c r="D136" s="5">
        <v>42089</v>
      </c>
      <c r="E136" s="6">
        <v>8.9999999999999993E-3</v>
      </c>
      <c r="F136" s="4" t="e">
        <f ca="1">_xll.cfyql_IndexAddFixings($B$1,D136,E136/100,TRUE,Trigger)</f>
        <v>#NAME?</v>
      </c>
    </row>
    <row r="137" spans="4:6" x14ac:dyDescent="0.2">
      <c r="D137" s="5">
        <v>42088</v>
      </c>
      <c r="E137" s="6">
        <v>0.01</v>
      </c>
      <c r="F137" s="4" t="e">
        <f ca="1">_xll.cfyql_IndexAddFixings($B$1,D137,E137/100,TRUE,Trigger)</f>
        <v>#NAME?</v>
      </c>
    </row>
    <row r="138" spans="4:6" x14ac:dyDescent="0.2">
      <c r="D138" s="5">
        <v>42087</v>
      </c>
      <c r="E138" s="6">
        <v>1.0999999999999999E-2</v>
      </c>
      <c r="F138" s="4" t="e">
        <f ca="1">_xll.cfyql_IndexAddFixings($B$1,D138,E138/100,TRUE,Trigger)</f>
        <v>#NAME?</v>
      </c>
    </row>
    <row r="139" spans="4:6" x14ac:dyDescent="0.2">
      <c r="D139" s="5">
        <v>42086</v>
      </c>
      <c r="E139" s="6">
        <v>8.0000000000000002E-3</v>
      </c>
      <c r="F139" s="4" t="e">
        <f ca="1">_xll.cfyql_IndexAddFixings($B$1,D139,E139/100,TRUE,Trigger)</f>
        <v>#NAME?</v>
      </c>
    </row>
    <row r="140" spans="4:6" x14ac:dyDescent="0.2">
      <c r="D140" s="5">
        <v>42083</v>
      </c>
      <c r="E140" s="6">
        <v>8.9999999999999993E-3</v>
      </c>
      <c r="F140" s="4" t="e">
        <f ca="1">_xll.cfyql_IndexAddFixings($B$1,D140,E140/100,TRUE,Trigger)</f>
        <v>#NAME?</v>
      </c>
    </row>
    <row r="141" spans="4:6" x14ac:dyDescent="0.2">
      <c r="D141" s="5">
        <v>42082</v>
      </c>
      <c r="E141" s="6">
        <v>1.2999999999999999E-2</v>
      </c>
      <c r="F141" s="4" t="e">
        <f ca="1">_xll.cfyql_IndexAddFixings($B$1,D141,E141/100,TRUE,Trigger)</f>
        <v>#NAME?</v>
      </c>
    </row>
    <row r="142" spans="4:6" x14ac:dyDescent="0.2">
      <c r="D142" s="5">
        <v>42081</v>
      </c>
      <c r="E142" s="6">
        <v>2.1000000000000001E-2</v>
      </c>
      <c r="F142" s="4" t="e">
        <f ca="1">_xll.cfyql_IndexAddFixings($B$1,D142,E142/100,TRUE,Trigger)</f>
        <v>#NAME?</v>
      </c>
    </row>
    <row r="143" spans="4:6" x14ac:dyDescent="0.2">
      <c r="D143" s="5">
        <v>42080</v>
      </c>
      <c r="E143" s="6">
        <v>4.0000000000000001E-3</v>
      </c>
      <c r="F143" s="4" t="e">
        <f ca="1">_xll.cfyql_IndexAddFixings($B$1,D143,E143/100,TRUE,Trigger)</f>
        <v>#NAME?</v>
      </c>
    </row>
    <row r="144" spans="4:6" x14ac:dyDescent="0.2">
      <c r="D144" s="5">
        <v>42079</v>
      </c>
      <c r="E144" s="6">
        <v>2E-3</v>
      </c>
      <c r="F144" s="4" t="e">
        <f ca="1">_xll.cfyql_IndexAddFixings($B$1,D144,E144/100,TRUE,Trigger)</f>
        <v>#NAME?</v>
      </c>
    </row>
    <row r="145" spans="4:6" x14ac:dyDescent="0.2">
      <c r="D145" s="5">
        <v>42076</v>
      </c>
      <c r="E145" s="6">
        <v>5.0000000000000001E-3</v>
      </c>
      <c r="F145" s="4" t="e">
        <f ca="1">_xll.cfyql_IndexAddFixings($B$1,D145,E145/100,TRUE,Trigger)</f>
        <v>#NAME?</v>
      </c>
    </row>
    <row r="146" spans="4:6" x14ac:dyDescent="0.2">
      <c r="D146" s="5">
        <v>42075</v>
      </c>
      <c r="E146" s="6">
        <v>4.0000000000000001E-3</v>
      </c>
      <c r="F146" s="4" t="e">
        <f ca="1">_xll.cfyql_IndexAddFixings($B$1,D146,E146/100,TRUE,Trigger)</f>
        <v>#NAME?</v>
      </c>
    </row>
    <row r="147" spans="4:6" x14ac:dyDescent="0.2">
      <c r="D147" s="5">
        <v>42074</v>
      </c>
      <c r="E147" s="6">
        <v>7.0000000000000001E-3</v>
      </c>
      <c r="F147" s="4" t="e">
        <f ca="1">_xll.cfyql_IndexAddFixings($B$1,D147,E147/100,TRUE,Trigger)</f>
        <v>#NAME?</v>
      </c>
    </row>
    <row r="148" spans="4:6" x14ac:dyDescent="0.2">
      <c r="D148" s="5">
        <v>42073</v>
      </c>
      <c r="E148" s="6">
        <v>0.01</v>
      </c>
      <c r="F148" s="4" t="e">
        <f ca="1">_xll.cfyql_IndexAddFixings($B$1,D148,E148/100,TRUE,Trigger)</f>
        <v>#NAME?</v>
      </c>
    </row>
    <row r="149" spans="4:6" x14ac:dyDescent="0.2">
      <c r="D149" s="5">
        <v>42072</v>
      </c>
      <c r="E149" s="6">
        <v>1.2999999999999999E-2</v>
      </c>
      <c r="F149" s="4" t="e">
        <f ca="1">_xll.cfyql_IndexAddFixings($B$1,D149,E149/100,TRUE,Trigger)</f>
        <v>#NAME?</v>
      </c>
    </row>
    <row r="150" spans="4:6" x14ac:dyDescent="0.2">
      <c r="D150" s="5">
        <v>42069</v>
      </c>
      <c r="E150" s="6">
        <v>1.4E-2</v>
      </c>
      <c r="F150" s="4" t="e">
        <f ca="1">_xll.cfyql_IndexAddFixings($B$1,D150,E150/100,TRUE,Trigger)</f>
        <v>#NAME?</v>
      </c>
    </row>
    <row r="151" spans="4:6" x14ac:dyDescent="0.2">
      <c r="D151" s="5">
        <v>42068</v>
      </c>
      <c r="E151" s="6">
        <v>1.7000000000000001E-2</v>
      </c>
      <c r="F151" s="4" t="e">
        <f ca="1">_xll.cfyql_IndexAddFixings($B$1,D151,E151/100,TRUE,Trigger)</f>
        <v>#NAME?</v>
      </c>
    </row>
    <row r="152" spans="4:6" x14ac:dyDescent="0.2">
      <c r="D152" s="5">
        <v>42067</v>
      </c>
      <c r="E152" s="6">
        <v>1.7000000000000001E-2</v>
      </c>
      <c r="F152" s="4" t="e">
        <f ca="1">_xll.cfyql_IndexAddFixings($B$1,D152,E152/100,TRUE,Trigger)</f>
        <v>#NAME?</v>
      </c>
    </row>
    <row r="153" spans="4:6" x14ac:dyDescent="0.2">
      <c r="D153" s="5">
        <v>42066</v>
      </c>
      <c r="E153" s="6">
        <v>1.7000000000000001E-2</v>
      </c>
      <c r="F153" s="4" t="e">
        <f ca="1">_xll.cfyql_IndexAddFixings($B$1,D153,E153/100,TRUE,Trigger)</f>
        <v>#NAME?</v>
      </c>
    </row>
    <row r="154" spans="4:6" x14ac:dyDescent="0.2">
      <c r="D154" s="5">
        <v>42065</v>
      </c>
      <c r="E154" s="6">
        <v>1.4999999999999999E-2</v>
      </c>
      <c r="F154" s="4" t="e">
        <f ca="1">_xll.cfyql_IndexAddFixings($B$1,D154,E154/100,TRUE,Trigger)</f>
        <v>#NAME?</v>
      </c>
    </row>
    <row r="155" spans="4:6" x14ac:dyDescent="0.2">
      <c r="D155" s="5">
        <v>42062</v>
      </c>
      <c r="E155" s="6">
        <v>1.2E-2</v>
      </c>
      <c r="F155" s="4" t="e">
        <f ca="1">_xll.cfyql_IndexAddFixings($B$1,D155,E155/100,TRUE,Trigger)</f>
        <v>#NAME?</v>
      </c>
    </row>
    <row r="156" spans="4:6" x14ac:dyDescent="0.2">
      <c r="D156" s="5">
        <v>42061</v>
      </c>
      <c r="E156" s="4">
        <v>1.4999999999999999E-2</v>
      </c>
      <c r="F156" s="4" t="e">
        <f ca="1">_xll.cfyql_IndexAddFixings($B$1,D156,E156/100,TRUE,Trigger)</f>
        <v>#NAME?</v>
      </c>
    </row>
    <row r="157" spans="4:6" x14ac:dyDescent="0.2">
      <c r="D157" s="5">
        <v>42060</v>
      </c>
      <c r="E157" s="4">
        <v>2.5000000000000001E-2</v>
      </c>
      <c r="F157" s="4" t="e">
        <f ca="1">_xll.cfyql_IndexAddFixings($B$1,D157,E157/100,TRUE,Trigger)</f>
        <v>#NAME?</v>
      </c>
    </row>
    <row r="158" spans="4:6" x14ac:dyDescent="0.2">
      <c r="D158" s="5">
        <v>42059</v>
      </c>
      <c r="E158" s="4">
        <v>3.5000000000000003E-2</v>
      </c>
      <c r="F158" s="4" t="e">
        <f ca="1">_xll.cfyql_IndexAddFixings($B$1,D158,E158/100,TRUE,Trigger)</f>
        <v>#NAME?</v>
      </c>
    </row>
    <row r="159" spans="4:6" x14ac:dyDescent="0.2">
      <c r="D159" s="5">
        <v>42058</v>
      </c>
      <c r="E159" s="4">
        <v>3.6999999999999998E-2</v>
      </c>
      <c r="F159" s="4" t="e">
        <f ca="1">_xll.cfyql_IndexAddFixings($B$1,D159,E159/100,TRUE,Trigger)</f>
        <v>#NAME?</v>
      </c>
    </row>
    <row r="160" spans="4:6" x14ac:dyDescent="0.2">
      <c r="D160" s="5">
        <v>42055</v>
      </c>
      <c r="E160" s="4">
        <v>0.05</v>
      </c>
      <c r="F160" s="4" t="e">
        <f ca="1">_xll.cfyql_IndexAddFixings($B$1,D160,E160/100,TRUE,Trigger)</f>
        <v>#NAME?</v>
      </c>
    </row>
    <row r="161" spans="4:6" x14ac:dyDescent="0.2">
      <c r="D161" s="5">
        <v>42054</v>
      </c>
      <c r="E161" s="4">
        <v>4.1000000000000002E-2</v>
      </c>
      <c r="F161" s="4" t="e">
        <f ca="1">_xll.cfyql_IndexAddFixings($B$1,D161,E161/100,TRUE,Trigger)</f>
        <v>#NAME?</v>
      </c>
    </row>
    <row r="162" spans="4:6" x14ac:dyDescent="0.2">
      <c r="D162" s="5">
        <v>42053</v>
      </c>
      <c r="E162" s="4">
        <v>4.1000000000000002E-2</v>
      </c>
      <c r="F162" s="4" t="e">
        <f ca="1">_xll.cfyql_IndexAddFixings($B$1,D162,E162/100,TRUE,Trigger)</f>
        <v>#NAME?</v>
      </c>
    </row>
    <row r="163" spans="4:6" x14ac:dyDescent="0.2">
      <c r="D163" s="5">
        <v>42052</v>
      </c>
      <c r="E163" s="4">
        <v>4.5999999999999999E-2</v>
      </c>
      <c r="F163" s="4" t="e">
        <f ca="1">_xll.cfyql_IndexAddFixings($B$1,D163,E163/100,TRUE,Trigger)</f>
        <v>#NAME?</v>
      </c>
    </row>
    <row r="164" spans="4:6" x14ac:dyDescent="0.2">
      <c r="D164" s="5">
        <v>42051</v>
      </c>
      <c r="E164" s="4">
        <v>4.2000000000000003E-2</v>
      </c>
      <c r="F164" s="4" t="e">
        <f ca="1">_xll.cfyql_IndexAddFixings($B$1,D164,E164/100,TRUE,Trigger)</f>
        <v>#NAME?</v>
      </c>
    </row>
    <row r="165" spans="4:6" x14ac:dyDescent="0.2">
      <c r="D165" s="5">
        <v>42048</v>
      </c>
      <c r="E165" s="4">
        <v>4.2000000000000003E-2</v>
      </c>
      <c r="F165" s="4" t="e">
        <f ca="1">_xll.cfyql_IndexAddFixings($B$1,D165,E165/100,TRUE,Trigger)</f>
        <v>#NAME?</v>
      </c>
    </row>
    <row r="166" spans="4:6" x14ac:dyDescent="0.2">
      <c r="D166" s="5">
        <v>42047</v>
      </c>
      <c r="E166" s="4">
        <v>4.2999999999999997E-2</v>
      </c>
      <c r="F166" s="4" t="e">
        <f ca="1">_xll.cfyql_IndexAddFixings($B$1,D166,E166/100,TRUE,Trigger)</f>
        <v>#NAME?</v>
      </c>
    </row>
    <row r="167" spans="4:6" x14ac:dyDescent="0.2">
      <c r="D167" s="5">
        <v>42046</v>
      </c>
      <c r="E167" s="4">
        <v>4.9000000000000002E-2</v>
      </c>
      <c r="F167" s="4" t="e">
        <f ca="1">_xll.cfyql_IndexAddFixings($B$1,D167,E167/100,TRUE,Trigger)</f>
        <v>#NAME?</v>
      </c>
    </row>
    <row r="168" spans="4:6" x14ac:dyDescent="0.2">
      <c r="D168" s="5">
        <v>42045</v>
      </c>
      <c r="E168" s="4">
        <v>5.6000000000000001E-2</v>
      </c>
      <c r="F168" s="4" t="e">
        <f ca="1">_xll.cfyql_IndexAddFixings($B$1,D168,E168/100,TRUE,Trigger)</f>
        <v>#NAME?</v>
      </c>
    </row>
    <row r="169" spans="4:6" x14ac:dyDescent="0.2">
      <c r="D169" s="5">
        <v>42044</v>
      </c>
      <c r="E169" s="4">
        <v>5.2999999999999999E-2</v>
      </c>
      <c r="F169" s="4" t="e">
        <f ca="1">_xll.cfyql_IndexAddFixings($B$1,D169,E169/100,TRUE,Trigger)</f>
        <v>#NAME?</v>
      </c>
    </row>
    <row r="170" spans="4:6" x14ac:dyDescent="0.2">
      <c r="D170" s="5">
        <v>42041</v>
      </c>
      <c r="E170" s="4">
        <v>4.7E-2</v>
      </c>
      <c r="F170" s="4" t="e">
        <f ca="1">_xll.cfyql_IndexAddFixings($B$1,D170,E170/100,TRUE,Trigger)</f>
        <v>#NAME?</v>
      </c>
    </row>
    <row r="171" spans="4:6" x14ac:dyDescent="0.2">
      <c r="D171" s="5">
        <v>42040</v>
      </c>
      <c r="E171" s="4">
        <v>0.05</v>
      </c>
      <c r="F171" s="4" t="e">
        <f ca="1">_xll.cfyql_IndexAddFixings($B$1,D171,E171/100,TRUE,Trigger)</f>
        <v>#NAME?</v>
      </c>
    </row>
    <row r="172" spans="4:6" x14ac:dyDescent="0.2">
      <c r="D172" s="5">
        <v>42039</v>
      </c>
      <c r="E172" s="4">
        <v>4.2000000000000003E-2</v>
      </c>
      <c r="F172" s="4" t="e">
        <f ca="1">_xll.cfyql_IndexAddFixings($B$1,D172,E172/100,TRUE,Trigger)</f>
        <v>#NAME?</v>
      </c>
    </row>
    <row r="173" spans="4:6" x14ac:dyDescent="0.2">
      <c r="D173" s="5">
        <v>42038</v>
      </c>
      <c r="E173" s="4">
        <v>4.2999999999999997E-2</v>
      </c>
      <c r="F173" s="4" t="e">
        <f ca="1">_xll.cfyql_IndexAddFixings($B$1,D173,E173/100,TRUE,Trigger)</f>
        <v>#NAME?</v>
      </c>
    </row>
    <row r="174" spans="4:6" x14ac:dyDescent="0.2">
      <c r="D174" s="5">
        <v>42037</v>
      </c>
      <c r="E174" s="4">
        <v>5.5E-2</v>
      </c>
      <c r="F174" s="4" t="e">
        <f ca="1">_xll.cfyql_IndexAddFixings($B$1,D174,E174/100,TRUE,Trigger)</f>
        <v>#NAME?</v>
      </c>
    </row>
    <row r="175" spans="4:6" x14ac:dyDescent="0.2">
      <c r="D175" s="5">
        <v>42034</v>
      </c>
      <c r="E175" s="4">
        <v>3.9E-2</v>
      </c>
      <c r="F175" s="4" t="e">
        <f ca="1">_xll.cfyql_IndexAddFixings($B$1,D175,E175/100,TRUE,Trigger)</f>
        <v>#NAME?</v>
      </c>
    </row>
    <row r="176" spans="4:6" x14ac:dyDescent="0.2">
      <c r="D176" s="5">
        <v>42033</v>
      </c>
      <c r="E176" s="4">
        <v>3.6999999999999998E-2</v>
      </c>
      <c r="F176" s="4" t="e">
        <f ca="1">_xll.cfyql_IndexAddFixings($B$1,D176,E176/100,TRUE,Trigger)</f>
        <v>#NAME?</v>
      </c>
    </row>
    <row r="177" spans="4:6" x14ac:dyDescent="0.2">
      <c r="D177" s="5">
        <v>42032</v>
      </c>
      <c r="E177" s="4">
        <v>0.03</v>
      </c>
      <c r="F177" s="4" t="e">
        <f ca="1">_xll.cfyql_IndexAddFixings($B$1,D177,E177/100,TRUE,Trigger)</f>
        <v>#NAME?</v>
      </c>
    </row>
    <row r="178" spans="4:6" x14ac:dyDescent="0.2">
      <c r="D178" s="5">
        <v>42031</v>
      </c>
      <c r="E178" s="4">
        <v>3.5000000000000003E-2</v>
      </c>
      <c r="F178" s="4" t="e">
        <f ca="1">_xll.cfyql_IndexAddFixings($B$1,D178,E178/100,TRUE,Trigger)</f>
        <v>#NAME?</v>
      </c>
    </row>
    <row r="179" spans="4:6" x14ac:dyDescent="0.2">
      <c r="D179" s="5">
        <v>42030</v>
      </c>
      <c r="E179" s="4">
        <v>0.03</v>
      </c>
      <c r="F179" s="4" t="e">
        <f ca="1">_xll.cfyql_IndexAddFixings($B$1,D179,E179/100,TRUE,Trigger)</f>
        <v>#NAME?</v>
      </c>
    </row>
    <row r="180" spans="4:6" x14ac:dyDescent="0.2">
      <c r="D180" s="5">
        <v>42027</v>
      </c>
      <c r="E180" s="4">
        <v>0.02</v>
      </c>
      <c r="F180" s="4" t="e">
        <f ca="1">_xll.cfyql_IndexAddFixings($B$1,D180,E180/100,TRUE,Trigger)</f>
        <v>#NAME?</v>
      </c>
    </row>
    <row r="181" spans="4:6" x14ac:dyDescent="0.2">
      <c r="D181" s="5">
        <v>42026</v>
      </c>
      <c r="E181" s="4">
        <v>3.4000000000000002E-2</v>
      </c>
      <c r="F181" s="4" t="e">
        <f ca="1">_xll.cfyql_IndexAddFixings($B$1,D181,E181/100,TRUE,Trigger)</f>
        <v>#NAME?</v>
      </c>
    </row>
    <row r="182" spans="4:6" x14ac:dyDescent="0.2">
      <c r="D182" s="5">
        <v>42025</v>
      </c>
      <c r="E182" s="4">
        <v>2.7E-2</v>
      </c>
      <c r="F182" s="4" t="e">
        <f ca="1">_xll.cfyql_IndexAddFixings($B$1,D182,E182/100,TRUE,Trigger)</f>
        <v>#NAME?</v>
      </c>
    </row>
    <row r="183" spans="4:6" x14ac:dyDescent="0.2">
      <c r="D183" s="5">
        <v>42024</v>
      </c>
      <c r="E183" s="4">
        <v>2.1999999999999999E-2</v>
      </c>
      <c r="F183" s="4" t="e">
        <f ca="1">_xll.cfyql_IndexAddFixings($B$1,D183,E183/100,TRUE,Trigger)</f>
        <v>#NAME?</v>
      </c>
    </row>
    <row r="184" spans="4:6" x14ac:dyDescent="0.2">
      <c r="D184" s="5">
        <v>42023</v>
      </c>
      <c r="E184" s="4">
        <v>0.02</v>
      </c>
      <c r="F184" s="4" t="e">
        <f ca="1">_xll.cfyql_IndexAddFixings($B$1,D184,E184/100,TRUE,Trigger)</f>
        <v>#NAME?</v>
      </c>
    </row>
    <row r="185" spans="4:6" x14ac:dyDescent="0.2">
      <c r="D185" s="5">
        <v>42020</v>
      </c>
      <c r="E185" s="4">
        <v>2.1000000000000001E-2</v>
      </c>
      <c r="F185" s="4" t="e">
        <f ca="1">_xll.cfyql_IndexAddFixings($B$1,D185,E185/100,TRUE,Trigger)</f>
        <v>#NAME?</v>
      </c>
    </row>
    <row r="186" spans="4:6" x14ac:dyDescent="0.2">
      <c r="D186" s="5">
        <v>42019</v>
      </c>
      <c r="E186" s="4">
        <v>2.7E-2</v>
      </c>
      <c r="F186" s="4" t="e">
        <f ca="1">_xll.cfyql_IndexAddFixings($B$1,D186,E186/100,TRUE,Trigger)</f>
        <v>#NAME?</v>
      </c>
    </row>
    <row r="187" spans="4:6" x14ac:dyDescent="0.2">
      <c r="D187" s="5">
        <v>42018</v>
      </c>
      <c r="E187" s="4">
        <v>5.1999999999999998E-2</v>
      </c>
      <c r="F187" s="4" t="e">
        <f ca="1">_xll.cfyql_IndexAddFixings($B$1,D187,E187/100,TRUE,Trigger)</f>
        <v>#NAME?</v>
      </c>
    </row>
    <row r="188" spans="4:6" x14ac:dyDescent="0.2">
      <c r="D188" s="5">
        <v>42017</v>
      </c>
      <c r="E188" s="4">
        <v>5.1999999999999998E-2</v>
      </c>
      <c r="F188" s="4" t="e">
        <f ca="1">_xll.cfyql_IndexAddFixings($B$1,D188,E188/100,TRUE,Trigger)</f>
        <v>#NAME?</v>
      </c>
    </row>
    <row r="189" spans="4:6" x14ac:dyDescent="0.2">
      <c r="D189" s="5">
        <v>42016</v>
      </c>
      <c r="E189" s="4">
        <v>5.5E-2</v>
      </c>
      <c r="F189" s="4" t="e">
        <f ca="1">_xll.cfyql_IndexAddFixings($B$1,D189,E189/100,TRUE,Trigger)</f>
        <v>#NAME?</v>
      </c>
    </row>
    <row r="190" spans="4:6" x14ac:dyDescent="0.2">
      <c r="D190" s="5">
        <v>42013</v>
      </c>
      <c r="E190" s="4">
        <v>5.7000000000000002E-2</v>
      </c>
      <c r="F190" s="4" t="e">
        <f ca="1">_xll.cfyql_IndexAddFixings($B$1,D190,E190/100,TRUE,Trigger)</f>
        <v>#NAME?</v>
      </c>
    </row>
    <row r="191" spans="4:6" x14ac:dyDescent="0.2">
      <c r="D191" s="5">
        <v>42012</v>
      </c>
      <c r="E191" s="4">
        <v>5.7000000000000002E-2</v>
      </c>
      <c r="F191" s="4" t="e">
        <f ca="1">_xll.cfyql_IndexAddFixings($B$1,D191,E191/100,TRUE,Trigger)</f>
        <v>#NAME?</v>
      </c>
    </row>
    <row r="192" spans="4:6" x14ac:dyDescent="0.2">
      <c r="D192" s="5">
        <v>42011</v>
      </c>
      <c r="E192" s="4">
        <v>5.3999999999999999E-2</v>
      </c>
      <c r="F192" s="4" t="e">
        <f ca="1">_xll.cfyql_IndexAddFixings($B$1,D192,E192/100,TRUE,Trigger)</f>
        <v>#NAME?</v>
      </c>
    </row>
    <row r="193" spans="4:6" x14ac:dyDescent="0.2">
      <c r="D193" s="5">
        <v>42010</v>
      </c>
      <c r="E193" s="4">
        <v>5.5E-2</v>
      </c>
      <c r="F193" s="4" t="e">
        <f ca="1">_xll.cfyql_IndexAddFixings($B$1,D193,E193/100,TRUE,Trigger)</f>
        <v>#NAME?</v>
      </c>
    </row>
    <row r="194" spans="4:6" x14ac:dyDescent="0.2">
      <c r="D194" s="5">
        <v>42009</v>
      </c>
      <c r="E194" s="4">
        <v>5.6000000000000001E-2</v>
      </c>
      <c r="F194" s="4" t="e">
        <f ca="1">_xll.cfyql_IndexAddFixings($B$1,D194,E194/100,TRUE,Trigger)</f>
        <v>#NAME?</v>
      </c>
    </row>
    <row r="195" spans="4:6" x14ac:dyDescent="0.2">
      <c r="D195" s="5">
        <v>42006</v>
      </c>
      <c r="E195" s="4">
        <v>5.8000000000000003E-2</v>
      </c>
      <c r="F195" s="4" t="e">
        <f ca="1">_xll.cfyql_IndexAddFixings($B$1,D195,E195/100,TRUE,Trigger)</f>
        <v>#NAME?</v>
      </c>
    </row>
    <row r="196" spans="4:6" x14ac:dyDescent="0.2">
      <c r="D196" s="5">
        <v>42003</v>
      </c>
      <c r="E196" s="4">
        <v>6.9000000000000006E-2</v>
      </c>
      <c r="F196" s="4" t="e">
        <f ca="1">_xll.cfyql_IndexAddFixings($B$1,D196,E196/100,TRUE,Trigger)</f>
        <v>#NAME?</v>
      </c>
    </row>
    <row r="197" spans="4:6" x14ac:dyDescent="0.2">
      <c r="D197" s="5">
        <v>42002</v>
      </c>
      <c r="E197" s="4">
        <v>7.0000000000000007E-2</v>
      </c>
      <c r="F197" s="4" t="e">
        <f ca="1">_xll.cfyql_IndexAddFixings($B$1,D197,E197/100,TRUE,Trigger)</f>
        <v>#NAME?</v>
      </c>
    </row>
    <row r="198" spans="4:6" x14ac:dyDescent="0.2">
      <c r="D198" s="5">
        <v>41996</v>
      </c>
      <c r="E198" s="4">
        <v>7.3999999999999996E-2</v>
      </c>
      <c r="F198" s="4" t="e">
        <f ca="1">_xll.cfyql_IndexAddFixings($B$1,D198,E198/100,TRUE,Trigger)</f>
        <v>#NAME?</v>
      </c>
    </row>
    <row r="199" spans="4:6" x14ac:dyDescent="0.2">
      <c r="D199" s="5">
        <v>41995</v>
      </c>
      <c r="E199" s="4">
        <v>7.8E-2</v>
      </c>
      <c r="F199" s="4" t="e">
        <f ca="1">_xll.cfyql_IndexAddFixings($B$1,D199,E199/100,TRUE,Trigger)</f>
        <v>#NAME?</v>
      </c>
    </row>
    <row r="200" spans="4:6" x14ac:dyDescent="0.2">
      <c r="D200" s="5">
        <v>41992</v>
      </c>
      <c r="E200" s="4">
        <v>7.9000000000000001E-2</v>
      </c>
      <c r="F200" s="4" t="e">
        <f ca="1">_xll.cfyql_IndexAddFixings($B$1,D200,E200/100,TRUE,Trigger)</f>
        <v>#NAME?</v>
      </c>
    </row>
    <row r="201" spans="4:6" x14ac:dyDescent="0.2">
      <c r="D201" s="5">
        <v>41991</v>
      </c>
      <c r="E201" s="4">
        <v>0.08</v>
      </c>
      <c r="F201" s="4" t="e">
        <f ca="1">_xll.cfyql_IndexAddFixings($B$1,D201,E201/100,TRUE,Trigger)</f>
        <v>#NAME?</v>
      </c>
    </row>
    <row r="202" spans="4:6" x14ac:dyDescent="0.2">
      <c r="D202" s="5">
        <v>41990</v>
      </c>
      <c r="E202" s="4">
        <v>0.09</v>
      </c>
      <c r="F202" s="4" t="e">
        <f ca="1">_xll.cfyql_IndexAddFixings($B$1,D202,E202/100,TRUE,Trigger)</f>
        <v>#NAME?</v>
      </c>
    </row>
    <row r="203" spans="4:6" x14ac:dyDescent="0.2">
      <c r="D203" s="5">
        <v>41989</v>
      </c>
      <c r="E203" s="4">
        <v>8.5000000000000006E-2</v>
      </c>
      <c r="F203" s="4" t="e">
        <f ca="1">_xll.cfyql_IndexAddFixings($B$1,D203,E203/100,TRUE,Trigger)</f>
        <v>#NAME?</v>
      </c>
    </row>
    <row r="204" spans="4:6" x14ac:dyDescent="0.2">
      <c r="D204" s="5">
        <v>41988</v>
      </c>
      <c r="E204" s="4">
        <v>8.4000000000000005E-2</v>
      </c>
      <c r="F204" s="4" t="e">
        <f ca="1">_xll.cfyql_IndexAddFixings($B$1,D204,E204/100,TRUE,Trigger)</f>
        <v>#NAME?</v>
      </c>
    </row>
    <row r="205" spans="4:6" x14ac:dyDescent="0.2">
      <c r="D205" s="5">
        <v>41985</v>
      </c>
      <c r="E205" s="4">
        <v>8.7999999999999995E-2</v>
      </c>
      <c r="F205" s="4" t="e">
        <f ca="1">_xll.cfyql_IndexAddFixings($B$1,D205,E205/100,TRUE,Trigger)</f>
        <v>#NAME?</v>
      </c>
    </row>
    <row r="206" spans="4:6" x14ac:dyDescent="0.2">
      <c r="D206" s="5">
        <v>41984</v>
      </c>
      <c r="E206" s="4">
        <v>8.8999999999999996E-2</v>
      </c>
      <c r="F206" s="4" t="e">
        <f ca="1">_xll.cfyql_IndexAddFixings($B$1,D206,E206/100,TRUE,Trigger)</f>
        <v>#NAME?</v>
      </c>
    </row>
    <row r="207" spans="4:6" x14ac:dyDescent="0.2">
      <c r="D207" s="5">
        <v>41983</v>
      </c>
      <c r="E207" s="4">
        <v>8.8999999999999996E-2</v>
      </c>
      <c r="F207" s="4" t="e">
        <f ca="1">_xll.cfyql_IndexAddFixings($B$1,D207,E207/100,TRUE,Trigger)</f>
        <v>#NAME?</v>
      </c>
    </row>
    <row r="208" spans="4:6" x14ac:dyDescent="0.2">
      <c r="D208" s="5">
        <v>41982</v>
      </c>
      <c r="E208" s="4">
        <v>8.2000000000000003E-2</v>
      </c>
      <c r="F208" s="4" t="e">
        <f ca="1">_xll.cfyql_IndexAddFixings($B$1,D208,E208/100,TRUE,Trigger)</f>
        <v>#NAME?</v>
      </c>
    </row>
    <row r="209" spans="4:6" x14ac:dyDescent="0.2">
      <c r="D209" s="5">
        <v>41981</v>
      </c>
      <c r="E209" s="4">
        <v>8.5000000000000006E-2</v>
      </c>
      <c r="F209" s="4" t="e">
        <f ca="1">_xll.cfyql_IndexAddFixings($B$1,D209,E209/100,TRUE,Trigger)</f>
        <v>#NAME?</v>
      </c>
    </row>
    <row r="210" spans="4:6" x14ac:dyDescent="0.2">
      <c r="D210" s="5">
        <v>41978</v>
      </c>
      <c r="E210" s="4">
        <v>8.5999999999999993E-2</v>
      </c>
      <c r="F210" s="4" t="e">
        <f ca="1">_xll.cfyql_IndexAddFixings($B$1,D210,E210/100,TRUE,Trigger)</f>
        <v>#NAME?</v>
      </c>
    </row>
    <row r="211" spans="4:6" x14ac:dyDescent="0.2">
      <c r="D211" s="5">
        <v>41977</v>
      </c>
      <c r="E211" s="4">
        <v>7.2999999999999995E-2</v>
      </c>
      <c r="F211" s="4" t="e">
        <f ca="1">_xll.cfyql_IndexAddFixings($B$1,D211,E211/100,TRUE,Trigger)</f>
        <v>#NAME?</v>
      </c>
    </row>
    <row r="212" spans="4:6" x14ac:dyDescent="0.2">
      <c r="D212" s="5">
        <v>41976</v>
      </c>
      <c r="E212" s="4">
        <v>7.6999999999999999E-2</v>
      </c>
      <c r="F212" s="4" t="e">
        <f ca="1">_xll.cfyql_IndexAddFixings($B$1,D212,E212/100,TRUE,Trigger)</f>
        <v>#NAME?</v>
      </c>
    </row>
    <row r="213" spans="4:6" x14ac:dyDescent="0.2">
      <c r="D213" s="5">
        <v>41975</v>
      </c>
      <c r="E213" s="4">
        <v>8.4000000000000005E-2</v>
      </c>
      <c r="F213" s="4" t="e">
        <f ca="1">_xll.cfyql_IndexAddFixings($B$1,D213,E213/100,TRUE,Trigger)</f>
        <v>#NAME?</v>
      </c>
    </row>
    <row r="214" spans="4:6" x14ac:dyDescent="0.2">
      <c r="D214" s="5">
        <v>41974</v>
      </c>
      <c r="E214" s="4">
        <v>0.08</v>
      </c>
      <c r="F214" s="4" t="e">
        <f ca="1">_xll.cfyql_IndexAddFixings($B$1,D214,E214/100,TRUE,Trigger)</f>
        <v>#NAME?</v>
      </c>
    </row>
    <row r="215" spans="4:6" x14ac:dyDescent="0.2">
      <c r="D215" s="5">
        <v>41971</v>
      </c>
      <c r="E215" s="4">
        <v>0.08</v>
      </c>
      <c r="F215" s="4" t="e">
        <f ca="1">_xll.cfyql_IndexAddFixings($B$1,D215,E215/100,TRUE,Trigger)</f>
        <v>#NAME?</v>
      </c>
    </row>
    <row r="216" spans="4:6" x14ac:dyDescent="0.2">
      <c r="D216" s="5">
        <v>41970</v>
      </c>
      <c r="E216" s="4">
        <v>0.08</v>
      </c>
      <c r="F216" s="4" t="e">
        <f ca="1">_xll.cfyql_IndexAddFixings($B$1,D216,E216/100,TRUE,Trigger)</f>
        <v>#NAME?</v>
      </c>
    </row>
    <row r="217" spans="4:6" x14ac:dyDescent="0.2">
      <c r="D217" s="5">
        <v>41969</v>
      </c>
      <c r="E217" s="4">
        <v>8.1000000000000003E-2</v>
      </c>
      <c r="F217" s="4" t="e">
        <f ca="1">_xll.cfyql_IndexAddFixings($B$1,D217,E217/100,TRUE,Trigger)</f>
        <v>#NAME?</v>
      </c>
    </row>
    <row r="218" spans="4:6" x14ac:dyDescent="0.2">
      <c r="D218" s="5">
        <v>41968</v>
      </c>
      <c r="E218" s="4">
        <v>7.8E-2</v>
      </c>
      <c r="F218" s="4" t="e">
        <f ca="1">_xll.cfyql_IndexAddFixings($B$1,D218,E218/100,TRUE,Trigger)</f>
        <v>#NAME?</v>
      </c>
    </row>
    <row r="219" spans="4:6" x14ac:dyDescent="0.2">
      <c r="D219" s="5">
        <v>41967</v>
      </c>
      <c r="E219" s="4">
        <v>7.5999999999999998E-2</v>
      </c>
      <c r="F219" s="4" t="e">
        <f ca="1">_xll.cfyql_IndexAddFixings($B$1,D219,E219/100,TRUE,Trigger)</f>
        <v>#NAME?</v>
      </c>
    </row>
    <row r="220" spans="4:6" x14ac:dyDescent="0.2">
      <c r="D220" s="5">
        <v>41964</v>
      </c>
      <c r="E220" s="4">
        <v>0.08</v>
      </c>
      <c r="F220" s="4" t="e">
        <f ca="1">_xll.cfyql_IndexAddFixings($B$1,D220,E220/100,TRUE,Trigger)</f>
        <v>#NAME?</v>
      </c>
    </row>
    <row r="221" spans="4:6" x14ac:dyDescent="0.2">
      <c r="D221" s="5">
        <v>41963</v>
      </c>
      <c r="E221" s="4">
        <v>8.7999999999999995E-2</v>
      </c>
      <c r="F221" s="4" t="e">
        <f ca="1">_xll.cfyql_IndexAddFixings($B$1,D221,E221/100,TRUE,Trigger)</f>
        <v>#NAME?</v>
      </c>
    </row>
    <row r="222" spans="4:6" x14ac:dyDescent="0.2">
      <c r="D222" s="5">
        <v>41962</v>
      </c>
      <c r="E222" s="4">
        <v>9.2999999999999999E-2</v>
      </c>
      <c r="F222" s="4" t="e">
        <f ca="1">_xll.cfyql_IndexAddFixings($B$1,D222,E222/100,TRUE,Trigger)</f>
        <v>#NAME?</v>
      </c>
    </row>
    <row r="223" spans="4:6" x14ac:dyDescent="0.2">
      <c r="D223" s="5">
        <v>41961</v>
      </c>
      <c r="E223" s="4">
        <v>8.5000000000000006E-2</v>
      </c>
      <c r="F223" s="4" t="e">
        <f ca="1">_xll.cfyql_IndexAddFixings($B$1,D223,E223/100,TRUE,Trigger)</f>
        <v>#NAME?</v>
      </c>
    </row>
    <row r="224" spans="4:6" x14ac:dyDescent="0.2">
      <c r="D224" s="5">
        <v>41960</v>
      </c>
      <c r="E224" s="4">
        <v>8.3000000000000004E-2</v>
      </c>
      <c r="F224" s="4" t="e">
        <f ca="1">_xll.cfyql_IndexAddFixings($B$1,D224,E224/100,TRUE,Trigger)</f>
        <v>#NAME?</v>
      </c>
    </row>
    <row r="225" spans="4:6" x14ac:dyDescent="0.2">
      <c r="D225" s="5">
        <v>41957</v>
      </c>
      <c r="E225" s="4">
        <v>8.1000000000000003E-2</v>
      </c>
      <c r="F225" s="4" t="e">
        <f ca="1">_xll.cfyql_IndexAddFixings($B$1,D225,E225/100,TRUE,Trigger)</f>
        <v>#NAME?</v>
      </c>
    </row>
    <row r="226" spans="4:6" x14ac:dyDescent="0.2">
      <c r="D226" s="5">
        <v>41956</v>
      </c>
      <c r="E226" s="4">
        <v>8.1000000000000003E-2</v>
      </c>
      <c r="F226" s="4" t="e">
        <f ca="1">_xll.cfyql_IndexAddFixings($B$1,D226,E226/100,TRUE,Trigger)</f>
        <v>#NAME?</v>
      </c>
    </row>
    <row r="227" spans="4:6" x14ac:dyDescent="0.2">
      <c r="D227" s="5">
        <v>41955</v>
      </c>
      <c r="E227" s="4">
        <v>8.1000000000000003E-2</v>
      </c>
      <c r="F227" s="4" t="e">
        <f ca="1">_xll.cfyql_IndexAddFixings($B$1,D227,E227/100,TRUE,Trigger)</f>
        <v>#NAME?</v>
      </c>
    </row>
    <row r="228" spans="4:6" x14ac:dyDescent="0.2">
      <c r="D228" s="5">
        <v>41954</v>
      </c>
      <c r="E228" s="4">
        <v>8.3000000000000004E-2</v>
      </c>
      <c r="F228" s="4" t="e">
        <f ca="1">_xll.cfyql_IndexAddFixings($B$1,D228,E228/100,TRUE,Trigger)</f>
        <v>#NAME?</v>
      </c>
    </row>
    <row r="229" spans="4:6" x14ac:dyDescent="0.2">
      <c r="D229" s="5">
        <v>41953</v>
      </c>
      <c r="E229" s="4">
        <v>7.9000000000000001E-2</v>
      </c>
      <c r="F229" s="4" t="e">
        <f ca="1">_xll.cfyql_IndexAddFixings($B$1,D229,E229/100,TRUE,Trigger)</f>
        <v>#NAME?</v>
      </c>
    </row>
    <row r="230" spans="4:6" x14ac:dyDescent="0.2">
      <c r="D230" s="5">
        <v>41950</v>
      </c>
      <c r="E230" s="4">
        <v>8.1000000000000003E-2</v>
      </c>
      <c r="F230" s="4" t="e">
        <f ca="1">_xll.cfyql_IndexAddFixings($B$1,D230,E230/100,TRUE,Trigger)</f>
        <v>#NAME?</v>
      </c>
    </row>
    <row r="231" spans="4:6" x14ac:dyDescent="0.2">
      <c r="D231" s="5">
        <v>41949</v>
      </c>
      <c r="E231" s="4">
        <v>8.3000000000000004E-2</v>
      </c>
      <c r="F231" s="4" t="e">
        <f ca="1">_xll.cfyql_IndexAddFixings($B$1,D231,E231/100,TRUE,Trigger)</f>
        <v>#NAME?</v>
      </c>
    </row>
    <row r="232" spans="4:6" x14ac:dyDescent="0.2">
      <c r="D232" s="5">
        <v>41948</v>
      </c>
      <c r="E232" s="4">
        <v>8.6999999999999994E-2</v>
      </c>
      <c r="F232" s="4" t="e">
        <f ca="1">_xll.cfyql_IndexAddFixings($B$1,D232,E232/100,TRUE,Trigger)</f>
        <v>#NAME?</v>
      </c>
    </row>
    <row r="233" spans="4:6" x14ac:dyDescent="0.2">
      <c r="D233" s="5">
        <v>41947</v>
      </c>
      <c r="E233" s="4">
        <v>8.5999999999999993E-2</v>
      </c>
      <c r="F233" s="4" t="e">
        <f ca="1">_xll.cfyql_IndexAddFixings($B$1,D233,E233/100,TRUE,Trigger)</f>
        <v>#NAME?</v>
      </c>
    </row>
    <row r="234" spans="4:6" x14ac:dyDescent="0.2">
      <c r="D234" s="5">
        <v>41946</v>
      </c>
      <c r="E234" s="4">
        <v>8.8999999999999996E-2</v>
      </c>
      <c r="F234" s="4" t="e">
        <f ca="1">_xll.cfyql_IndexAddFixings($B$1,D234,E234/100,TRUE,Trigger)</f>
        <v>#NAME?</v>
      </c>
    </row>
    <row r="235" spans="4:6" x14ac:dyDescent="0.2">
      <c r="D235" s="5">
        <v>41943</v>
      </c>
      <c r="E235" s="4">
        <v>9.5000000000000001E-2</v>
      </c>
      <c r="F235" s="4" t="e">
        <f ca="1">_xll.cfyql_IndexAddFixings($B$1,D235,E235/100,TRUE,Trigger)</f>
        <v>#NAME?</v>
      </c>
    </row>
    <row r="236" spans="4:6" x14ac:dyDescent="0.2">
      <c r="D236" s="5">
        <v>41942</v>
      </c>
      <c r="E236" s="4">
        <v>9.6000000000000002E-2</v>
      </c>
      <c r="F236" s="4" t="e">
        <f ca="1">_xll.cfyql_IndexAddFixings($B$1,D236,E236/100,TRUE,Trigger)</f>
        <v>#NAME?</v>
      </c>
    </row>
    <row r="237" spans="4:6" x14ac:dyDescent="0.2">
      <c r="D237" s="5">
        <v>41941</v>
      </c>
      <c r="E237" s="4">
        <v>0.10100000000000001</v>
      </c>
      <c r="F237" s="4" t="e">
        <f ca="1">_xll.cfyql_IndexAddFixings($B$1,D237,E237/100,TRUE,Trigger)</f>
        <v>#NAME?</v>
      </c>
    </row>
    <row r="238" spans="4:6" x14ac:dyDescent="0.2">
      <c r="D238" s="5">
        <v>41940</v>
      </c>
      <c r="E238" s="4">
        <v>0.10199999999999999</v>
      </c>
      <c r="F238" s="4" t="e">
        <f ca="1">_xll.cfyql_IndexAddFixings($B$1,D238,E238/100,TRUE,Trigger)</f>
        <v>#NAME?</v>
      </c>
    </row>
    <row r="239" spans="4:6" x14ac:dyDescent="0.2">
      <c r="D239" s="5">
        <v>41939</v>
      </c>
      <c r="E239" s="4">
        <v>9.8000000000000004E-2</v>
      </c>
      <c r="F239" s="4" t="e">
        <f ca="1">_xll.cfyql_IndexAddFixings($B$1,D239,E239/100,TRUE,Trigger)</f>
        <v>#NAME?</v>
      </c>
    </row>
    <row r="240" spans="4:6" x14ac:dyDescent="0.2">
      <c r="D240" s="5">
        <v>41936</v>
      </c>
      <c r="E240" s="4">
        <v>9.8000000000000004E-2</v>
      </c>
      <c r="F240" s="4" t="e">
        <f ca="1">_xll.cfyql_IndexAddFixings($B$1,D240,E240/100,TRUE,Trigger)</f>
        <v>#NAME?</v>
      </c>
    </row>
    <row r="241" spans="4:6" x14ac:dyDescent="0.2">
      <c r="D241" s="5">
        <v>41935</v>
      </c>
      <c r="E241" s="4">
        <v>0.10100000000000001</v>
      </c>
      <c r="F241" s="4" t="e">
        <f ca="1">_xll.cfyql_IndexAddFixings($B$1,D241,E241/100,TRUE,Trigger)</f>
        <v>#NAME?</v>
      </c>
    </row>
    <row r="242" spans="4:6" x14ac:dyDescent="0.2">
      <c r="D242" s="5">
        <v>41934</v>
      </c>
      <c r="E242" s="4">
        <v>0.10299999999999999</v>
      </c>
      <c r="F242" s="4" t="e">
        <f ca="1">_xll.cfyql_IndexAddFixings($B$1,D242,E242/100,TRUE,Trigger)</f>
        <v>#NAME?</v>
      </c>
    </row>
    <row r="243" spans="4:6" x14ac:dyDescent="0.2">
      <c r="D243" s="5">
        <v>41933</v>
      </c>
      <c r="E243" s="4">
        <v>0.10199999999999999</v>
      </c>
      <c r="F243" s="4" t="e">
        <f ca="1">_xll.cfyql_IndexAddFixings($B$1,D243,E243/100,TRUE,Trigger)</f>
        <v>#NAME?</v>
      </c>
    </row>
    <row r="244" spans="4:6" x14ac:dyDescent="0.2">
      <c r="D244" s="5">
        <v>41932</v>
      </c>
      <c r="E244" s="4">
        <v>9.0999999999999998E-2</v>
      </c>
      <c r="F244" s="4" t="e">
        <f ca="1">_xll.cfyql_IndexAddFixings($B$1,D244,E244/100,TRUE,Trigger)</f>
        <v>#NAME?</v>
      </c>
    </row>
    <row r="245" spans="4:6" x14ac:dyDescent="0.2">
      <c r="D245" s="5">
        <v>41929</v>
      </c>
      <c r="E245" s="4">
        <v>0.107</v>
      </c>
      <c r="F245" s="4" t="e">
        <f ca="1">_xll.cfyql_IndexAddFixings($B$1,D245,E245/100,TRUE,Trigger)</f>
        <v>#NAME?</v>
      </c>
    </row>
    <row r="246" spans="4:6" x14ac:dyDescent="0.2">
      <c r="D246" s="5">
        <v>41928</v>
      </c>
      <c r="E246" s="4">
        <v>9.4E-2</v>
      </c>
      <c r="F246" s="4" t="e">
        <f ca="1">_xll.cfyql_IndexAddFixings($B$1,D246,E246/100,TRUE,Trigger)</f>
        <v>#NAME?</v>
      </c>
    </row>
    <row r="247" spans="4:6" x14ac:dyDescent="0.2">
      <c r="D247" s="5">
        <v>41927</v>
      </c>
      <c r="E247" s="4">
        <v>8.3000000000000004E-2</v>
      </c>
      <c r="F247" s="4" t="e">
        <f ca="1">_xll.cfyql_IndexAddFixings($B$1,D247,E247/100,TRUE,Trigger)</f>
        <v>#NAME?</v>
      </c>
    </row>
    <row r="248" spans="4:6" x14ac:dyDescent="0.2">
      <c r="D248" s="5">
        <v>41926</v>
      </c>
      <c r="E248" s="4">
        <v>9.4E-2</v>
      </c>
      <c r="F248" s="4" t="e">
        <f ca="1">_xll.cfyql_IndexAddFixings($B$1,D248,E248/100,TRUE,Trigger)</f>
        <v>#NAME?</v>
      </c>
    </row>
    <row r="249" spans="4:6" x14ac:dyDescent="0.2">
      <c r="D249" s="5">
        <v>41925</v>
      </c>
      <c r="E249" s="4">
        <v>0.09</v>
      </c>
      <c r="F249" s="4" t="e">
        <f ca="1">_xll.cfyql_IndexAddFixings($B$1,D249,E249/100,TRUE,Trigger)</f>
        <v>#NAME?</v>
      </c>
    </row>
    <row r="250" spans="4:6" x14ac:dyDescent="0.2">
      <c r="D250" s="5">
        <v>41922</v>
      </c>
      <c r="E250" s="4">
        <v>8.2000000000000003E-2</v>
      </c>
      <c r="F250" s="4" t="e">
        <f ca="1">_xll.cfyql_IndexAddFixings($B$1,D250,E250/100,TRUE,Trigger)</f>
        <v>#NAME?</v>
      </c>
    </row>
    <row r="251" spans="4:6" x14ac:dyDescent="0.2">
      <c r="D251" s="5">
        <v>41921</v>
      </c>
      <c r="E251" s="4">
        <v>7.5999999999999998E-2</v>
      </c>
      <c r="F251" s="4" t="e">
        <f ca="1">_xll.cfyql_IndexAddFixings($B$1,D251,E251/100,TRUE,Trigger)</f>
        <v>#NAME?</v>
      </c>
    </row>
    <row r="252" spans="4:6" x14ac:dyDescent="0.2">
      <c r="D252" s="5">
        <v>41920</v>
      </c>
      <c r="E252" s="4">
        <v>7.3999999999999996E-2</v>
      </c>
      <c r="F252" s="4" t="e">
        <f ca="1">_xll.cfyql_IndexAddFixings($B$1,D252,E252/100,TRUE,Trigger)</f>
        <v>#NAME?</v>
      </c>
    </row>
    <row r="253" spans="4:6" x14ac:dyDescent="0.2">
      <c r="D253" s="5">
        <v>41919</v>
      </c>
      <c r="E253" s="4">
        <v>7.4999999999999997E-2</v>
      </c>
      <c r="F253" s="4" t="e">
        <f ca="1">_xll.cfyql_IndexAddFixings($B$1,D253,E253/100,TRUE,Trigger)</f>
        <v>#NAME?</v>
      </c>
    </row>
    <row r="254" spans="4:6" x14ac:dyDescent="0.2">
      <c r="D254" s="5">
        <v>41918</v>
      </c>
      <c r="E254" s="4">
        <v>7.3999999999999996E-2</v>
      </c>
      <c r="F254" s="4" t="e">
        <f ca="1">_xll.cfyql_IndexAddFixings($B$1,D254,E254/100,TRUE,Trigger)</f>
        <v>#NAME?</v>
      </c>
    </row>
    <row r="255" spans="4:6" x14ac:dyDescent="0.2">
      <c r="D255" s="5">
        <v>41915</v>
      </c>
      <c r="E255" s="4">
        <v>7.5999999999999998E-2</v>
      </c>
      <c r="F255" s="4" t="e">
        <f ca="1">_xll.cfyql_IndexAddFixings($B$1,D255,E255/100,TRUE,Trigger)</f>
        <v>#NAME?</v>
      </c>
    </row>
    <row r="256" spans="4:6" x14ac:dyDescent="0.2">
      <c r="D256" s="5">
        <v>41914</v>
      </c>
      <c r="E256" s="4">
        <v>6.8000000000000005E-2</v>
      </c>
      <c r="F256" s="4" t="e">
        <f ca="1">_xll.cfyql_IndexAddFixings($B$1,D256,E256/100,TRUE,Trigger)</f>
        <v>#NAME?</v>
      </c>
    </row>
    <row r="257" spans="4:6" x14ac:dyDescent="0.2">
      <c r="D257" s="5">
        <v>41913</v>
      </c>
      <c r="E257" s="4">
        <v>7.0000000000000007E-2</v>
      </c>
      <c r="F257" s="4" t="e">
        <f ca="1">_xll.cfyql_IndexAddFixings($B$1,D257,E257/100,TRUE,Trigger)</f>
        <v>#NAME?</v>
      </c>
    </row>
    <row r="258" spans="4:6" x14ac:dyDescent="0.2">
      <c r="D258" s="5">
        <v>41912</v>
      </c>
      <c r="E258" s="4">
        <v>7.5999999999999998E-2</v>
      </c>
      <c r="F258" s="4" t="e">
        <f ca="1">_xll.cfyql_IndexAddFixings($B$1,D258,E258/100,TRUE,Trigger)</f>
        <v>#NAME?</v>
      </c>
    </row>
    <row r="259" spans="4:6" x14ac:dyDescent="0.2">
      <c r="D259" s="5">
        <v>41911</v>
      </c>
      <c r="E259" s="4">
        <v>7.4999999999999997E-2</v>
      </c>
      <c r="F259" s="4" t="e">
        <f ca="1">_xll.cfyql_IndexAddFixings($B$1,D259,E259/100,TRUE,Trigger)</f>
        <v>#NAME?</v>
      </c>
    </row>
    <row r="260" spans="4:6" x14ac:dyDescent="0.2">
      <c r="D260" s="5">
        <v>41908</v>
      </c>
      <c r="E260" s="4">
        <v>7.6999999999999999E-2</v>
      </c>
      <c r="F260" s="4" t="e">
        <f ca="1">_xll.cfyql_IndexAddFixings($B$1,D260,E260/100,TRUE,Trigger)</f>
        <v>#NAME?</v>
      </c>
    </row>
    <row r="261" spans="4:6" x14ac:dyDescent="0.2">
      <c r="D261" s="5">
        <v>41907</v>
      </c>
      <c r="E261" s="4">
        <v>7.9000000000000001E-2</v>
      </c>
      <c r="F261" s="4" t="e">
        <f ca="1">_xll.cfyql_IndexAddFixings($B$1,D261,E261/100,TRUE,Trigger)</f>
        <v>#NAME?</v>
      </c>
    </row>
    <row r="262" spans="4:6" x14ac:dyDescent="0.2">
      <c r="D262" s="5">
        <v>41906</v>
      </c>
      <c r="E262" s="4">
        <v>8.5999999999999993E-2</v>
      </c>
      <c r="F262" s="4" t="e">
        <f ca="1">_xll.cfyql_IndexAddFixings($B$1,D262,E262/100,TRUE,Trigger)</f>
        <v>#NAME?</v>
      </c>
    </row>
    <row r="263" spans="4:6" x14ac:dyDescent="0.2">
      <c r="D263" s="5">
        <v>41905</v>
      </c>
      <c r="E263" s="4">
        <v>7.4999999999999997E-2</v>
      </c>
      <c r="F263" s="4" t="e">
        <f ca="1">_xll.cfyql_IndexAddFixings($B$1,D263,E263/100,TRUE,Trigger)</f>
        <v>#NAME?</v>
      </c>
    </row>
    <row r="264" spans="4:6" x14ac:dyDescent="0.2">
      <c r="D264" s="5">
        <v>41904</v>
      </c>
      <c r="E264" s="4">
        <v>7.5999999999999998E-2</v>
      </c>
      <c r="F264" s="4" t="e">
        <f ca="1">_xll.cfyql_IndexAddFixings($B$1,D264,E264/100,TRUE,Trigger)</f>
        <v>#NAME?</v>
      </c>
    </row>
    <row r="265" spans="4:6" x14ac:dyDescent="0.2">
      <c r="D265" s="5">
        <v>41901</v>
      </c>
      <c r="E265" s="4">
        <v>8.2000000000000003E-2</v>
      </c>
      <c r="F265" s="4" t="e">
        <f ca="1">_xll.cfyql_IndexAddFixings($B$1,D265,E265/100,TRUE,Trigger)</f>
        <v>#NAME?</v>
      </c>
    </row>
    <row r="266" spans="4:6" x14ac:dyDescent="0.2">
      <c r="D266" s="5">
        <v>41900</v>
      </c>
      <c r="E266" s="4">
        <v>8.1000000000000003E-2</v>
      </c>
      <c r="F266" s="4" t="e">
        <f ca="1">_xll.cfyql_IndexAddFixings($B$1,D266,E266/100,TRUE,Trigger)</f>
        <v>#NAME?</v>
      </c>
    </row>
    <row r="267" spans="4:6" x14ac:dyDescent="0.2">
      <c r="D267" s="5">
        <v>41899</v>
      </c>
      <c r="E267" s="4">
        <v>0.08</v>
      </c>
      <c r="F267" s="4" t="e">
        <f ca="1">_xll.cfyql_IndexAddFixings($B$1,D267,E267/100,TRUE,Trigger)</f>
        <v>#NAME?</v>
      </c>
    </row>
    <row r="268" spans="4:6" x14ac:dyDescent="0.2">
      <c r="D268" s="5">
        <v>41898</v>
      </c>
      <c r="E268" s="4">
        <v>7.4999999999999997E-2</v>
      </c>
      <c r="F268" s="4" t="e">
        <f ca="1">_xll.cfyql_IndexAddFixings($B$1,D268,E268/100,TRUE,Trigger)</f>
        <v>#NAME?</v>
      </c>
    </row>
    <row r="269" spans="4:6" x14ac:dyDescent="0.2">
      <c r="D269" s="5">
        <v>41897</v>
      </c>
      <c r="E269" s="4">
        <v>7.4999999999999997E-2</v>
      </c>
      <c r="F269" s="4" t="e">
        <f ca="1">_xll.cfyql_IndexAddFixings($B$1,D269,E269/100,TRUE,Trigger)</f>
        <v>#NAME?</v>
      </c>
    </row>
    <row r="270" spans="4:6" x14ac:dyDescent="0.2">
      <c r="D270" s="5">
        <v>41894</v>
      </c>
      <c r="E270" s="4">
        <v>7.5999999999999998E-2</v>
      </c>
      <c r="F270" s="4" t="e">
        <f ca="1">_xll.cfyql_IndexAddFixings($B$1,D270,E270/100,TRUE,Trigger)</f>
        <v>#NAME?</v>
      </c>
    </row>
    <row r="271" spans="4:6" x14ac:dyDescent="0.2">
      <c r="D271" s="5">
        <v>41893</v>
      </c>
      <c r="E271" s="4">
        <v>7.4999999999999997E-2</v>
      </c>
      <c r="F271" s="4" t="e">
        <f ca="1">_xll.cfyql_IndexAddFixings($B$1,D271,E271/100,TRUE,Trigger)</f>
        <v>#NAME?</v>
      </c>
    </row>
    <row r="272" spans="4:6" x14ac:dyDescent="0.2">
      <c r="D272" s="5">
        <v>41892</v>
      </c>
      <c r="E272" s="4">
        <v>8.1000000000000003E-2</v>
      </c>
      <c r="F272" s="4" t="e">
        <f ca="1">_xll.cfyql_IndexAddFixings($B$1,D272,E272/100,TRUE,Trigger)</f>
        <v>#NAME?</v>
      </c>
    </row>
    <row r="273" spans="4:6" x14ac:dyDescent="0.2">
      <c r="D273" s="5">
        <v>41891</v>
      </c>
      <c r="E273" s="4">
        <v>7.9000000000000001E-2</v>
      </c>
      <c r="F273" s="4" t="e">
        <f ca="1">_xll.cfyql_IndexAddFixings($B$1,D273,E273/100,TRUE,Trigger)</f>
        <v>#NAME?</v>
      </c>
    </row>
    <row r="274" spans="4:6" x14ac:dyDescent="0.2">
      <c r="D274" s="5">
        <v>41890</v>
      </c>
      <c r="E274" s="4">
        <v>7.8E-2</v>
      </c>
      <c r="F274" s="4" t="e">
        <f ca="1">_xll.cfyql_IndexAddFixings($B$1,D274,E274/100,TRUE,Trigger)</f>
        <v>#NAME?</v>
      </c>
    </row>
    <row r="275" spans="4:6" x14ac:dyDescent="0.2">
      <c r="D275" s="5">
        <v>41887</v>
      </c>
      <c r="E275" s="4">
        <v>8.2000000000000003E-2</v>
      </c>
      <c r="F275" s="4" t="e">
        <f ca="1">_xll.cfyql_IndexAddFixings($B$1,D275,E275/100,TRUE,Trigger)</f>
        <v>#NAME?</v>
      </c>
    </row>
    <row r="276" spans="4:6" x14ac:dyDescent="0.2">
      <c r="D276" s="5">
        <v>41886</v>
      </c>
      <c r="E276" s="4">
        <v>0.13</v>
      </c>
      <c r="F276" s="4" t="e">
        <f ca="1">_xll.cfyql_IndexAddFixings($B$1,D276,E276/100,TRUE,Trigger)</f>
        <v>#NAME?</v>
      </c>
    </row>
    <row r="277" spans="4:6" x14ac:dyDescent="0.2">
      <c r="D277" s="5">
        <v>41885</v>
      </c>
      <c r="E277" s="4">
        <v>0.126</v>
      </c>
      <c r="F277" s="4" t="e">
        <f ca="1">_xll.cfyql_IndexAddFixings($B$1,D277,E277/100,TRUE,Trigger)</f>
        <v>#NAME?</v>
      </c>
    </row>
    <row r="278" spans="4:6" x14ac:dyDescent="0.2">
      <c r="D278" s="5">
        <v>41884</v>
      </c>
      <c r="E278" s="4">
        <v>0.128</v>
      </c>
      <c r="F278" s="4" t="e">
        <f ca="1">_xll.cfyql_IndexAddFixings($B$1,D278,E278/100,TRUE,Trigger)</f>
        <v>#NAME?</v>
      </c>
    </row>
    <row r="279" spans="4:6" x14ac:dyDescent="0.2">
      <c r="D279" s="5">
        <v>41883</v>
      </c>
      <c r="E279" s="4">
        <v>0.13</v>
      </c>
      <c r="F279" s="4" t="e">
        <f ca="1">_xll.cfyql_IndexAddFixings($B$1,D279,E279/100,TRUE,Trigger)</f>
        <v>#NAME?</v>
      </c>
    </row>
    <row r="280" spans="4:6" x14ac:dyDescent="0.2">
      <c r="D280" s="3">
        <v>41568</v>
      </c>
      <c r="E280" s="2">
        <v>0.312</v>
      </c>
      <c r="F280" s="2" t="e">
        <f ca="1">_xll.cfyql_IndexAddFixings($B$1,D280,E280/100,TRUE,Trigger)</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664</vt:i4>
      </vt:variant>
    </vt:vector>
  </HeadingPairs>
  <TitlesOfParts>
    <vt:vector size="722"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2016-01-02T20:21:55Z</dcterms:modified>
</cp:coreProperties>
</file>